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New folder\OneDrive\Máy tính\"/>
    </mc:Choice>
  </mc:AlternateContent>
  <xr:revisionPtr revIDLastSave="0" documentId="13_ncr:1_{3C990C1D-52B3-4731-9CF3-AC0504B4202E}" xr6:coauthVersionLast="47" xr6:coauthVersionMax="47" xr10:uidLastSave="{00000000-0000-0000-0000-000000000000}"/>
  <bookViews>
    <workbookView xWindow="-108" yWindow="-108" windowWidth="23256" windowHeight="12456" tabRatio="821" firstSheet="7" activeTab="7" xr2:uid="{00000000-000D-0000-FFFF-FFFF00000000}"/>
  </bookViews>
  <sheets>
    <sheet name="Table of contents" sheetId="61" r:id="rId1"/>
    <sheet name="1.1 Financial Goals" sheetId="2" r:id="rId2"/>
    <sheet name="1.2. Current personal status" sheetId="23" r:id="rId3"/>
    <sheet name="1.3. My career path" sheetId="24" r:id="rId4"/>
    <sheet name="1.4. My wife's career path" sheetId="25" r:id="rId5"/>
    <sheet name="1.5. Timeline Breakdown" sheetId="26" r:id="rId6"/>
    <sheet name="2. Inflation assumption" sheetId="60" r:id="rId7"/>
    <sheet name="3.1. My Income Tax Calculation" sheetId="27" r:id="rId8"/>
    <sheet name="3.2. My wife's Tax Calc" sheetId="28" r:id="rId9"/>
    <sheet name="4. Car" sheetId="46" r:id="rId10"/>
    <sheet name="5. Down payment savings" sheetId="40" r:id="rId11"/>
    <sheet name="6. Mortgage payment" sheetId="41" r:id="rId12"/>
    <sheet name="7.1. Stage 1 budget" sheetId="3" r:id="rId13"/>
    <sheet name="7.2. Stage 2 budget" sheetId="30" r:id="rId14"/>
    <sheet name="7.3. Stage 3 budget" sheetId="31" r:id="rId15"/>
    <sheet name="7.4. Stage 4 budget" sheetId="32" r:id="rId16"/>
    <sheet name="7.5. Stage 5&amp;6 budget" sheetId="33" r:id="rId17"/>
    <sheet name="7.6. Stage 7&amp;8 budget" sheetId="34" r:id="rId18"/>
    <sheet name="7.7. Stage 9&amp;10&amp;11" sheetId="35" r:id="rId19"/>
    <sheet name="8. Lifetime consumption" sheetId="47" r:id="rId20"/>
    <sheet name="9.1. My human capital" sheetId="36" r:id="rId21"/>
    <sheet name="9.2. My wife's human capital" sheetId="38" r:id="rId22"/>
    <sheet name="10.1. My retirement salary" sheetId="42" r:id="rId23"/>
    <sheet name="10.2. Wife's retirement salary" sheetId="44" r:id="rId24"/>
    <sheet name="11.My pension value" sheetId="43" r:id="rId25"/>
    <sheet name="12. Balance Sheet" sheetId="4" r:id="rId26"/>
    <sheet name="13. Insurance package" sheetId="50" r:id="rId27"/>
    <sheet name="14.1. Asset Allocation" sheetId="52" r:id="rId28"/>
    <sheet name="14.2. Risk &amp; Return" sheetId="53" r:id="rId29"/>
    <sheet name="14.3. More funds to invest" sheetId="55" r:id="rId30"/>
    <sheet name="14.4. Monte Carlo (case 1)" sheetId="51" r:id="rId31"/>
    <sheet name="14.5. Monte Carlo (case 2)" sheetId="62" r:id="rId32"/>
    <sheet name="14.6. Monte Carlo (case 3)" sheetId="63" r:id="rId33"/>
    <sheet name="15.1. Premature mortality risk" sheetId="56" r:id="rId34"/>
    <sheet name="15.2. Longevity risk" sheetId="57" r:id="rId35"/>
    <sheet name="15.3. Health risk" sheetId="58"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27" l="1"/>
  <c r="O8" i="44"/>
  <c r="O4" i="44"/>
  <c r="O8" i="42"/>
  <c r="O4" i="42"/>
  <c r="K4" i="51"/>
  <c r="K5" i="51"/>
  <c r="K6" i="51"/>
  <c r="K7" i="51"/>
  <c r="J4" i="51"/>
  <c r="J5" i="51"/>
  <c r="J6" i="51"/>
  <c r="J7" i="51"/>
  <c r="I4" i="51"/>
  <c r="I5" i="51"/>
  <c r="I6" i="51"/>
  <c r="I7" i="51"/>
  <c r="H4" i="51"/>
  <c r="H5" i="51"/>
  <c r="H6" i="51"/>
  <c r="H7" i="51"/>
  <c r="G4" i="51"/>
  <c r="G5" i="51"/>
  <c r="G6" i="51"/>
  <c r="G7" i="51"/>
  <c r="H3" i="51"/>
  <c r="I3" i="51"/>
  <c r="J3" i="51"/>
  <c r="K3" i="51"/>
  <c r="G3" i="51"/>
  <c r="K4" i="63"/>
  <c r="K5" i="63"/>
  <c r="K6" i="63"/>
  <c r="K7" i="63"/>
  <c r="J4" i="63"/>
  <c r="J5" i="63"/>
  <c r="J6" i="63"/>
  <c r="J7" i="63"/>
  <c r="I4" i="63"/>
  <c r="I5" i="63"/>
  <c r="I6" i="63"/>
  <c r="I7" i="63"/>
  <c r="H4" i="63"/>
  <c r="H5" i="63"/>
  <c r="H6" i="63"/>
  <c r="H7" i="63"/>
  <c r="G4" i="63"/>
  <c r="G5" i="63"/>
  <c r="G6" i="63"/>
  <c r="G7" i="63"/>
  <c r="H3" i="63"/>
  <c r="I3" i="63"/>
  <c r="J3" i="63"/>
  <c r="K3" i="63"/>
  <c r="G3" i="63"/>
  <c r="R81" i="63"/>
  <c r="O81" i="63"/>
  <c r="L81" i="63"/>
  <c r="G81" i="63"/>
  <c r="C81" i="63" a="1"/>
  <c r="C81" i="63" s="1"/>
  <c r="R80" i="63"/>
  <c r="O80" i="63"/>
  <c r="L80" i="63"/>
  <c r="G80" i="63"/>
  <c r="C80" i="63" a="1"/>
  <c r="C80" i="63" s="1"/>
  <c r="R79" i="63"/>
  <c r="O79" i="63"/>
  <c r="L79" i="63"/>
  <c r="G79" i="63"/>
  <c r="C79" i="63" a="1"/>
  <c r="C79" i="63" s="1"/>
  <c r="R78" i="63"/>
  <c r="O78" i="63"/>
  <c r="L78" i="63"/>
  <c r="G78" i="63"/>
  <c r="C78" i="63" a="1"/>
  <c r="C78" i="63" s="1"/>
  <c r="R77" i="63"/>
  <c r="O77" i="63"/>
  <c r="L77" i="63"/>
  <c r="G77" i="63"/>
  <c r="C77" i="63" a="1"/>
  <c r="C77" i="63" s="1"/>
  <c r="R76" i="63"/>
  <c r="O76" i="63"/>
  <c r="L76" i="63"/>
  <c r="G76" i="63"/>
  <c r="C76" i="63" a="1"/>
  <c r="C76" i="63" s="1"/>
  <c r="R75" i="63"/>
  <c r="O75" i="63"/>
  <c r="L75" i="63"/>
  <c r="G75" i="63"/>
  <c r="C75" i="63" a="1"/>
  <c r="C75" i="63" s="1"/>
  <c r="R74" i="63"/>
  <c r="O74" i="63"/>
  <c r="L74" i="63"/>
  <c r="G74" i="63"/>
  <c r="C74" i="63" a="1"/>
  <c r="C74" i="63" s="1"/>
  <c r="R73" i="63"/>
  <c r="O73" i="63"/>
  <c r="L73" i="63"/>
  <c r="G73" i="63"/>
  <c r="C73" i="63" a="1"/>
  <c r="C73" i="63" s="1"/>
  <c r="R72" i="63"/>
  <c r="O72" i="63"/>
  <c r="L72" i="63"/>
  <c r="G72" i="63"/>
  <c r="C72" i="63" a="1"/>
  <c r="C72" i="63" s="1"/>
  <c r="R71" i="63"/>
  <c r="O71" i="63"/>
  <c r="L71" i="63"/>
  <c r="G71" i="63"/>
  <c r="C71" i="63" a="1"/>
  <c r="C71" i="63" s="1"/>
  <c r="R70" i="63"/>
  <c r="O70" i="63"/>
  <c r="L70" i="63"/>
  <c r="G70" i="63"/>
  <c r="C70" i="63" a="1"/>
  <c r="C70" i="63" s="1"/>
  <c r="R69" i="63"/>
  <c r="O69" i="63"/>
  <c r="L69" i="63"/>
  <c r="G69" i="63"/>
  <c r="C69" i="63" a="1"/>
  <c r="C69" i="63" s="1"/>
  <c r="R68" i="63"/>
  <c r="O68" i="63"/>
  <c r="L68" i="63"/>
  <c r="G68" i="63"/>
  <c r="C68" i="63" a="1"/>
  <c r="C68" i="63" s="1"/>
  <c r="R67" i="63"/>
  <c r="O67" i="63"/>
  <c r="L67" i="63"/>
  <c r="G67" i="63"/>
  <c r="C67" i="63" a="1"/>
  <c r="C67" i="63" s="1"/>
  <c r="R66" i="63"/>
  <c r="O66" i="63"/>
  <c r="L66" i="63"/>
  <c r="G66" i="63"/>
  <c r="C66" i="63" a="1"/>
  <c r="C66" i="63" s="1"/>
  <c r="R65" i="63"/>
  <c r="O65" i="63"/>
  <c r="L65" i="63"/>
  <c r="G65" i="63"/>
  <c r="C65" i="63" a="1"/>
  <c r="C65" i="63" s="1"/>
  <c r="R64" i="63"/>
  <c r="O64" i="63"/>
  <c r="L64" i="63"/>
  <c r="G64" i="63"/>
  <c r="C64" i="63" a="1"/>
  <c r="C64" i="63" s="1"/>
  <c r="R63" i="63"/>
  <c r="O63" i="63"/>
  <c r="L63" i="63"/>
  <c r="G63" i="63"/>
  <c r="H63" i="63" s="1"/>
  <c r="C63" i="63" a="1"/>
  <c r="C63" i="63" s="1"/>
  <c r="R62" i="63"/>
  <c r="O62" i="63"/>
  <c r="L62" i="63"/>
  <c r="G62" i="63"/>
  <c r="C62" i="63" a="1"/>
  <c r="C62" i="63" s="1"/>
  <c r="R61" i="63"/>
  <c r="O61" i="63"/>
  <c r="L61" i="63"/>
  <c r="G61" i="63"/>
  <c r="C61" i="63" a="1"/>
  <c r="C61" i="63" s="1"/>
  <c r="R60" i="63"/>
  <c r="O60" i="63"/>
  <c r="L60" i="63"/>
  <c r="G60" i="63"/>
  <c r="C60" i="63" a="1"/>
  <c r="C60" i="63" s="1"/>
  <c r="R59" i="63"/>
  <c r="O59" i="63"/>
  <c r="L59" i="63"/>
  <c r="G59" i="63"/>
  <c r="C59" i="63" a="1"/>
  <c r="C59" i="63" s="1"/>
  <c r="R58" i="63"/>
  <c r="O58" i="63"/>
  <c r="L58" i="63"/>
  <c r="G58" i="63"/>
  <c r="C58" i="63" a="1"/>
  <c r="C58" i="63" s="1"/>
  <c r="R57" i="63"/>
  <c r="O57" i="63"/>
  <c r="L57" i="63"/>
  <c r="G57" i="63"/>
  <c r="C57" i="63" a="1"/>
  <c r="C57" i="63" s="1"/>
  <c r="R56" i="63"/>
  <c r="O56" i="63"/>
  <c r="L56" i="63"/>
  <c r="G56" i="63"/>
  <c r="C56" i="63" a="1"/>
  <c r="C56" i="63" s="1"/>
  <c r="R55" i="63"/>
  <c r="O55" i="63"/>
  <c r="L55" i="63"/>
  <c r="G55" i="63"/>
  <c r="H55" i="63" s="1"/>
  <c r="C55" i="63" a="1"/>
  <c r="C55" i="63" s="1"/>
  <c r="R54" i="63"/>
  <c r="O54" i="63"/>
  <c r="L54" i="63"/>
  <c r="G54" i="63"/>
  <c r="C54" i="63" a="1"/>
  <c r="C54" i="63" s="1"/>
  <c r="R53" i="63"/>
  <c r="O53" i="63"/>
  <c r="L53" i="63"/>
  <c r="G53" i="63"/>
  <c r="C53" i="63" a="1"/>
  <c r="C53" i="63" s="1"/>
  <c r="R52" i="63"/>
  <c r="O52" i="63"/>
  <c r="L52" i="63"/>
  <c r="G52" i="63"/>
  <c r="C52" i="63" a="1"/>
  <c r="C52" i="63" s="1"/>
  <c r="R51" i="63"/>
  <c r="O51" i="63"/>
  <c r="L51" i="63"/>
  <c r="G51" i="63"/>
  <c r="C51" i="63" a="1"/>
  <c r="C51" i="63" s="1"/>
  <c r="R50" i="63"/>
  <c r="O50" i="63"/>
  <c r="L50" i="63"/>
  <c r="G50" i="63"/>
  <c r="C50" i="63" a="1"/>
  <c r="C50" i="63" s="1"/>
  <c r="R49" i="63"/>
  <c r="O49" i="63"/>
  <c r="L49" i="63"/>
  <c r="G49" i="63"/>
  <c r="C49" i="63" a="1"/>
  <c r="C49" i="63" s="1"/>
  <c r="R48" i="63"/>
  <c r="O48" i="63"/>
  <c r="L48" i="63"/>
  <c r="G48" i="63"/>
  <c r="C48" i="63" a="1"/>
  <c r="C48" i="63" s="1"/>
  <c r="R47" i="63"/>
  <c r="O47" i="63"/>
  <c r="L47" i="63"/>
  <c r="G47" i="63"/>
  <c r="H47" i="63" s="1"/>
  <c r="C47" i="63" a="1"/>
  <c r="C47" i="63" s="1"/>
  <c r="R46" i="63"/>
  <c r="O46" i="63"/>
  <c r="L46" i="63"/>
  <c r="G46" i="63"/>
  <c r="C46" i="63" a="1"/>
  <c r="C46" i="63" s="1"/>
  <c r="R45" i="63"/>
  <c r="O45" i="63"/>
  <c r="L45" i="63"/>
  <c r="G45" i="63"/>
  <c r="C45" i="63" a="1"/>
  <c r="C45" i="63" s="1"/>
  <c r="R44" i="63"/>
  <c r="O44" i="63"/>
  <c r="L44" i="63"/>
  <c r="G44" i="63"/>
  <c r="C44" i="63" a="1"/>
  <c r="C44" i="63" s="1"/>
  <c r="R43" i="63"/>
  <c r="O43" i="63"/>
  <c r="L43" i="63"/>
  <c r="G43" i="63"/>
  <c r="H43" i="63" s="1"/>
  <c r="C43" i="63" a="1"/>
  <c r="C43" i="63" s="1"/>
  <c r="R42" i="63"/>
  <c r="O42" i="63"/>
  <c r="L42" i="63"/>
  <c r="G42" i="63"/>
  <c r="C42" i="63" a="1"/>
  <c r="C42" i="63" s="1"/>
  <c r="R41" i="63"/>
  <c r="O41" i="63"/>
  <c r="L41" i="63"/>
  <c r="G41" i="63"/>
  <c r="C41" i="63"/>
  <c r="C41" i="63" a="1"/>
  <c r="R40" i="63"/>
  <c r="O40" i="63"/>
  <c r="L40" i="63"/>
  <c r="G40" i="63"/>
  <c r="C40" i="63" a="1"/>
  <c r="C40" i="63" s="1"/>
  <c r="R39" i="63"/>
  <c r="O39" i="63"/>
  <c r="L39" i="63"/>
  <c r="G39" i="63"/>
  <c r="H39" i="63" s="1"/>
  <c r="C39" i="63" a="1"/>
  <c r="C39" i="63" s="1"/>
  <c r="R38" i="63"/>
  <c r="O38" i="63"/>
  <c r="L38" i="63"/>
  <c r="G38" i="63"/>
  <c r="C38" i="63" a="1"/>
  <c r="C38" i="63" s="1"/>
  <c r="R37" i="63"/>
  <c r="O37" i="63"/>
  <c r="L37" i="63"/>
  <c r="G37" i="63"/>
  <c r="C37" i="63"/>
  <c r="C37" i="63" a="1"/>
  <c r="R36" i="63"/>
  <c r="O36" i="63"/>
  <c r="L36" i="63"/>
  <c r="G36" i="63"/>
  <c r="C36" i="63" a="1"/>
  <c r="C36" i="63" s="1"/>
  <c r="R35" i="63"/>
  <c r="O35" i="63"/>
  <c r="L35" i="63"/>
  <c r="G35" i="63"/>
  <c r="H35" i="63" s="1"/>
  <c r="C35" i="63" a="1"/>
  <c r="C35" i="63" s="1"/>
  <c r="R34" i="63"/>
  <c r="O34" i="63"/>
  <c r="L34" i="63"/>
  <c r="G34" i="63"/>
  <c r="C34" i="63" a="1"/>
  <c r="C34" i="63" s="1"/>
  <c r="R33" i="63"/>
  <c r="O33" i="63"/>
  <c r="L33" i="63"/>
  <c r="G33" i="63"/>
  <c r="C33" i="63"/>
  <c r="C33" i="63" a="1"/>
  <c r="R32" i="63"/>
  <c r="O32" i="63"/>
  <c r="L32" i="63"/>
  <c r="G32" i="63"/>
  <c r="C32" i="63" a="1"/>
  <c r="C32" i="63" s="1"/>
  <c r="R31" i="63"/>
  <c r="O31" i="63"/>
  <c r="L31" i="63"/>
  <c r="G31" i="63"/>
  <c r="H31" i="63" s="1"/>
  <c r="C31" i="63" a="1"/>
  <c r="C31" i="63" s="1"/>
  <c r="R30" i="63"/>
  <c r="O30" i="63"/>
  <c r="L30" i="63"/>
  <c r="G30" i="63"/>
  <c r="C30" i="63" a="1"/>
  <c r="C30" i="63" s="1"/>
  <c r="R29" i="63"/>
  <c r="O29" i="63"/>
  <c r="L29" i="63"/>
  <c r="G29" i="63"/>
  <c r="C29" i="63" a="1"/>
  <c r="C29" i="63" s="1"/>
  <c r="R28" i="63"/>
  <c r="O28" i="63"/>
  <c r="P28" i="63" s="1"/>
  <c r="L28" i="63"/>
  <c r="G28" i="63"/>
  <c r="C28" i="63" a="1"/>
  <c r="C28" i="63" s="1"/>
  <c r="R27" i="63"/>
  <c r="O27" i="63"/>
  <c r="L27" i="63"/>
  <c r="G27" i="63"/>
  <c r="C27" i="63" a="1"/>
  <c r="C27" i="63" s="1"/>
  <c r="R26" i="63"/>
  <c r="O26" i="63"/>
  <c r="L26" i="63"/>
  <c r="G26" i="63"/>
  <c r="C26" i="63"/>
  <c r="C26" i="63" a="1"/>
  <c r="R25" i="63"/>
  <c r="O25" i="63"/>
  <c r="L25" i="63"/>
  <c r="G25" i="63"/>
  <c r="H25" i="63" s="1"/>
  <c r="C25" i="63" a="1"/>
  <c r="C25" i="63" s="1"/>
  <c r="X24" i="63"/>
  <c r="R24" i="63"/>
  <c r="O24" i="63"/>
  <c r="L24" i="63"/>
  <c r="M24" i="63" s="1"/>
  <c r="G24" i="63"/>
  <c r="C24" i="63"/>
  <c r="C24" i="63" a="1"/>
  <c r="X23" i="63"/>
  <c r="R23" i="63"/>
  <c r="O23" i="63"/>
  <c r="L23" i="63"/>
  <c r="G23" i="63"/>
  <c r="C23" i="63" a="1"/>
  <c r="C23" i="63" s="1"/>
  <c r="X22" i="63"/>
  <c r="R22" i="63"/>
  <c r="O22" i="63"/>
  <c r="L22" i="63"/>
  <c r="G22" i="63"/>
  <c r="C22" i="63"/>
  <c r="C22" i="63" a="1"/>
  <c r="X21" i="63"/>
  <c r="R21" i="63"/>
  <c r="O21" i="63"/>
  <c r="P21" i="63" s="1"/>
  <c r="L21" i="63"/>
  <c r="G21" i="63"/>
  <c r="C21" i="63" a="1"/>
  <c r="C21" i="63" s="1"/>
  <c r="X20" i="63"/>
  <c r="R20" i="63"/>
  <c r="O20" i="63"/>
  <c r="P20" i="63" s="1"/>
  <c r="L20" i="63"/>
  <c r="G20" i="63"/>
  <c r="C20" i="63"/>
  <c r="C20" i="63" a="1"/>
  <c r="X19" i="63"/>
  <c r="R19" i="63"/>
  <c r="O19" i="63"/>
  <c r="P19" i="63" s="1"/>
  <c r="L19" i="63"/>
  <c r="J19" i="63"/>
  <c r="G19" i="63"/>
  <c r="D19" i="63"/>
  <c r="C19" i="63" a="1"/>
  <c r="C19" i="63" s="1"/>
  <c r="D14" i="63"/>
  <c r="D13" i="63"/>
  <c r="D11" i="63"/>
  <c r="D10" i="63"/>
  <c r="D8" i="63"/>
  <c r="K8" i="63"/>
  <c r="D7" i="63"/>
  <c r="S5" i="63"/>
  <c r="X28" i="63" s="1"/>
  <c r="D5" i="63"/>
  <c r="J28" i="63" s="1"/>
  <c r="S4" i="63"/>
  <c r="X27" i="63" s="1"/>
  <c r="H8" i="63"/>
  <c r="S3" i="63"/>
  <c r="X26" i="63" s="1"/>
  <c r="J8" i="63"/>
  <c r="I8" i="63"/>
  <c r="S2" i="63"/>
  <c r="X25" i="63" s="1"/>
  <c r="D2" i="63"/>
  <c r="K4" i="62"/>
  <c r="K5" i="62"/>
  <c r="K6" i="62"/>
  <c r="K7" i="62"/>
  <c r="J4" i="62"/>
  <c r="J5" i="62"/>
  <c r="J6" i="62"/>
  <c r="J7" i="62"/>
  <c r="I4" i="62"/>
  <c r="I5" i="62"/>
  <c r="I6" i="62"/>
  <c r="I7" i="62"/>
  <c r="H4" i="62"/>
  <c r="H5" i="62"/>
  <c r="H6" i="62"/>
  <c r="H7" i="62"/>
  <c r="G4" i="62"/>
  <c r="G5" i="62"/>
  <c r="G6" i="62"/>
  <c r="G7" i="62"/>
  <c r="H3" i="62"/>
  <c r="I3" i="62"/>
  <c r="J3" i="62"/>
  <c r="K3" i="62"/>
  <c r="G3" i="62"/>
  <c r="R81" i="62"/>
  <c r="O81" i="62"/>
  <c r="L81" i="62"/>
  <c r="G81" i="62"/>
  <c r="C81" i="62" a="1"/>
  <c r="C81" i="62" s="1"/>
  <c r="R80" i="62"/>
  <c r="O80" i="62"/>
  <c r="L80" i="62"/>
  <c r="G80" i="62"/>
  <c r="C80" i="62" a="1"/>
  <c r="C80" i="62" s="1"/>
  <c r="R79" i="62"/>
  <c r="O79" i="62"/>
  <c r="L79" i="62"/>
  <c r="G79" i="62"/>
  <c r="C79" i="62" a="1"/>
  <c r="C79" i="62" s="1"/>
  <c r="R78" i="62"/>
  <c r="O78" i="62"/>
  <c r="L78" i="62"/>
  <c r="G78" i="62"/>
  <c r="C78" i="62" a="1"/>
  <c r="C78" i="62" s="1"/>
  <c r="R77" i="62"/>
  <c r="O77" i="62"/>
  <c r="L77" i="62"/>
  <c r="G77" i="62"/>
  <c r="C77" i="62" a="1"/>
  <c r="C77" i="62" s="1"/>
  <c r="R76" i="62"/>
  <c r="O76" i="62"/>
  <c r="L76" i="62"/>
  <c r="G76" i="62"/>
  <c r="C76" i="62" a="1"/>
  <c r="C76" i="62" s="1"/>
  <c r="R75" i="62"/>
  <c r="O75" i="62"/>
  <c r="L75" i="62"/>
  <c r="G75" i="62"/>
  <c r="C75" i="62" a="1"/>
  <c r="C75" i="62" s="1"/>
  <c r="R74" i="62"/>
  <c r="O74" i="62"/>
  <c r="L74" i="62"/>
  <c r="G74" i="62"/>
  <c r="C74" i="62" a="1"/>
  <c r="C74" i="62" s="1"/>
  <c r="R73" i="62"/>
  <c r="O73" i="62"/>
  <c r="L73" i="62"/>
  <c r="G73" i="62"/>
  <c r="C73" i="62" a="1"/>
  <c r="C73" i="62" s="1"/>
  <c r="R72" i="62"/>
  <c r="O72" i="62"/>
  <c r="L72" i="62"/>
  <c r="G72" i="62"/>
  <c r="C72" i="62" a="1"/>
  <c r="C72" i="62" s="1"/>
  <c r="R71" i="62"/>
  <c r="O71" i="62"/>
  <c r="L71" i="62"/>
  <c r="G71" i="62"/>
  <c r="C71" i="62" a="1"/>
  <c r="C71" i="62" s="1"/>
  <c r="R70" i="62"/>
  <c r="O70" i="62"/>
  <c r="L70" i="62"/>
  <c r="G70" i="62"/>
  <c r="C70" i="62"/>
  <c r="C70" i="62" a="1"/>
  <c r="R69" i="62"/>
  <c r="O69" i="62"/>
  <c r="L69" i="62"/>
  <c r="G69" i="62"/>
  <c r="C69" i="62" a="1"/>
  <c r="C69" i="62" s="1"/>
  <c r="R68" i="62"/>
  <c r="O68" i="62"/>
  <c r="L68" i="62"/>
  <c r="G68" i="62"/>
  <c r="C68" i="62" a="1"/>
  <c r="C68" i="62" s="1"/>
  <c r="R67" i="62"/>
  <c r="O67" i="62"/>
  <c r="L67" i="62"/>
  <c r="G67" i="62"/>
  <c r="C67" i="62" a="1"/>
  <c r="C67" i="62" s="1"/>
  <c r="R66" i="62"/>
  <c r="O66" i="62"/>
  <c r="L66" i="62"/>
  <c r="G66" i="62"/>
  <c r="C66" i="62" a="1"/>
  <c r="C66" i="62" s="1"/>
  <c r="R65" i="62"/>
  <c r="O65" i="62"/>
  <c r="L65" i="62"/>
  <c r="G65" i="62"/>
  <c r="C65" i="62" a="1"/>
  <c r="C65" i="62" s="1"/>
  <c r="R64" i="62"/>
  <c r="O64" i="62"/>
  <c r="L64" i="62"/>
  <c r="G64" i="62"/>
  <c r="C64" i="62" a="1"/>
  <c r="C64" i="62" s="1"/>
  <c r="R63" i="62"/>
  <c r="O63" i="62"/>
  <c r="L63" i="62"/>
  <c r="G63" i="62"/>
  <c r="C63" i="62" a="1"/>
  <c r="C63" i="62" s="1"/>
  <c r="R62" i="62"/>
  <c r="O62" i="62"/>
  <c r="L62" i="62"/>
  <c r="G62" i="62"/>
  <c r="C62" i="62" a="1"/>
  <c r="C62" i="62" s="1"/>
  <c r="R61" i="62"/>
  <c r="O61" i="62"/>
  <c r="L61" i="62"/>
  <c r="G61" i="62"/>
  <c r="C61" i="62" a="1"/>
  <c r="C61" i="62" s="1"/>
  <c r="R60" i="62"/>
  <c r="O60" i="62"/>
  <c r="L60" i="62"/>
  <c r="G60" i="62"/>
  <c r="C60" i="62" a="1"/>
  <c r="C60" i="62" s="1"/>
  <c r="R59" i="62"/>
  <c r="O59" i="62"/>
  <c r="L59" i="62"/>
  <c r="J59" i="62"/>
  <c r="G59" i="62"/>
  <c r="C59" i="62" a="1"/>
  <c r="C59" i="62" s="1"/>
  <c r="R58" i="62"/>
  <c r="O58" i="62"/>
  <c r="L58" i="62"/>
  <c r="G58" i="62"/>
  <c r="C58" i="62" a="1"/>
  <c r="C58" i="62" s="1"/>
  <c r="R57" i="62"/>
  <c r="O57" i="62"/>
  <c r="L57" i="62"/>
  <c r="G57" i="62"/>
  <c r="C57" i="62" a="1"/>
  <c r="C57" i="62" s="1"/>
  <c r="R56" i="62"/>
  <c r="O56" i="62"/>
  <c r="L56" i="62"/>
  <c r="G56" i="62"/>
  <c r="C56" i="62" a="1"/>
  <c r="C56" i="62" s="1"/>
  <c r="R55" i="62"/>
  <c r="O55" i="62"/>
  <c r="L55" i="62"/>
  <c r="G55" i="62"/>
  <c r="C55" i="62" a="1"/>
  <c r="C55" i="62" s="1"/>
  <c r="R54" i="62"/>
  <c r="O54" i="62"/>
  <c r="L54" i="62"/>
  <c r="G54" i="62"/>
  <c r="C54" i="62" a="1"/>
  <c r="C54" i="62" s="1"/>
  <c r="R53" i="62"/>
  <c r="O53" i="62"/>
  <c r="L53" i="62"/>
  <c r="G53" i="62"/>
  <c r="C53" i="62" a="1"/>
  <c r="C53" i="62" s="1"/>
  <c r="R52" i="62"/>
  <c r="O52" i="62"/>
  <c r="L52" i="62"/>
  <c r="G52" i="62"/>
  <c r="C52" i="62" a="1"/>
  <c r="C52" i="62" s="1"/>
  <c r="R51" i="62"/>
  <c r="O51" i="62"/>
  <c r="L51" i="62"/>
  <c r="G51" i="62"/>
  <c r="C51" i="62" a="1"/>
  <c r="C51" i="62" s="1"/>
  <c r="R50" i="62"/>
  <c r="O50" i="62"/>
  <c r="L50" i="62"/>
  <c r="G50" i="62"/>
  <c r="C50" i="62" a="1"/>
  <c r="C50" i="62" s="1"/>
  <c r="R49" i="62"/>
  <c r="O49" i="62"/>
  <c r="L49" i="62"/>
  <c r="G49" i="62"/>
  <c r="C49" i="62" a="1"/>
  <c r="C49" i="62" s="1"/>
  <c r="R48" i="62"/>
  <c r="O48" i="62"/>
  <c r="L48" i="62"/>
  <c r="G48" i="62"/>
  <c r="C48" i="62" a="1"/>
  <c r="C48" i="62" s="1"/>
  <c r="R47" i="62"/>
  <c r="O47" i="62"/>
  <c r="L47" i="62"/>
  <c r="G47" i="62"/>
  <c r="C47" i="62" a="1"/>
  <c r="C47" i="62" s="1"/>
  <c r="R46" i="62"/>
  <c r="O46" i="62"/>
  <c r="L46" i="62"/>
  <c r="G46" i="62"/>
  <c r="C46" i="62"/>
  <c r="C46" i="62" a="1"/>
  <c r="R45" i="62"/>
  <c r="O45" i="62"/>
  <c r="L45" i="62"/>
  <c r="G45" i="62"/>
  <c r="C45" i="62" a="1"/>
  <c r="C45" i="62" s="1"/>
  <c r="R44" i="62"/>
  <c r="O44" i="62"/>
  <c r="L44" i="62"/>
  <c r="G44" i="62"/>
  <c r="C44" i="62"/>
  <c r="C44" i="62" a="1"/>
  <c r="R43" i="62"/>
  <c r="O43" i="62"/>
  <c r="L43" i="62"/>
  <c r="G43" i="62"/>
  <c r="C43" i="62" a="1"/>
  <c r="C43" i="62" s="1"/>
  <c r="R42" i="62"/>
  <c r="O42" i="62"/>
  <c r="L42" i="62"/>
  <c r="G42" i="62"/>
  <c r="C42" i="62" a="1"/>
  <c r="C42" i="62" s="1"/>
  <c r="R41" i="62"/>
  <c r="O41" i="62"/>
  <c r="L41" i="62"/>
  <c r="G41" i="62"/>
  <c r="C41" i="62"/>
  <c r="C41" i="62" a="1"/>
  <c r="R40" i="62"/>
  <c r="O40" i="62"/>
  <c r="L40" i="62"/>
  <c r="G40" i="62"/>
  <c r="C40" i="62"/>
  <c r="C40" i="62" a="1"/>
  <c r="R39" i="62"/>
  <c r="O39" i="62"/>
  <c r="L39" i="62"/>
  <c r="G39" i="62"/>
  <c r="C39" i="62" a="1"/>
  <c r="C39" i="62" s="1"/>
  <c r="R38" i="62"/>
  <c r="O38" i="62"/>
  <c r="L38" i="62"/>
  <c r="G38" i="62"/>
  <c r="C38" i="62" a="1"/>
  <c r="C38" i="62" s="1"/>
  <c r="R37" i="62"/>
  <c r="O37" i="62"/>
  <c r="L37" i="62"/>
  <c r="G37" i="62"/>
  <c r="C37" i="62"/>
  <c r="C37" i="62" a="1"/>
  <c r="R36" i="62"/>
  <c r="O36" i="62"/>
  <c r="L36" i="62"/>
  <c r="G36" i="62"/>
  <c r="C36" i="62" a="1"/>
  <c r="C36" i="62" s="1"/>
  <c r="R35" i="62"/>
  <c r="O35" i="62"/>
  <c r="L35" i="62"/>
  <c r="G35" i="62"/>
  <c r="C35" i="62" a="1"/>
  <c r="C35" i="62" s="1"/>
  <c r="R34" i="62"/>
  <c r="O34" i="62"/>
  <c r="L34" i="62"/>
  <c r="G34" i="62"/>
  <c r="C34" i="62" a="1"/>
  <c r="C34" i="62" s="1"/>
  <c r="R33" i="62"/>
  <c r="O33" i="62"/>
  <c r="L33" i="62"/>
  <c r="J33" i="62"/>
  <c r="G33" i="62"/>
  <c r="C33" i="62"/>
  <c r="C33" i="62" a="1"/>
  <c r="R32" i="62"/>
  <c r="O32" i="62"/>
  <c r="L32" i="62"/>
  <c r="G32" i="62"/>
  <c r="C32" i="62"/>
  <c r="C32" i="62" a="1"/>
  <c r="R31" i="62"/>
  <c r="O31" i="62"/>
  <c r="L31" i="62"/>
  <c r="G31" i="62"/>
  <c r="C31" i="62" a="1"/>
  <c r="C31" i="62" s="1"/>
  <c r="R30" i="62"/>
  <c r="O30" i="62"/>
  <c r="L30" i="62"/>
  <c r="G30" i="62"/>
  <c r="H30" i="62" s="1"/>
  <c r="C30" i="62" a="1"/>
  <c r="C30" i="62" s="1"/>
  <c r="R29" i="62"/>
  <c r="O29" i="62"/>
  <c r="L29" i="62"/>
  <c r="G29" i="62"/>
  <c r="C29" i="62"/>
  <c r="C29" i="62" a="1"/>
  <c r="R28" i="62"/>
  <c r="O28" i="62"/>
  <c r="L28" i="62"/>
  <c r="G28" i="62"/>
  <c r="C28" i="62"/>
  <c r="C28" i="62" a="1"/>
  <c r="R27" i="62"/>
  <c r="O27" i="62"/>
  <c r="L27" i="62"/>
  <c r="G27" i="62"/>
  <c r="C27" i="62"/>
  <c r="C27" i="62" a="1"/>
  <c r="R26" i="62"/>
  <c r="O26" i="62"/>
  <c r="P26" i="62" s="1"/>
  <c r="L26" i="62"/>
  <c r="J26" i="62"/>
  <c r="G26" i="62"/>
  <c r="C26" i="62"/>
  <c r="C26" i="62" a="1"/>
  <c r="R25" i="62"/>
  <c r="O25" i="62"/>
  <c r="L25" i="62"/>
  <c r="G25" i="62"/>
  <c r="H25" i="62" s="1"/>
  <c r="C25" i="62" a="1"/>
  <c r="C25" i="62" s="1"/>
  <c r="X24" i="62"/>
  <c r="R24" i="62"/>
  <c r="O24" i="62"/>
  <c r="L24" i="62"/>
  <c r="G24" i="62"/>
  <c r="C24" i="62"/>
  <c r="C24" i="62" a="1"/>
  <c r="X23" i="62"/>
  <c r="R23" i="62"/>
  <c r="O23" i="62"/>
  <c r="L23" i="62"/>
  <c r="G23" i="62"/>
  <c r="C23" i="62" a="1"/>
  <c r="C23" i="62" s="1"/>
  <c r="X22" i="62"/>
  <c r="R22" i="62"/>
  <c r="O22" i="62"/>
  <c r="L22" i="62"/>
  <c r="G22" i="62"/>
  <c r="C22" i="62" a="1"/>
  <c r="C22" i="62" s="1"/>
  <c r="X21" i="62"/>
  <c r="R21" i="62"/>
  <c r="O21" i="62"/>
  <c r="P21" i="62" s="1"/>
  <c r="L21" i="62"/>
  <c r="J21" i="62"/>
  <c r="G21" i="62"/>
  <c r="C21" i="62" a="1"/>
  <c r="C21" i="62" s="1"/>
  <c r="X20" i="62"/>
  <c r="R20" i="62"/>
  <c r="O20" i="62"/>
  <c r="P20" i="62" s="1"/>
  <c r="L20" i="62"/>
  <c r="J20" i="62"/>
  <c r="G20" i="62"/>
  <c r="C20" i="62" a="1"/>
  <c r="C20" i="62" s="1"/>
  <c r="X19" i="62"/>
  <c r="R19" i="62"/>
  <c r="O19" i="62"/>
  <c r="P19" i="62" s="1"/>
  <c r="L19" i="62"/>
  <c r="J19" i="62"/>
  <c r="G19" i="62"/>
  <c r="D19" i="62"/>
  <c r="I19" i="62" s="1" a="1"/>
  <c r="I19" i="62" s="1"/>
  <c r="C19" i="62" a="1"/>
  <c r="C19" i="62" s="1"/>
  <c r="D14" i="62"/>
  <c r="D13" i="62"/>
  <c r="D11" i="62"/>
  <c r="D10" i="62"/>
  <c r="K8" i="62"/>
  <c r="I8" i="62"/>
  <c r="G8" i="62"/>
  <c r="D8" i="62"/>
  <c r="D7" i="62"/>
  <c r="J8" i="62"/>
  <c r="H8" i="62"/>
  <c r="S5" i="62"/>
  <c r="X28" i="62" s="1"/>
  <c r="D5" i="62"/>
  <c r="J23" i="62" s="1"/>
  <c r="S4" i="62"/>
  <c r="X27" i="62" s="1"/>
  <c r="S3" i="62"/>
  <c r="X26" i="62" s="1"/>
  <c r="S2" i="62"/>
  <c r="X25" i="62" s="1"/>
  <c r="D2" i="62"/>
  <c r="M30" i="52"/>
  <c r="L30" i="52"/>
  <c r="K30" i="52"/>
  <c r="J30" i="52"/>
  <c r="I28" i="52"/>
  <c r="I30" i="52" s="1"/>
  <c r="M19" i="52"/>
  <c r="L17" i="52"/>
  <c r="L19" i="52" s="1"/>
  <c r="K17" i="52"/>
  <c r="K19" i="52" s="1"/>
  <c r="J17" i="52"/>
  <c r="J19" i="52" s="1"/>
  <c r="I17" i="52"/>
  <c r="I19" i="52" s="1"/>
  <c r="O10" i="44"/>
  <c r="D103" i="35"/>
  <c r="E103" i="35"/>
  <c r="F103" i="35"/>
  <c r="G103" i="35"/>
  <c r="H103" i="35"/>
  <c r="I103" i="35"/>
  <c r="J103" i="35"/>
  <c r="K103" i="35"/>
  <c r="L103" i="35"/>
  <c r="M103" i="35"/>
  <c r="N103" i="35"/>
  <c r="C103" i="35"/>
  <c r="C70" i="35"/>
  <c r="I7" i="50"/>
  <c r="G44" i="42"/>
  <c r="I41" i="27"/>
  <c r="G41" i="27"/>
  <c r="F41" i="27"/>
  <c r="E41" i="27"/>
  <c r="C10" i="4"/>
  <c r="G6" i="55"/>
  <c r="O3" i="53"/>
  <c r="L4" i="58"/>
  <c r="M4" i="58"/>
  <c r="K4" i="58"/>
  <c r="J4" i="58"/>
  <c r="I4" i="58"/>
  <c r="H4" i="58"/>
  <c r="G4" i="58"/>
  <c r="F4" i="58"/>
  <c r="E4" i="58"/>
  <c r="D4" i="58"/>
  <c r="C4" i="58"/>
  <c r="B4" i="58"/>
  <c r="C23" i="58"/>
  <c r="C7" i="58" s="1"/>
  <c r="D23" i="58"/>
  <c r="D7" i="58" s="1"/>
  <c r="E23" i="58"/>
  <c r="E7" i="58" s="1"/>
  <c r="F23" i="58"/>
  <c r="F7" i="58" s="1"/>
  <c r="G23" i="58"/>
  <c r="G7" i="58" s="1"/>
  <c r="H23" i="58"/>
  <c r="H7" i="58" s="1"/>
  <c r="I23" i="58"/>
  <c r="I7" i="58" s="1"/>
  <c r="J23" i="58"/>
  <c r="J7" i="58" s="1"/>
  <c r="K23" i="58"/>
  <c r="K7" i="58" s="1"/>
  <c r="L23" i="58"/>
  <c r="L7" i="58" s="1"/>
  <c r="M23" i="58"/>
  <c r="M7" i="58" s="1"/>
  <c r="B23" i="58"/>
  <c r="B7" i="58" s="1"/>
  <c r="C22" i="58"/>
  <c r="C5" i="58" s="1"/>
  <c r="D22" i="58"/>
  <c r="D5" i="58" s="1"/>
  <c r="E22" i="58"/>
  <c r="E5" i="58" s="1"/>
  <c r="F22" i="58"/>
  <c r="F5" i="58" s="1"/>
  <c r="G22" i="58"/>
  <c r="G5" i="58" s="1"/>
  <c r="H22" i="58"/>
  <c r="H5" i="58" s="1"/>
  <c r="I22" i="58"/>
  <c r="I5" i="58" s="1"/>
  <c r="J22" i="58"/>
  <c r="J5" i="58" s="1"/>
  <c r="K22" i="58"/>
  <c r="K5" i="58" s="1"/>
  <c r="L22" i="58"/>
  <c r="L5" i="58" s="1"/>
  <c r="M22" i="58"/>
  <c r="M5" i="58" s="1"/>
  <c r="B22" i="58"/>
  <c r="B5" i="58" s="1"/>
  <c r="Q7" i="58"/>
  <c r="G8" i="58" s="1"/>
  <c r="F10" i="57"/>
  <c r="O4" i="53"/>
  <c r="C115" i="35"/>
  <c r="Q3" i="53"/>
  <c r="P3" i="53"/>
  <c r="I5" i="42"/>
  <c r="P43" i="63" l="1"/>
  <c r="H81" i="63"/>
  <c r="I19" i="63" a="1"/>
  <c r="I19" i="63" s="1"/>
  <c r="F19" i="63" a="1"/>
  <c r="F19" i="63" s="1"/>
  <c r="N19" i="63" a="1"/>
  <c r="N19" i="63" s="1"/>
  <c r="G8" i="63"/>
  <c r="E19" i="63" a="1"/>
  <c r="E19" i="63" s="1"/>
  <c r="M78" i="63"/>
  <c r="M74" i="63"/>
  <c r="M70" i="63"/>
  <c r="M66" i="63"/>
  <c r="M62" i="63"/>
  <c r="M58" i="63"/>
  <c r="M54" i="63"/>
  <c r="M50" i="63"/>
  <c r="M46" i="63"/>
  <c r="M79" i="63"/>
  <c r="M75" i="63"/>
  <c r="M71" i="63"/>
  <c r="M67" i="63"/>
  <c r="M63" i="63"/>
  <c r="M59" i="63"/>
  <c r="M55" i="63"/>
  <c r="M51" i="63"/>
  <c r="M47" i="63"/>
  <c r="M80" i="63"/>
  <c r="M76" i="63"/>
  <c r="M72" i="63"/>
  <c r="M68" i="63"/>
  <c r="M64" i="63"/>
  <c r="M60" i="63"/>
  <c r="M56" i="63"/>
  <c r="M52" i="63"/>
  <c r="M48" i="63"/>
  <c r="M81" i="63"/>
  <c r="M77" i="63"/>
  <c r="M73" i="63"/>
  <c r="M69" i="63"/>
  <c r="M65" i="63"/>
  <c r="M61" i="63"/>
  <c r="M57" i="63"/>
  <c r="M53" i="63"/>
  <c r="M49" i="63"/>
  <c r="M45" i="63"/>
  <c r="M43" i="63"/>
  <c r="M39" i="63"/>
  <c r="M35" i="63"/>
  <c r="M31" i="63"/>
  <c r="M25" i="63"/>
  <c r="M26" i="63"/>
  <c r="M40" i="63"/>
  <c r="M36" i="63"/>
  <c r="M32" i="63"/>
  <c r="M27" i="63"/>
  <c r="M44" i="63"/>
  <c r="M28" i="63"/>
  <c r="M20" i="63"/>
  <c r="M19" i="63"/>
  <c r="M41" i="63"/>
  <c r="M37" i="63"/>
  <c r="M33" i="63"/>
  <c r="M29" i="63"/>
  <c r="M21" i="63"/>
  <c r="M22" i="63"/>
  <c r="M42" i="63"/>
  <c r="M38" i="63"/>
  <c r="M34" i="63"/>
  <c r="M30" i="63"/>
  <c r="M23" i="63"/>
  <c r="J20" i="63"/>
  <c r="K19" i="63" a="1"/>
  <c r="K19" i="63" s="1"/>
  <c r="J80" i="63"/>
  <c r="J76" i="63"/>
  <c r="J72" i="63"/>
  <c r="J68" i="63"/>
  <c r="J64" i="63"/>
  <c r="J60" i="63"/>
  <c r="J56" i="63"/>
  <c r="J52" i="63"/>
  <c r="J48" i="63"/>
  <c r="J81" i="63"/>
  <c r="J77" i="63"/>
  <c r="J73" i="63"/>
  <c r="J69" i="63"/>
  <c r="J65" i="63"/>
  <c r="J61" i="63"/>
  <c r="J57" i="63"/>
  <c r="J53" i="63"/>
  <c r="J49" i="63"/>
  <c r="J45" i="63"/>
  <c r="J78" i="63"/>
  <c r="J74" i="63"/>
  <c r="J70" i="63"/>
  <c r="J66" i="63"/>
  <c r="J62" i="63"/>
  <c r="J58" i="63"/>
  <c r="J54" i="63"/>
  <c r="J50" i="63"/>
  <c r="J79" i="63"/>
  <c r="J75" i="63"/>
  <c r="J71" i="63"/>
  <c r="J67" i="63"/>
  <c r="J63" i="63"/>
  <c r="J59" i="63"/>
  <c r="J55" i="63"/>
  <c r="J51" i="63"/>
  <c r="J47" i="63"/>
  <c r="J41" i="63"/>
  <c r="J37" i="63"/>
  <c r="J33" i="63"/>
  <c r="J29" i="63"/>
  <c r="J22" i="63"/>
  <c r="J42" i="63"/>
  <c r="J38" i="63"/>
  <c r="J34" i="63"/>
  <c r="J30" i="63"/>
  <c r="J23" i="63"/>
  <c r="J46" i="63"/>
  <c r="J24" i="63"/>
  <c r="J43" i="63"/>
  <c r="J39" i="63"/>
  <c r="J35" i="63"/>
  <c r="J31" i="63"/>
  <c r="J25" i="63"/>
  <c r="J26" i="63"/>
  <c r="J44" i="63"/>
  <c r="J40" i="63"/>
  <c r="J36" i="63"/>
  <c r="J32" i="63"/>
  <c r="J27" i="63"/>
  <c r="J21" i="63"/>
  <c r="H24" i="63"/>
  <c r="P27" i="63"/>
  <c r="P32" i="63"/>
  <c r="P36" i="63"/>
  <c r="P40" i="63"/>
  <c r="H45" i="63"/>
  <c r="H52" i="63"/>
  <c r="H60" i="63"/>
  <c r="H65" i="63"/>
  <c r="H23" i="63"/>
  <c r="P26" i="63"/>
  <c r="H30" i="63"/>
  <c r="H34" i="63"/>
  <c r="H38" i="63"/>
  <c r="H42" i="63"/>
  <c r="H46" i="63"/>
  <c r="H49" i="63"/>
  <c r="H57" i="63"/>
  <c r="H22" i="63"/>
  <c r="P25" i="63"/>
  <c r="P31" i="63"/>
  <c r="P35" i="63"/>
  <c r="P39" i="63"/>
  <c r="H54" i="63"/>
  <c r="H62" i="63"/>
  <c r="H73" i="63"/>
  <c r="P80" i="63"/>
  <c r="P76" i="63"/>
  <c r="P72" i="63"/>
  <c r="P68" i="63"/>
  <c r="P64" i="63"/>
  <c r="P60" i="63"/>
  <c r="P56" i="63"/>
  <c r="P52" i="63"/>
  <c r="P48" i="63"/>
  <c r="P81" i="63"/>
  <c r="P77" i="63"/>
  <c r="P73" i="63"/>
  <c r="P69" i="63"/>
  <c r="P65" i="63"/>
  <c r="P61" i="63"/>
  <c r="P57" i="63"/>
  <c r="P53" i="63"/>
  <c r="P49" i="63"/>
  <c r="P45" i="63"/>
  <c r="P78" i="63"/>
  <c r="P74" i="63"/>
  <c r="P70" i="63"/>
  <c r="P66" i="63"/>
  <c r="P62" i="63"/>
  <c r="P58" i="63"/>
  <c r="P54" i="63"/>
  <c r="P50" i="63"/>
  <c r="P46" i="63"/>
  <c r="P79" i="63"/>
  <c r="P75" i="63"/>
  <c r="P71" i="63"/>
  <c r="P67" i="63"/>
  <c r="P63" i="63"/>
  <c r="P59" i="63"/>
  <c r="P55" i="63"/>
  <c r="P51" i="63"/>
  <c r="P47" i="63"/>
  <c r="H79" i="63"/>
  <c r="H75" i="63"/>
  <c r="H71" i="63"/>
  <c r="H67" i="63"/>
  <c r="H80" i="63"/>
  <c r="H76" i="63"/>
  <c r="H72" i="63"/>
  <c r="H68" i="63"/>
  <c r="H78" i="63"/>
  <c r="H74" i="63"/>
  <c r="H70" i="63"/>
  <c r="H66" i="63"/>
  <c r="H21" i="63"/>
  <c r="P24" i="63"/>
  <c r="H29" i="63"/>
  <c r="H33" i="63"/>
  <c r="H37" i="63"/>
  <c r="H41" i="63"/>
  <c r="H51" i="63"/>
  <c r="H59" i="63"/>
  <c r="H19" i="63"/>
  <c r="H20" i="63"/>
  <c r="P23" i="63"/>
  <c r="H28" i="63"/>
  <c r="P30" i="63"/>
  <c r="P34" i="63"/>
  <c r="P38" i="63"/>
  <c r="P42" i="63"/>
  <c r="H48" i="63"/>
  <c r="H56" i="63"/>
  <c r="H64" i="63"/>
  <c r="P22" i="63"/>
  <c r="H27" i="63"/>
  <c r="H32" i="63"/>
  <c r="H36" i="63"/>
  <c r="H40" i="63"/>
  <c r="H44" i="63"/>
  <c r="H53" i="63"/>
  <c r="H61" i="63"/>
  <c r="H26" i="63"/>
  <c r="P29" i="63"/>
  <c r="P33" i="63"/>
  <c r="P37" i="63"/>
  <c r="P41" i="63"/>
  <c r="P44" i="63"/>
  <c r="H50" i="63"/>
  <c r="H58" i="63"/>
  <c r="H69" i="63"/>
  <c r="H77" i="63"/>
  <c r="H67" i="62"/>
  <c r="P34" i="62"/>
  <c r="M40" i="62"/>
  <c r="M23" i="62"/>
  <c r="H24" i="62"/>
  <c r="H27" i="62"/>
  <c r="M28" i="62"/>
  <c r="J29" i="62"/>
  <c r="J30" i="62"/>
  <c r="M32" i="62"/>
  <c r="J42" i="62"/>
  <c r="M22" i="62"/>
  <c r="H23" i="62"/>
  <c r="P55" i="62"/>
  <c r="M24" i="62"/>
  <c r="M21" i="62"/>
  <c r="H22" i="62"/>
  <c r="J25" i="62"/>
  <c r="P25" i="62"/>
  <c r="H28" i="62"/>
  <c r="M31" i="62"/>
  <c r="J38" i="62"/>
  <c r="M78" i="62"/>
  <c r="M74" i="62"/>
  <c r="M70" i="62"/>
  <c r="M66" i="62"/>
  <c r="M62" i="62"/>
  <c r="M58" i="62"/>
  <c r="M54" i="62"/>
  <c r="M50" i="62"/>
  <c r="M46" i="62"/>
  <c r="M79" i="62"/>
  <c r="M75" i="62"/>
  <c r="M71" i="62"/>
  <c r="M67" i="62"/>
  <c r="M63" i="62"/>
  <c r="M59" i="62"/>
  <c r="M55" i="62"/>
  <c r="M51" i="62"/>
  <c r="M47" i="62"/>
  <c r="M80" i="62"/>
  <c r="M76" i="62"/>
  <c r="M72" i="62"/>
  <c r="M68" i="62"/>
  <c r="M64" i="62"/>
  <c r="M60" i="62"/>
  <c r="M56" i="62"/>
  <c r="M52" i="62"/>
  <c r="M48" i="62"/>
  <c r="M44" i="62"/>
  <c r="M81" i="62"/>
  <c r="M77" i="62"/>
  <c r="M73" i="62"/>
  <c r="M53" i="62"/>
  <c r="M41" i="62"/>
  <c r="M37" i="62"/>
  <c r="M33" i="62"/>
  <c r="M29" i="62"/>
  <c r="M65" i="62"/>
  <c r="M45" i="62"/>
  <c r="M42" i="62"/>
  <c r="M38" i="62"/>
  <c r="M34" i="62"/>
  <c r="M30" i="62"/>
  <c r="M57" i="62"/>
  <c r="M69" i="62"/>
  <c r="M43" i="62"/>
  <c r="M39" i="62"/>
  <c r="M35" i="62"/>
  <c r="M49" i="62"/>
  <c r="M20" i="62"/>
  <c r="H21" i="62"/>
  <c r="J24" i="62"/>
  <c r="P24" i="62"/>
  <c r="M26" i="62"/>
  <c r="H32" i="62"/>
  <c r="H35" i="62"/>
  <c r="P42" i="62"/>
  <c r="H68" i="62"/>
  <c r="H19" i="62"/>
  <c r="N19" i="62" a="1"/>
  <c r="N19" i="62" s="1"/>
  <c r="H20" i="62"/>
  <c r="P23" i="62"/>
  <c r="P28" i="62"/>
  <c r="P33" i="62"/>
  <c r="M36" i="62"/>
  <c r="H45" i="62"/>
  <c r="E19" i="62" a="1"/>
  <c r="E19" i="62" s="1"/>
  <c r="H79" i="62"/>
  <c r="H80" i="62"/>
  <c r="H81" i="62"/>
  <c r="H78" i="62"/>
  <c r="H75" i="62"/>
  <c r="H57" i="62"/>
  <c r="H48" i="62"/>
  <c r="H47" i="62"/>
  <c r="H46" i="62"/>
  <c r="H41" i="62"/>
  <c r="H37" i="62"/>
  <c r="H33" i="62"/>
  <c r="H69" i="62"/>
  <c r="H60" i="62"/>
  <c r="H59" i="62"/>
  <c r="H58" i="62"/>
  <c r="H72" i="62"/>
  <c r="H71" i="62"/>
  <c r="H70" i="62"/>
  <c r="H49" i="62"/>
  <c r="H42" i="62"/>
  <c r="H38" i="62"/>
  <c r="H76" i="62"/>
  <c r="H61" i="62"/>
  <c r="H52" i="62"/>
  <c r="H51" i="62"/>
  <c r="H50" i="62"/>
  <c r="H73" i="62"/>
  <c r="H64" i="62"/>
  <c r="H63" i="62"/>
  <c r="H62" i="62"/>
  <c r="H43" i="62"/>
  <c r="H39" i="62"/>
  <c r="H74" i="62"/>
  <c r="H53" i="62"/>
  <c r="H77" i="62"/>
  <c r="H65" i="62"/>
  <c r="H56" i="62"/>
  <c r="H55" i="62"/>
  <c r="H54" i="62"/>
  <c r="H44" i="62"/>
  <c r="H40" i="62"/>
  <c r="H36" i="62"/>
  <c r="K19" i="62" a="1"/>
  <c r="K19" i="62" s="1"/>
  <c r="J80" i="62"/>
  <c r="J76" i="62"/>
  <c r="J72" i="62"/>
  <c r="J68" i="62"/>
  <c r="J64" i="62"/>
  <c r="J60" i="62"/>
  <c r="J56" i="62"/>
  <c r="J52" i="62"/>
  <c r="J48" i="62"/>
  <c r="J44" i="62"/>
  <c r="J81" i="62"/>
  <c r="J77" i="62"/>
  <c r="J73" i="62"/>
  <c r="J69" i="62"/>
  <c r="J65" i="62"/>
  <c r="J61" i="62"/>
  <c r="J57" i="62"/>
  <c r="J53" i="62"/>
  <c r="J49" i="62"/>
  <c r="J45" i="62"/>
  <c r="J78" i="62"/>
  <c r="J74" i="62"/>
  <c r="J70" i="62"/>
  <c r="J66" i="62"/>
  <c r="J62" i="62"/>
  <c r="J58" i="62"/>
  <c r="J54" i="62"/>
  <c r="J50" i="62"/>
  <c r="J46" i="62"/>
  <c r="J79" i="62"/>
  <c r="J75" i="62"/>
  <c r="J71" i="62"/>
  <c r="J51" i="62"/>
  <c r="J43" i="62"/>
  <c r="J39" i="62"/>
  <c r="J35" i="62"/>
  <c r="J31" i="62"/>
  <c r="J63" i="62"/>
  <c r="J40" i="62"/>
  <c r="J36" i="62"/>
  <c r="J32" i="62"/>
  <c r="J27" i="62"/>
  <c r="J55" i="62"/>
  <c r="J67" i="62"/>
  <c r="J41" i="62"/>
  <c r="J37" i="62"/>
  <c r="J47" i="62"/>
  <c r="P80" i="62"/>
  <c r="P76" i="62"/>
  <c r="P72" i="62"/>
  <c r="P68" i="62"/>
  <c r="P64" i="62"/>
  <c r="P60" i="62"/>
  <c r="P56" i="62"/>
  <c r="P52" i="62"/>
  <c r="P48" i="62"/>
  <c r="P44" i="62"/>
  <c r="P81" i="62"/>
  <c r="P77" i="62"/>
  <c r="P73" i="62"/>
  <c r="P69" i="62"/>
  <c r="P65" i="62"/>
  <c r="P61" i="62"/>
  <c r="P57" i="62"/>
  <c r="P53" i="62"/>
  <c r="P49" i="62"/>
  <c r="P45" i="62"/>
  <c r="P78" i="62"/>
  <c r="P74" i="62"/>
  <c r="P70" i="62"/>
  <c r="P66" i="62"/>
  <c r="P62" i="62"/>
  <c r="P58" i="62"/>
  <c r="P54" i="62"/>
  <c r="P50" i="62"/>
  <c r="P46" i="62"/>
  <c r="P79" i="62"/>
  <c r="P75" i="62"/>
  <c r="P67" i="62"/>
  <c r="P47" i="62"/>
  <c r="P43" i="62"/>
  <c r="P39" i="62"/>
  <c r="P35" i="62"/>
  <c r="P31" i="62"/>
  <c r="P59" i="62"/>
  <c r="P71" i="62"/>
  <c r="P40" i="62"/>
  <c r="P36" i="62"/>
  <c r="P32" i="62"/>
  <c r="P27" i="62"/>
  <c r="P51" i="62"/>
  <c r="P63" i="62"/>
  <c r="P41" i="62"/>
  <c r="P37" i="62"/>
  <c r="F19" i="62" a="1"/>
  <c r="F19" i="62" s="1"/>
  <c r="M19" i="62"/>
  <c r="J22" i="62"/>
  <c r="P22" i="62"/>
  <c r="H26" i="62"/>
  <c r="M27" i="62"/>
  <c r="J28" i="62"/>
  <c r="H29" i="62"/>
  <c r="H34" i="62"/>
  <c r="P38" i="62"/>
  <c r="M61" i="62"/>
  <c r="H66" i="62"/>
  <c r="M25" i="62"/>
  <c r="P29" i="62"/>
  <c r="P30" i="62"/>
  <c r="H31" i="62"/>
  <c r="J34" i="62"/>
  <c r="J41" i="27"/>
  <c r="J6" i="58"/>
  <c r="B8" i="58"/>
  <c r="F8" i="58"/>
  <c r="I6" i="58"/>
  <c r="M8" i="58"/>
  <c r="E8" i="58"/>
  <c r="E9" i="58" s="1"/>
  <c r="H6" i="58"/>
  <c r="L8" i="58"/>
  <c r="L9" i="58" s="1"/>
  <c r="D8" i="58"/>
  <c r="G6" i="58"/>
  <c r="G9" i="58" s="1"/>
  <c r="K8" i="58"/>
  <c r="C8" i="58"/>
  <c r="B6" i="58"/>
  <c r="B9" i="58" s="1"/>
  <c r="F6" i="58"/>
  <c r="F9" i="58" s="1"/>
  <c r="J8" i="58"/>
  <c r="J9" i="58" s="1"/>
  <c r="M6" i="58"/>
  <c r="E6" i="58"/>
  <c r="I8" i="58"/>
  <c r="L6" i="58"/>
  <c r="D6" i="58"/>
  <c r="H8" i="58"/>
  <c r="K6" i="58"/>
  <c r="C6" i="58"/>
  <c r="Q19" i="63" l="1"/>
  <c r="D20" i="63" s="1"/>
  <c r="Q19" i="62"/>
  <c r="D20" i="62" s="1"/>
  <c r="N41" i="27"/>
  <c r="O41" i="27" s="1"/>
  <c r="P41" i="27" s="1"/>
  <c r="M41" i="27"/>
  <c r="H9" i="58"/>
  <c r="C9" i="58"/>
  <c r="A11" i="58" s="1"/>
  <c r="K9" i="58"/>
  <c r="I9" i="58"/>
  <c r="M9" i="58"/>
  <c r="D9" i="58"/>
  <c r="G11" i="56"/>
  <c r="G8" i="56"/>
  <c r="C309" i="33"/>
  <c r="G12" i="56"/>
  <c r="C12" i="56"/>
  <c r="C11" i="56"/>
  <c r="D2" i="51"/>
  <c r="I20" i="63" l="1" a="1"/>
  <c r="I20" i="63" s="1"/>
  <c r="F20" i="63" a="1"/>
  <c r="F20" i="63" s="1"/>
  <c r="N20" i="63" a="1"/>
  <c r="N20" i="63" s="1"/>
  <c r="K20" i="63" a="1"/>
  <c r="K20" i="63" s="1"/>
  <c r="E20" i="63" a="1"/>
  <c r="E20" i="63" s="1"/>
  <c r="I20" i="62" a="1"/>
  <c r="I20" i="62" s="1"/>
  <c r="F20" i="62" a="1"/>
  <c r="F20" i="62" s="1"/>
  <c r="K20" i="62" a="1"/>
  <c r="K20" i="62" s="1"/>
  <c r="N20" i="62" a="1"/>
  <c r="N20" i="62" s="1"/>
  <c r="E20" i="62" a="1"/>
  <c r="E20" i="62" s="1"/>
  <c r="F2" i="43"/>
  <c r="X28" i="51"/>
  <c r="S5" i="51"/>
  <c r="X27" i="51"/>
  <c r="S4" i="51"/>
  <c r="G2" i="55"/>
  <c r="C2" i="55"/>
  <c r="D2" i="55" s="1"/>
  <c r="S2" i="51"/>
  <c r="S3" i="51"/>
  <c r="X26" i="51"/>
  <c r="X25" i="51"/>
  <c r="N309" i="33"/>
  <c r="M309" i="33"/>
  <c r="L309" i="33"/>
  <c r="K309" i="33"/>
  <c r="J309" i="33"/>
  <c r="I309" i="33"/>
  <c r="H309" i="33"/>
  <c r="G309" i="33"/>
  <c r="F309" i="33"/>
  <c r="E309" i="33"/>
  <c r="D309" i="33"/>
  <c r="N273" i="33"/>
  <c r="M273" i="33"/>
  <c r="L273" i="33"/>
  <c r="K273" i="33"/>
  <c r="J273" i="33"/>
  <c r="I273" i="33"/>
  <c r="H273" i="33"/>
  <c r="G273" i="33"/>
  <c r="F273" i="33"/>
  <c r="E273" i="33"/>
  <c r="D273" i="33"/>
  <c r="C273" i="33"/>
  <c r="N237" i="33"/>
  <c r="M237" i="33"/>
  <c r="L237" i="33"/>
  <c r="K237" i="33"/>
  <c r="J237" i="33"/>
  <c r="I237" i="33"/>
  <c r="H237" i="33"/>
  <c r="G237" i="33"/>
  <c r="F237" i="33"/>
  <c r="E237" i="33"/>
  <c r="D237" i="33"/>
  <c r="C237" i="33"/>
  <c r="N201" i="33"/>
  <c r="M201" i="33"/>
  <c r="L201" i="33"/>
  <c r="K201" i="33"/>
  <c r="J201" i="33"/>
  <c r="I201" i="33"/>
  <c r="H201" i="33"/>
  <c r="G201" i="33"/>
  <c r="F201" i="33"/>
  <c r="E201" i="33"/>
  <c r="D201" i="33"/>
  <c r="C201" i="33"/>
  <c r="N165" i="33"/>
  <c r="M165" i="33"/>
  <c r="L165" i="33"/>
  <c r="K165" i="33"/>
  <c r="J165" i="33"/>
  <c r="I165" i="33"/>
  <c r="H165" i="33"/>
  <c r="G165" i="33"/>
  <c r="F165" i="33"/>
  <c r="E165" i="33"/>
  <c r="D165" i="33"/>
  <c r="C165" i="33"/>
  <c r="N129" i="33"/>
  <c r="M129" i="33"/>
  <c r="L129" i="33"/>
  <c r="K129" i="33"/>
  <c r="J129" i="33"/>
  <c r="I129" i="33"/>
  <c r="H129" i="33"/>
  <c r="G129" i="33"/>
  <c r="F129" i="33"/>
  <c r="E129" i="33"/>
  <c r="D129" i="33"/>
  <c r="C129" i="33"/>
  <c r="N93" i="33"/>
  <c r="M93" i="33"/>
  <c r="L93" i="33"/>
  <c r="K93" i="33"/>
  <c r="J93" i="33"/>
  <c r="I93" i="33"/>
  <c r="H93" i="33"/>
  <c r="G93" i="33"/>
  <c r="F93" i="33"/>
  <c r="E93" i="33"/>
  <c r="D93" i="33"/>
  <c r="C93" i="33"/>
  <c r="N57" i="33"/>
  <c r="M57" i="33"/>
  <c r="L57" i="33"/>
  <c r="K57" i="33"/>
  <c r="J57" i="33"/>
  <c r="I57" i="33"/>
  <c r="H57" i="33"/>
  <c r="G57" i="33"/>
  <c r="F57" i="33"/>
  <c r="E57" i="33"/>
  <c r="D57" i="33"/>
  <c r="C57" i="33"/>
  <c r="N21" i="33"/>
  <c r="M21" i="33"/>
  <c r="L21" i="33"/>
  <c r="K21" i="33"/>
  <c r="J21" i="33"/>
  <c r="I21" i="33"/>
  <c r="H21" i="33"/>
  <c r="G21" i="33"/>
  <c r="F21" i="33"/>
  <c r="E21" i="33"/>
  <c r="D21" i="33"/>
  <c r="C21" i="33"/>
  <c r="N55" i="32"/>
  <c r="M55" i="32"/>
  <c r="L55" i="32"/>
  <c r="K55" i="32"/>
  <c r="J55" i="32"/>
  <c r="I55" i="32"/>
  <c r="H55" i="32"/>
  <c r="G55" i="32"/>
  <c r="F55" i="32"/>
  <c r="E55" i="32"/>
  <c r="D55" i="32"/>
  <c r="C55" i="32"/>
  <c r="D20" i="32"/>
  <c r="E20" i="32"/>
  <c r="F20" i="32"/>
  <c r="G20" i="32"/>
  <c r="H20" i="32"/>
  <c r="I20" i="32"/>
  <c r="J20" i="32"/>
  <c r="K20" i="32"/>
  <c r="L20" i="32"/>
  <c r="M20" i="32"/>
  <c r="N20" i="32"/>
  <c r="C20" i="32"/>
  <c r="X24" i="51"/>
  <c r="X23" i="51"/>
  <c r="X22" i="51"/>
  <c r="X21" i="51"/>
  <c r="F8" i="57" s="1"/>
  <c r="X20" i="51"/>
  <c r="X19" i="51"/>
  <c r="R20" i="51"/>
  <c r="R21" i="51"/>
  <c r="R22" i="51"/>
  <c r="R23" i="51"/>
  <c r="R24" i="51"/>
  <c r="R25" i="51"/>
  <c r="R26" i="51"/>
  <c r="R27" i="51"/>
  <c r="J2" i="47"/>
  <c r="I2" i="47"/>
  <c r="F3" i="55"/>
  <c r="G3" i="55"/>
  <c r="F4" i="55"/>
  <c r="F5" i="55"/>
  <c r="F6" i="55"/>
  <c r="F7" i="55"/>
  <c r="F8" i="55"/>
  <c r="G8" i="55" s="1"/>
  <c r="F9" i="55"/>
  <c r="F10" i="55"/>
  <c r="G10" i="55" s="1"/>
  <c r="G4" i="55"/>
  <c r="G5" i="55"/>
  <c r="G7" i="55"/>
  <c r="G9" i="55"/>
  <c r="D4" i="55"/>
  <c r="C119" i="30"/>
  <c r="C10" i="55"/>
  <c r="D10" i="55" s="1"/>
  <c r="E10" i="55" s="1"/>
  <c r="C9" i="55"/>
  <c r="D9" i="55" s="1"/>
  <c r="C8" i="55"/>
  <c r="D8" i="55" s="1"/>
  <c r="C7" i="55"/>
  <c r="D7" i="55" s="1"/>
  <c r="C6" i="55"/>
  <c r="D6" i="55" s="1"/>
  <c r="C5" i="55"/>
  <c r="D5" i="55" s="1"/>
  <c r="C4" i="55"/>
  <c r="E4" i="55" s="1"/>
  <c r="C3" i="55"/>
  <c r="D3" i="55" s="1"/>
  <c r="E3" i="55" s="1"/>
  <c r="O20" i="51"/>
  <c r="O21" i="51"/>
  <c r="O22" i="51"/>
  <c r="O23" i="51"/>
  <c r="O24" i="51"/>
  <c r="O25" i="51"/>
  <c r="O26" i="51"/>
  <c r="O27" i="51"/>
  <c r="O28" i="51"/>
  <c r="O29" i="51"/>
  <c r="O30" i="51"/>
  <c r="O31" i="51"/>
  <c r="O32" i="51"/>
  <c r="O33" i="51"/>
  <c r="O34" i="51"/>
  <c r="O35" i="51"/>
  <c r="O36" i="51"/>
  <c r="O37" i="51"/>
  <c r="O38" i="51"/>
  <c r="O39" i="51"/>
  <c r="O40" i="51"/>
  <c r="O41" i="51"/>
  <c r="O42" i="51"/>
  <c r="O43" i="51"/>
  <c r="O44" i="51"/>
  <c r="O45" i="51"/>
  <c r="O46" i="51"/>
  <c r="O47" i="51"/>
  <c r="O48" i="51"/>
  <c r="O49" i="51"/>
  <c r="O50" i="51"/>
  <c r="O51" i="51"/>
  <c r="O52" i="51"/>
  <c r="O53" i="51"/>
  <c r="O54" i="51"/>
  <c r="O55" i="51"/>
  <c r="O56" i="51"/>
  <c r="O57" i="51"/>
  <c r="O58" i="51"/>
  <c r="O59" i="51"/>
  <c r="O60" i="51"/>
  <c r="O61" i="51"/>
  <c r="O62" i="51"/>
  <c r="O63" i="51"/>
  <c r="O64" i="51"/>
  <c r="O65" i="51"/>
  <c r="O66" i="51"/>
  <c r="O67" i="51"/>
  <c r="O68" i="51"/>
  <c r="O69" i="51"/>
  <c r="O70" i="51"/>
  <c r="O71" i="51"/>
  <c r="O72" i="51"/>
  <c r="O73" i="51"/>
  <c r="O74" i="51"/>
  <c r="O75" i="51"/>
  <c r="O76" i="51"/>
  <c r="O77" i="51"/>
  <c r="O78" i="51"/>
  <c r="O79" i="51"/>
  <c r="O80" i="51"/>
  <c r="O81" i="51"/>
  <c r="O19" i="51"/>
  <c r="P19" i="51" s="1"/>
  <c r="L20" i="51"/>
  <c r="L21" i="51"/>
  <c r="L22" i="51"/>
  <c r="L23" i="51"/>
  <c r="L24" i="51"/>
  <c r="L25" i="51"/>
  <c r="L26" i="51"/>
  <c r="L27" i="51"/>
  <c r="L28" i="51"/>
  <c r="L29" i="51"/>
  <c r="L30" i="51"/>
  <c r="L31" i="51"/>
  <c r="L32" i="51"/>
  <c r="L33" i="51"/>
  <c r="L34" i="51"/>
  <c r="L35" i="51"/>
  <c r="L36" i="51"/>
  <c r="L37" i="51"/>
  <c r="L38" i="51"/>
  <c r="L39" i="51"/>
  <c r="L40" i="51"/>
  <c r="L41" i="51"/>
  <c r="L42" i="51"/>
  <c r="L43" i="51"/>
  <c r="L44" i="51"/>
  <c r="L45" i="51"/>
  <c r="L46" i="51"/>
  <c r="L47" i="51"/>
  <c r="L48" i="51"/>
  <c r="L49" i="51"/>
  <c r="L50" i="51"/>
  <c r="L51" i="51"/>
  <c r="L52" i="51"/>
  <c r="L53" i="51"/>
  <c r="L54" i="51"/>
  <c r="L55" i="51"/>
  <c r="L56" i="51"/>
  <c r="L57" i="51"/>
  <c r="L58" i="51"/>
  <c r="L59" i="51"/>
  <c r="L60" i="51"/>
  <c r="L61" i="51"/>
  <c r="L62" i="51"/>
  <c r="L63" i="51"/>
  <c r="L64" i="51"/>
  <c r="L65" i="51"/>
  <c r="L66" i="51"/>
  <c r="L67" i="51"/>
  <c r="L68" i="51"/>
  <c r="L69" i="51"/>
  <c r="L70" i="51"/>
  <c r="L71" i="51"/>
  <c r="L72" i="51"/>
  <c r="L73" i="51"/>
  <c r="L74" i="51"/>
  <c r="L75" i="51"/>
  <c r="L76" i="51"/>
  <c r="L77" i="51"/>
  <c r="L78" i="51"/>
  <c r="L79" i="51"/>
  <c r="L80" i="51"/>
  <c r="L81" i="51"/>
  <c r="L19" i="51"/>
  <c r="G20" i="51"/>
  <c r="G21" i="51"/>
  <c r="G22" i="51"/>
  <c r="G23" i="51"/>
  <c r="G24" i="51"/>
  <c r="G25" i="51"/>
  <c r="G26" i="51"/>
  <c r="G27" i="51"/>
  <c r="G28" i="51"/>
  <c r="G29" i="51"/>
  <c r="G30" i="51"/>
  <c r="G31" i="51"/>
  <c r="G32" i="51"/>
  <c r="G33" i="51"/>
  <c r="G34" i="51"/>
  <c r="G35" i="51"/>
  <c r="G36" i="51"/>
  <c r="G37" i="51"/>
  <c r="G38" i="51"/>
  <c r="G39" i="51"/>
  <c r="G40" i="51"/>
  <c r="G41" i="51"/>
  <c r="G42" i="51"/>
  <c r="G43" i="51"/>
  <c r="G44" i="51"/>
  <c r="G45" i="51"/>
  <c r="G46" i="51"/>
  <c r="G47" i="51"/>
  <c r="G48" i="51"/>
  <c r="G49" i="51"/>
  <c r="G50" i="51"/>
  <c r="G51" i="51"/>
  <c r="G52" i="51"/>
  <c r="G53" i="51"/>
  <c r="G54" i="51"/>
  <c r="G55" i="51"/>
  <c r="G56" i="51"/>
  <c r="G57" i="51"/>
  <c r="G58" i="51"/>
  <c r="G59" i="51"/>
  <c r="G60" i="51"/>
  <c r="G61" i="51"/>
  <c r="G62" i="51"/>
  <c r="G63" i="51"/>
  <c r="G64" i="51"/>
  <c r="G65" i="51"/>
  <c r="G66" i="51"/>
  <c r="G67" i="51"/>
  <c r="G68" i="51"/>
  <c r="G69" i="51"/>
  <c r="G70" i="51"/>
  <c r="G71" i="51"/>
  <c r="G72" i="51"/>
  <c r="G73" i="51"/>
  <c r="G74" i="51"/>
  <c r="G75" i="51"/>
  <c r="G76" i="51"/>
  <c r="G77" i="51"/>
  <c r="G78" i="51"/>
  <c r="G79" i="51"/>
  <c r="G80" i="51"/>
  <c r="G81" i="51"/>
  <c r="G19" i="51"/>
  <c r="H19" i="51" s="1"/>
  <c r="C20" i="51" a="1"/>
  <c r="C20" i="51" s="1"/>
  <c r="C21" i="51" a="1"/>
  <c r="C21" i="51" s="1"/>
  <c r="C22" i="51" a="1"/>
  <c r="C22" i="51" s="1"/>
  <c r="C23" i="51" a="1"/>
  <c r="C23" i="51" s="1"/>
  <c r="C24" i="51" a="1"/>
  <c r="C24" i="51" s="1"/>
  <c r="C25" i="51" a="1"/>
  <c r="C25" i="51" s="1"/>
  <c r="C26" i="51" a="1"/>
  <c r="C26" i="51" s="1"/>
  <c r="C27" i="51" a="1"/>
  <c r="C27" i="51" s="1"/>
  <c r="C28" i="51" a="1"/>
  <c r="C28" i="51" s="1"/>
  <c r="C29" i="51" a="1"/>
  <c r="C29" i="51" s="1"/>
  <c r="C30" i="51" a="1"/>
  <c r="C30" i="51" s="1"/>
  <c r="C31" i="51" a="1"/>
  <c r="C31" i="51" s="1"/>
  <c r="C32" i="51" a="1"/>
  <c r="C32" i="51" s="1"/>
  <c r="C33" i="51" a="1"/>
  <c r="C33" i="51" s="1"/>
  <c r="C34" i="51" a="1"/>
  <c r="C34" i="51" s="1"/>
  <c r="C35" i="51" a="1"/>
  <c r="C35" i="51" s="1"/>
  <c r="C36" i="51" a="1"/>
  <c r="C36" i="51" s="1"/>
  <c r="C37" i="51" a="1"/>
  <c r="C37" i="51" s="1"/>
  <c r="C38" i="51" a="1"/>
  <c r="C38" i="51" s="1"/>
  <c r="C39" i="51" a="1"/>
  <c r="C39" i="51" s="1"/>
  <c r="C40" i="51" a="1"/>
  <c r="C40" i="51" s="1"/>
  <c r="C41" i="51" a="1"/>
  <c r="C41" i="51" s="1"/>
  <c r="C42" i="51" a="1"/>
  <c r="C42" i="51" s="1"/>
  <c r="C43" i="51" a="1"/>
  <c r="C43" i="51" s="1"/>
  <c r="C44" i="51" a="1"/>
  <c r="C44" i="51" s="1"/>
  <c r="C45" i="51" a="1"/>
  <c r="C45" i="51" s="1"/>
  <c r="C46" i="51" a="1"/>
  <c r="C46" i="51" s="1"/>
  <c r="C47" i="51" a="1"/>
  <c r="C47" i="51" s="1"/>
  <c r="C48" i="51" a="1"/>
  <c r="C48" i="51" s="1"/>
  <c r="C49" i="51" a="1"/>
  <c r="C49" i="51" s="1"/>
  <c r="C50" i="51" a="1"/>
  <c r="C50" i="51" s="1"/>
  <c r="C51" i="51" a="1"/>
  <c r="C51" i="51" s="1"/>
  <c r="C52" i="51" a="1"/>
  <c r="C52" i="51" s="1"/>
  <c r="C53" i="51" a="1"/>
  <c r="C53" i="51" s="1"/>
  <c r="C54" i="51" a="1"/>
  <c r="C54" i="51" s="1"/>
  <c r="C55" i="51" a="1"/>
  <c r="C55" i="51" s="1"/>
  <c r="C56" i="51" a="1"/>
  <c r="C56" i="51" s="1"/>
  <c r="C57" i="51" a="1"/>
  <c r="C57" i="51" s="1"/>
  <c r="C58" i="51" a="1"/>
  <c r="C58" i="51" s="1"/>
  <c r="C59" i="51" a="1"/>
  <c r="C59" i="51" s="1"/>
  <c r="C60" i="51" a="1"/>
  <c r="C60" i="51" s="1"/>
  <c r="C61" i="51" a="1"/>
  <c r="C61" i="51" s="1"/>
  <c r="C62" i="51" a="1"/>
  <c r="C62" i="51" s="1"/>
  <c r="C63" i="51" a="1"/>
  <c r="C63" i="51" s="1"/>
  <c r="C64" i="51" a="1"/>
  <c r="C64" i="51" s="1"/>
  <c r="C65" i="51" a="1"/>
  <c r="C65" i="51" s="1"/>
  <c r="C66" i="51" a="1"/>
  <c r="C66" i="51" s="1"/>
  <c r="C67" i="51" a="1"/>
  <c r="C67" i="51" s="1"/>
  <c r="C68" i="51" a="1"/>
  <c r="C68" i="51" s="1"/>
  <c r="C69" i="51" a="1"/>
  <c r="C69" i="51" s="1"/>
  <c r="C70" i="51" a="1"/>
  <c r="C70" i="51" s="1"/>
  <c r="C71" i="51" a="1"/>
  <c r="C71" i="51" s="1"/>
  <c r="C72" i="51" a="1"/>
  <c r="C72" i="51" s="1"/>
  <c r="C73" i="51" a="1"/>
  <c r="C73" i="51" s="1"/>
  <c r="C74" i="51" a="1"/>
  <c r="C74" i="51" s="1"/>
  <c r="C75" i="51" a="1"/>
  <c r="C75" i="51" s="1"/>
  <c r="C76" i="51" a="1"/>
  <c r="C76" i="51" s="1"/>
  <c r="C77" i="51" a="1"/>
  <c r="C77" i="51" s="1"/>
  <c r="C78" i="51" a="1"/>
  <c r="C78" i="51" s="1"/>
  <c r="C79" i="51" a="1"/>
  <c r="C79" i="51" s="1"/>
  <c r="C80" i="51" a="1"/>
  <c r="C80" i="51" s="1"/>
  <c r="C81" i="51" a="1"/>
  <c r="C81" i="51" s="1"/>
  <c r="C19" i="51" a="1"/>
  <c r="C19" i="51" s="1"/>
  <c r="K8" i="51"/>
  <c r="J8" i="51"/>
  <c r="I8" i="51"/>
  <c r="H8" i="51"/>
  <c r="G8" i="51"/>
  <c r="D19" i="51"/>
  <c r="Q20" i="63" l="1"/>
  <c r="D21" i="63" s="1"/>
  <c r="Q20" i="62"/>
  <c r="D21" i="62" s="1"/>
  <c r="F21" i="62" s="1" a="1"/>
  <c r="F21" i="62" s="1"/>
  <c r="E2" i="55"/>
  <c r="E9" i="55"/>
  <c r="E8" i="55"/>
  <c r="E7" i="55"/>
  <c r="E6" i="55"/>
  <c r="E5" i="55"/>
  <c r="N19" i="51" a="1"/>
  <c r="N19" i="51" s="1"/>
  <c r="F21" i="63" l="1" a="1"/>
  <c r="F21" i="63" s="1"/>
  <c r="I21" i="63" a="1"/>
  <c r="I21" i="63" s="1"/>
  <c r="N21" i="63" a="1"/>
  <c r="N21" i="63" s="1"/>
  <c r="E21" i="63" a="1"/>
  <c r="E21" i="63" s="1"/>
  <c r="K21" i="63" a="1"/>
  <c r="K21" i="63" s="1"/>
  <c r="N21" i="62" a="1"/>
  <c r="N21" i="62" s="1"/>
  <c r="I21" i="62" a="1"/>
  <c r="I21" i="62" s="1"/>
  <c r="K21" i="62" a="1"/>
  <c r="K21" i="62" s="1"/>
  <c r="E21" i="62" a="1"/>
  <c r="E21" i="62" s="1"/>
  <c r="F2" i="55"/>
  <c r="R19" i="51" s="1"/>
  <c r="E19" i="51" a="1"/>
  <c r="E19" i="51" s="1"/>
  <c r="K19" i="51" a="1"/>
  <c r="K19" i="51" s="1"/>
  <c r="I19" i="51" a="1"/>
  <c r="I19" i="51" s="1"/>
  <c r="F19" i="51" a="1"/>
  <c r="F19" i="51" s="1"/>
  <c r="Q21" i="63" l="1"/>
  <c r="D22" i="63" s="1"/>
  <c r="E22" i="63" s="1" a="1"/>
  <c r="E22" i="63" s="1"/>
  <c r="Q21" i="62"/>
  <c r="D22" i="62" s="1"/>
  <c r="E22" i="62" s="1" a="1"/>
  <c r="E22" i="62" s="1"/>
  <c r="D14" i="51"/>
  <c r="D13" i="51"/>
  <c r="D11" i="51"/>
  <c r="D10" i="51"/>
  <c r="D8" i="51"/>
  <c r="D7" i="51"/>
  <c r="D5" i="51"/>
  <c r="Z3" i="53"/>
  <c r="Y3" i="53"/>
  <c r="X4" i="53"/>
  <c r="X5" i="53"/>
  <c r="X6" i="53"/>
  <c r="X3" i="53"/>
  <c r="O11" i="53"/>
  <c r="O10" i="53"/>
  <c r="O9" i="53"/>
  <c r="O8" i="53"/>
  <c r="O7" i="53"/>
  <c r="O6" i="53"/>
  <c r="O5" i="53"/>
  <c r="J7" i="52"/>
  <c r="J9" i="52" s="1"/>
  <c r="K7" i="52"/>
  <c r="K9" i="52" s="1"/>
  <c r="L7" i="52"/>
  <c r="L9" i="52" s="1"/>
  <c r="M7" i="52"/>
  <c r="M9" i="52" s="1"/>
  <c r="I7" i="52"/>
  <c r="I9" i="52" s="1"/>
  <c r="F22" i="63" l="1" a="1"/>
  <c r="F22" i="63" s="1"/>
  <c r="K22" i="63" a="1"/>
  <c r="K22" i="63" s="1"/>
  <c r="N22" i="63" a="1"/>
  <c r="N22" i="63" s="1"/>
  <c r="I22" i="63" a="1"/>
  <c r="I22" i="63" s="1"/>
  <c r="N22" i="62" a="1"/>
  <c r="N22" i="62" s="1"/>
  <c r="F22" i="62" a="1"/>
  <c r="F22" i="62" s="1"/>
  <c r="I22" i="62" a="1"/>
  <c r="I22" i="62" s="1"/>
  <c r="K22" i="62" a="1"/>
  <c r="K22" i="62" s="1"/>
  <c r="J20" i="51"/>
  <c r="J28" i="51"/>
  <c r="J36" i="51"/>
  <c r="J44" i="51"/>
  <c r="J52" i="51"/>
  <c r="J60" i="51"/>
  <c r="J68" i="51"/>
  <c r="J76" i="51"/>
  <c r="J25" i="51"/>
  <c r="J21" i="51"/>
  <c r="J29" i="51"/>
  <c r="J37" i="51"/>
  <c r="J45" i="51"/>
  <c r="J53" i="51"/>
  <c r="J61" i="51"/>
  <c r="J69" i="51"/>
  <c r="J77" i="51"/>
  <c r="J57" i="51"/>
  <c r="J65" i="51"/>
  <c r="J73" i="51"/>
  <c r="J81" i="51"/>
  <c r="J22" i="51"/>
  <c r="J30" i="51"/>
  <c r="J38" i="51"/>
  <c r="J46" i="51"/>
  <c r="J54" i="51"/>
  <c r="J62" i="51"/>
  <c r="J70" i="51"/>
  <c r="J78" i="51"/>
  <c r="J49" i="51"/>
  <c r="J23" i="51"/>
  <c r="J31" i="51"/>
  <c r="J39" i="51"/>
  <c r="J47" i="51"/>
  <c r="J55" i="51"/>
  <c r="J63" i="51"/>
  <c r="J71" i="51"/>
  <c r="J79" i="51"/>
  <c r="J41" i="51"/>
  <c r="J24" i="51"/>
  <c r="J32" i="51"/>
  <c r="J40" i="51"/>
  <c r="J48" i="51"/>
  <c r="J56" i="51"/>
  <c r="J64" i="51"/>
  <c r="J72" i="51"/>
  <c r="J80" i="51"/>
  <c r="J33" i="51"/>
  <c r="J26" i="51"/>
  <c r="J34" i="51"/>
  <c r="J42" i="51"/>
  <c r="J50" i="51"/>
  <c r="J58" i="51"/>
  <c r="J66" i="51"/>
  <c r="J74" i="51"/>
  <c r="J19" i="51"/>
  <c r="J27" i="51"/>
  <c r="J35" i="51"/>
  <c r="J43" i="51"/>
  <c r="J51" i="51"/>
  <c r="J59" i="51"/>
  <c r="J67" i="51"/>
  <c r="J75" i="51"/>
  <c r="P41" i="51"/>
  <c r="P43" i="51"/>
  <c r="P51" i="51"/>
  <c r="P73" i="51"/>
  <c r="P75" i="51"/>
  <c r="P78" i="51"/>
  <c r="P77" i="51"/>
  <c r="P20" i="51"/>
  <c r="P66" i="51"/>
  <c r="P57" i="51"/>
  <c r="P48" i="51"/>
  <c r="P47" i="51"/>
  <c r="P74" i="51"/>
  <c r="P70" i="51"/>
  <c r="P69" i="51"/>
  <c r="P76" i="51"/>
  <c r="P58" i="51"/>
  <c r="P49" i="51"/>
  <c r="P40" i="51"/>
  <c r="P39" i="51"/>
  <c r="P56" i="51"/>
  <c r="P62" i="51"/>
  <c r="P61" i="51"/>
  <c r="P68" i="51"/>
  <c r="P67" i="51"/>
  <c r="P50" i="51"/>
  <c r="P33" i="51"/>
  <c r="P32" i="51"/>
  <c r="P31" i="51"/>
  <c r="P65" i="51"/>
  <c r="P54" i="51"/>
  <c r="P53" i="51"/>
  <c r="P60" i="51"/>
  <c r="P59" i="51"/>
  <c r="P42" i="51"/>
  <c r="P25" i="51"/>
  <c r="P24" i="51"/>
  <c r="P23" i="51"/>
  <c r="P55" i="51"/>
  <c r="P46" i="51"/>
  <c r="P45" i="51"/>
  <c r="P52" i="51"/>
  <c r="P35" i="51"/>
  <c r="P34" i="51"/>
  <c r="P80" i="51"/>
  <c r="P79" i="51"/>
  <c r="P28" i="51"/>
  <c r="P38" i="51"/>
  <c r="P37" i="51"/>
  <c r="P44" i="51"/>
  <c r="P27" i="51"/>
  <c r="P26" i="51"/>
  <c r="P72" i="51"/>
  <c r="P71" i="51"/>
  <c r="P21" i="51"/>
  <c r="P30" i="51"/>
  <c r="P29" i="51"/>
  <c r="P36" i="51"/>
  <c r="P81" i="51"/>
  <c r="P64" i="51"/>
  <c r="P63" i="51"/>
  <c r="P22" i="51"/>
  <c r="M26" i="51"/>
  <c r="M58" i="51"/>
  <c r="M27" i="51"/>
  <c r="M59" i="51"/>
  <c r="M43" i="51"/>
  <c r="M34" i="51"/>
  <c r="M66" i="51"/>
  <c r="M75" i="51"/>
  <c r="M35" i="51"/>
  <c r="M67" i="51"/>
  <c r="M42" i="51"/>
  <c r="M74" i="51"/>
  <c r="M50" i="51"/>
  <c r="M51" i="51"/>
  <c r="M77" i="51"/>
  <c r="M76" i="51"/>
  <c r="M19" i="51"/>
  <c r="M25" i="51"/>
  <c r="M24" i="51"/>
  <c r="M23" i="51"/>
  <c r="M22" i="51"/>
  <c r="M52" i="51"/>
  <c r="M63" i="51"/>
  <c r="M28" i="51"/>
  <c r="M38" i="51"/>
  <c r="M21" i="51"/>
  <c r="M69" i="51"/>
  <c r="M68" i="51"/>
  <c r="M81" i="51"/>
  <c r="M80" i="51"/>
  <c r="M79" i="51"/>
  <c r="M78" i="51"/>
  <c r="M65" i="51"/>
  <c r="M39" i="51"/>
  <c r="M33" i="51"/>
  <c r="M61" i="51"/>
  <c r="M60" i="51"/>
  <c r="M73" i="51"/>
  <c r="M72" i="51"/>
  <c r="M71" i="51"/>
  <c r="M70" i="51"/>
  <c r="M64" i="51"/>
  <c r="M62" i="51"/>
  <c r="M29" i="51"/>
  <c r="M20" i="51"/>
  <c r="M30" i="51"/>
  <c r="M53" i="51"/>
  <c r="M41" i="51"/>
  <c r="M32" i="51"/>
  <c r="M45" i="51"/>
  <c r="M44" i="51"/>
  <c r="M57" i="51"/>
  <c r="M56" i="51"/>
  <c r="M55" i="51"/>
  <c r="M54" i="51"/>
  <c r="M37" i="51"/>
  <c r="M36" i="51"/>
  <c r="M49" i="51"/>
  <c r="M48" i="51"/>
  <c r="M47" i="51"/>
  <c r="M46" i="51"/>
  <c r="M40" i="51"/>
  <c r="M31" i="51"/>
  <c r="H74" i="51"/>
  <c r="H81" i="51"/>
  <c r="H72" i="51"/>
  <c r="H31" i="51"/>
  <c r="H40" i="51"/>
  <c r="H30" i="51"/>
  <c r="H61" i="51"/>
  <c r="H50" i="51"/>
  <c r="H44" i="51"/>
  <c r="H80" i="51"/>
  <c r="H43" i="51"/>
  <c r="H49" i="51"/>
  <c r="H63" i="51"/>
  <c r="H41" i="51"/>
  <c r="H55" i="51"/>
  <c r="H21" i="51"/>
  <c r="H59" i="51"/>
  <c r="H25" i="51"/>
  <c r="H39" i="51"/>
  <c r="H42" i="51"/>
  <c r="H73" i="51"/>
  <c r="H23" i="51"/>
  <c r="H22" i="51"/>
  <c r="H53" i="51"/>
  <c r="H56" i="51"/>
  <c r="H36" i="51"/>
  <c r="H48" i="51"/>
  <c r="H35" i="51"/>
  <c r="H64" i="51"/>
  <c r="H29" i="51"/>
  <c r="H75" i="51"/>
  <c r="H67" i="51"/>
  <c r="H77" i="51"/>
  <c r="H60" i="51"/>
  <c r="H38" i="51"/>
  <c r="H69" i="51"/>
  <c r="H52" i="51"/>
  <c r="H34" i="51"/>
  <c r="H65" i="51"/>
  <c r="H79" i="51"/>
  <c r="H78" i="51"/>
  <c r="H45" i="51"/>
  <c r="H24" i="51"/>
  <c r="H28" i="51"/>
  <c r="H32" i="51"/>
  <c r="H27" i="51"/>
  <c r="H62" i="51"/>
  <c r="H68" i="51"/>
  <c r="H51" i="51"/>
  <c r="H26" i="51"/>
  <c r="H57" i="51"/>
  <c r="H71" i="51"/>
  <c r="H70" i="51"/>
  <c r="H66" i="51"/>
  <c r="H37" i="51"/>
  <c r="H20" i="51"/>
  <c r="H76" i="51"/>
  <c r="H54" i="51"/>
  <c r="H33" i="51"/>
  <c r="H47" i="51"/>
  <c r="H46" i="51"/>
  <c r="H58" i="51"/>
  <c r="H3" i="53"/>
  <c r="G3" i="53"/>
  <c r="I5" i="44"/>
  <c r="I43" i="42"/>
  <c r="O309" i="33"/>
  <c r="O55" i="32"/>
  <c r="J2" i="50"/>
  <c r="Q22" i="63" l="1"/>
  <c r="D23" i="63" s="1"/>
  <c r="K23" i="63" s="1" a="1"/>
  <c r="K23" i="63" s="1"/>
  <c r="Q22" i="62"/>
  <c r="D23" i="62" s="1"/>
  <c r="K23" i="62" s="1" a="1"/>
  <c r="K23" i="62" s="1"/>
  <c r="Q19" i="51"/>
  <c r="D20" i="51" s="1"/>
  <c r="O273" i="33"/>
  <c r="O237" i="33"/>
  <c r="O201" i="33"/>
  <c r="O165" i="33"/>
  <c r="O129" i="33"/>
  <c r="O93" i="33"/>
  <c r="O57" i="33"/>
  <c r="O21" i="33"/>
  <c r="O20" i="32"/>
  <c r="N23" i="63" l="1" a="1"/>
  <c r="N23" i="63" s="1"/>
  <c r="I23" i="63" a="1"/>
  <c r="I23" i="63" s="1"/>
  <c r="F23" i="63" a="1"/>
  <c r="F23" i="63" s="1"/>
  <c r="E23" i="63" a="1"/>
  <c r="E23" i="63" s="1"/>
  <c r="N23" i="62" a="1"/>
  <c r="N23" i="62" s="1"/>
  <c r="I23" i="62" a="1"/>
  <c r="I23" i="62" s="1"/>
  <c r="E23" i="62" a="1"/>
  <c r="E23" i="62" s="1"/>
  <c r="F23" i="62" a="1"/>
  <c r="F23" i="62" s="1"/>
  <c r="N20" i="51" a="1"/>
  <c r="N20" i="51" s="1"/>
  <c r="Q23" i="63" l="1"/>
  <c r="D24" i="63" s="1"/>
  <c r="F24" i="63" s="1" a="1"/>
  <c r="F24" i="63" s="1"/>
  <c r="Q23" i="62"/>
  <c r="D24" i="62" s="1"/>
  <c r="I24" i="62" s="1" a="1"/>
  <c r="I24" i="62" s="1"/>
  <c r="I20" i="51" a="1"/>
  <c r="I20" i="51" s="1"/>
  <c r="K20" i="51" a="1"/>
  <c r="K20" i="51" s="1"/>
  <c r="E20" i="51" a="1"/>
  <c r="E20" i="51" s="1"/>
  <c r="F20" i="51" a="1"/>
  <c r="F20" i="51" s="1"/>
  <c r="I24" i="63" l="1" a="1"/>
  <c r="I24" i="63" s="1"/>
  <c r="E24" i="63" a="1"/>
  <c r="E24" i="63" s="1"/>
  <c r="N24" i="63" a="1"/>
  <c r="N24" i="63" s="1"/>
  <c r="K24" i="63" a="1"/>
  <c r="K24" i="63" s="1"/>
  <c r="K24" i="62" a="1"/>
  <c r="K24" i="62" s="1"/>
  <c r="E24" i="62" a="1"/>
  <c r="E24" i="62" s="1"/>
  <c r="F24" i="62" a="1"/>
  <c r="F24" i="62" s="1"/>
  <c r="N24" i="62" a="1"/>
  <c r="N24" i="62" s="1"/>
  <c r="Q20" i="51"/>
  <c r="D21" i="51" s="1"/>
  <c r="Q24" i="63" l="1"/>
  <c r="D25" i="63" s="1"/>
  <c r="F25" i="63" s="1" a="1"/>
  <c r="F25" i="63" s="1"/>
  <c r="Q24" i="62"/>
  <c r="D25" i="62" s="1"/>
  <c r="N25" i="62" s="1" a="1"/>
  <c r="N25" i="62" s="1"/>
  <c r="K21" i="51" a="1"/>
  <c r="K21" i="51" s="1"/>
  <c r="E21" i="51" a="1"/>
  <c r="E21" i="51" s="1"/>
  <c r="N21" i="51" a="1"/>
  <c r="N21" i="51" s="1"/>
  <c r="I21" i="51" a="1"/>
  <c r="I21" i="51" s="1"/>
  <c r="F21" i="51" a="1"/>
  <c r="F21" i="51" s="1"/>
  <c r="F25" i="62" l="1" a="1"/>
  <c r="F25" i="62" s="1"/>
  <c r="N25" i="63" a="1"/>
  <c r="N25" i="63" s="1"/>
  <c r="I25" i="63" a="1"/>
  <c r="I25" i="63" s="1"/>
  <c r="E25" i="63" a="1"/>
  <c r="E25" i="63" s="1"/>
  <c r="K25" i="63" a="1"/>
  <c r="K25" i="63" s="1"/>
  <c r="E25" i="62" a="1"/>
  <c r="E25" i="62" s="1"/>
  <c r="K25" i="62" a="1"/>
  <c r="K25" i="62" s="1"/>
  <c r="I25" i="62" a="1"/>
  <c r="I25" i="62" s="1"/>
  <c r="Q21" i="51"/>
  <c r="D22" i="51" s="1"/>
  <c r="K22" i="51" s="1" a="1"/>
  <c r="K22" i="51" s="1"/>
  <c r="Q25" i="63" l="1"/>
  <c r="D26" i="63" s="1"/>
  <c r="N26" i="63" s="1" a="1"/>
  <c r="N26" i="63" s="1"/>
  <c r="Q25" i="62"/>
  <c r="D26" i="62" s="1"/>
  <c r="N26" i="62" s="1" a="1"/>
  <c r="N26" i="62" s="1"/>
  <c r="F22" i="51" a="1"/>
  <c r="F22" i="51" s="1"/>
  <c r="E22" i="51" a="1"/>
  <c r="E22" i="51" s="1"/>
  <c r="I22" i="51" a="1"/>
  <c r="I22" i="51" s="1"/>
  <c r="N22" i="51" a="1"/>
  <c r="N22" i="51" s="1"/>
  <c r="I26" i="62" l="1" a="1"/>
  <c r="I26" i="62" s="1"/>
  <c r="I26" i="63" a="1"/>
  <c r="I26" i="63" s="1"/>
  <c r="E26" i="63" a="1"/>
  <c r="E26" i="63" s="1"/>
  <c r="K26" i="63" a="1"/>
  <c r="K26" i="63" s="1"/>
  <c r="F26" i="63" a="1"/>
  <c r="F26" i="63" s="1"/>
  <c r="E26" i="62" a="1"/>
  <c r="E26" i="62" s="1"/>
  <c r="K26" i="62" a="1"/>
  <c r="K26" i="62" s="1"/>
  <c r="F26" i="62" a="1"/>
  <c r="F26" i="62" s="1"/>
  <c r="Q22" i="51"/>
  <c r="D23" i="51" s="1"/>
  <c r="K23" i="51" s="1" a="1"/>
  <c r="K23" i="51" s="1"/>
  <c r="Q26" i="63" l="1"/>
  <c r="D27" i="63" s="1"/>
  <c r="I27" i="63" s="1" a="1"/>
  <c r="I27" i="63" s="1"/>
  <c r="Q26" i="62"/>
  <c r="D27" i="62" s="1"/>
  <c r="F27" i="62" s="1" a="1"/>
  <c r="F27" i="62" s="1"/>
  <c r="K27" i="63" a="1"/>
  <c r="K27" i="63" s="1"/>
  <c r="E27" i="63" a="1"/>
  <c r="E27" i="63" s="1"/>
  <c r="F23" i="51" a="1"/>
  <c r="F23" i="51" s="1"/>
  <c r="I23" i="51" a="1"/>
  <c r="I23" i="51" s="1"/>
  <c r="E23" i="51" a="1"/>
  <c r="E23" i="51" s="1"/>
  <c r="N23" i="51" a="1"/>
  <c r="N23" i="51" s="1"/>
  <c r="F27" i="63" l="1" a="1"/>
  <c r="F27" i="63" s="1"/>
  <c r="N27" i="63" a="1"/>
  <c r="N27" i="63" s="1"/>
  <c r="K27" i="62" a="1"/>
  <c r="K27" i="62" s="1"/>
  <c r="I27" i="62" a="1"/>
  <c r="I27" i="62" s="1"/>
  <c r="N27" i="62" a="1"/>
  <c r="N27" i="62" s="1"/>
  <c r="E27" i="62" a="1"/>
  <c r="E27" i="62" s="1"/>
  <c r="Q27" i="63"/>
  <c r="D28" i="63" s="1"/>
  <c r="I28" i="63" s="1" a="1"/>
  <c r="I28" i="63" s="1"/>
  <c r="Q23" i="51"/>
  <c r="D24" i="51" s="1"/>
  <c r="K24" i="51" s="1" a="1"/>
  <c r="K24" i="51" s="1"/>
  <c r="Q27" i="62" l="1"/>
  <c r="D28" i="62" s="1"/>
  <c r="K28" i="62" s="1" a="1"/>
  <c r="K28" i="62" s="1"/>
  <c r="E28" i="63" a="1"/>
  <c r="E28" i="63" s="1"/>
  <c r="K28" i="63" a="1"/>
  <c r="K28" i="63" s="1"/>
  <c r="F28" i="63" a="1"/>
  <c r="F28" i="63" s="1"/>
  <c r="N28" i="63" a="1"/>
  <c r="N28" i="63" s="1"/>
  <c r="E28" i="62" a="1"/>
  <c r="E28" i="62" s="1"/>
  <c r="I28" i="62" a="1"/>
  <c r="I28" i="62" s="1"/>
  <c r="F28" i="62" a="1"/>
  <c r="F28" i="62" s="1"/>
  <c r="N28" i="62" a="1"/>
  <c r="N28" i="62" s="1"/>
  <c r="I24" i="51" a="1"/>
  <c r="I24" i="51" s="1"/>
  <c r="N24" i="51" a="1"/>
  <c r="N24" i="51" s="1"/>
  <c r="E24" i="51" a="1"/>
  <c r="E24" i="51" s="1"/>
  <c r="F24" i="51" a="1"/>
  <c r="F24" i="51" s="1"/>
  <c r="Q28" i="63" l="1"/>
  <c r="D29" i="63" s="1"/>
  <c r="E29" i="63" s="1" a="1"/>
  <c r="E29" i="63" s="1"/>
  <c r="Q28" i="62"/>
  <c r="D29" i="62" s="1"/>
  <c r="I29" i="62" s="1" a="1"/>
  <c r="I29" i="62" s="1"/>
  <c r="Q24" i="51"/>
  <c r="D25" i="51" s="1"/>
  <c r="K25" i="51" s="1" a="1"/>
  <c r="K25" i="51" s="1"/>
  <c r="F29" i="63" l="1" a="1"/>
  <c r="F29" i="63" s="1"/>
  <c r="F29" i="62" a="1"/>
  <c r="F29" i="62" s="1"/>
  <c r="I29" i="63" a="1"/>
  <c r="I29" i="63" s="1"/>
  <c r="K29" i="63" a="1"/>
  <c r="K29" i="63" s="1"/>
  <c r="N29" i="63" a="1"/>
  <c r="N29" i="63" s="1"/>
  <c r="E29" i="62" a="1"/>
  <c r="E29" i="62" s="1"/>
  <c r="K29" i="62" a="1"/>
  <c r="K29" i="62" s="1"/>
  <c r="N29" i="62" a="1"/>
  <c r="N29" i="62" s="1"/>
  <c r="N25" i="51" a="1"/>
  <c r="N25" i="51" s="1"/>
  <c r="I25" i="51" a="1"/>
  <c r="I25" i="51" s="1"/>
  <c r="E25" i="51" a="1"/>
  <c r="E25" i="51" s="1"/>
  <c r="F25" i="51" a="1"/>
  <c r="F25" i="51" s="1"/>
  <c r="Q29" i="63" l="1"/>
  <c r="D30" i="63" s="1"/>
  <c r="I30" i="63" s="1" a="1"/>
  <c r="I30" i="63" s="1"/>
  <c r="Q29" i="62"/>
  <c r="D30" i="62" s="1"/>
  <c r="I30" i="62" s="1" a="1"/>
  <c r="I30" i="62" s="1"/>
  <c r="Q25" i="51"/>
  <c r="D26" i="51" s="1"/>
  <c r="K26" i="51" s="1" a="1"/>
  <c r="K26" i="51" s="1"/>
  <c r="K30" i="62" l="1" a="1"/>
  <c r="K30" i="62" s="1"/>
  <c r="E30" i="63" a="1"/>
  <c r="E30" i="63" s="1"/>
  <c r="K30" i="63" a="1"/>
  <c r="K30" i="63" s="1"/>
  <c r="N30" i="63" a="1"/>
  <c r="N30" i="63" s="1"/>
  <c r="F30" i="63" a="1"/>
  <c r="F30" i="63" s="1"/>
  <c r="N30" i="62" a="1"/>
  <c r="N30" i="62" s="1"/>
  <c r="F30" i="62" a="1"/>
  <c r="F30" i="62" s="1"/>
  <c r="E30" i="62" a="1"/>
  <c r="E30" i="62" s="1"/>
  <c r="E26" i="51" a="1"/>
  <c r="E26" i="51" s="1"/>
  <c r="F26" i="51" a="1"/>
  <c r="F26" i="51" s="1"/>
  <c r="N26" i="51" a="1"/>
  <c r="N26" i="51" s="1"/>
  <c r="I26" i="51" a="1"/>
  <c r="I26" i="51" s="1"/>
  <c r="Q30" i="63" l="1"/>
  <c r="D31" i="63" s="1"/>
  <c r="F31" i="63" s="1" a="1"/>
  <c r="F31" i="63" s="1"/>
  <c r="Q30" i="62"/>
  <c r="D31" i="62" s="1"/>
  <c r="K31" i="62" s="1" a="1"/>
  <c r="K31" i="62" s="1"/>
  <c r="I31" i="63" a="1"/>
  <c r="I31" i="63" s="1"/>
  <c r="N31" i="63" a="1"/>
  <c r="N31" i="63" s="1"/>
  <c r="Q26" i="51"/>
  <c r="D27" i="51" s="1"/>
  <c r="N27" i="51" s="1" a="1"/>
  <c r="N27" i="51" s="1"/>
  <c r="E31" i="63" l="1" a="1"/>
  <c r="E31" i="63" s="1"/>
  <c r="K31" i="63" a="1"/>
  <c r="K31" i="63" s="1"/>
  <c r="F31" i="62" a="1"/>
  <c r="F31" i="62" s="1"/>
  <c r="I31" i="62" a="1"/>
  <c r="I31" i="62" s="1"/>
  <c r="N31" i="62" a="1"/>
  <c r="N31" i="62" s="1"/>
  <c r="E31" i="62" a="1"/>
  <c r="E31" i="62" s="1"/>
  <c r="Q31" i="63"/>
  <c r="D32" i="63" s="1"/>
  <c r="K27" i="51" a="1"/>
  <c r="K27" i="51" s="1"/>
  <c r="E27" i="51" a="1"/>
  <c r="E27" i="51" s="1"/>
  <c r="F27" i="51" a="1"/>
  <c r="F27" i="51" s="1"/>
  <c r="I27" i="51" a="1"/>
  <c r="I27" i="51" s="1"/>
  <c r="Q31" i="62" l="1"/>
  <c r="D32" i="62" s="1"/>
  <c r="F32" i="62" s="1" a="1"/>
  <c r="F32" i="62" s="1"/>
  <c r="I32" i="63" a="1"/>
  <c r="I32" i="63" s="1"/>
  <c r="N32" i="63" a="1"/>
  <c r="N32" i="63" s="1"/>
  <c r="F32" i="63" a="1"/>
  <c r="F32" i="63" s="1"/>
  <c r="K32" i="63" a="1"/>
  <c r="K32" i="63" s="1"/>
  <c r="E32" i="63" a="1"/>
  <c r="E32" i="63" s="1"/>
  <c r="Q27" i="51"/>
  <c r="D28" i="51" s="1"/>
  <c r="E28" i="51" s="1" a="1"/>
  <c r="E28" i="51" s="1"/>
  <c r="N841" i="35"/>
  <c r="M841" i="35"/>
  <c r="L841" i="35"/>
  <c r="K841" i="35"/>
  <c r="J841" i="35"/>
  <c r="I841" i="35"/>
  <c r="H841" i="35"/>
  <c r="G841" i="35"/>
  <c r="F841" i="35"/>
  <c r="E841" i="35"/>
  <c r="D841" i="35"/>
  <c r="C841" i="35"/>
  <c r="N809" i="35"/>
  <c r="M809" i="35"/>
  <c r="L809" i="35"/>
  <c r="K809" i="35"/>
  <c r="J809" i="35"/>
  <c r="I809" i="35"/>
  <c r="H809" i="35"/>
  <c r="G809" i="35"/>
  <c r="F809" i="35"/>
  <c r="E809" i="35"/>
  <c r="D809" i="35"/>
  <c r="C809" i="35"/>
  <c r="N777" i="35"/>
  <c r="M777" i="35"/>
  <c r="L777" i="35"/>
  <c r="K777" i="35"/>
  <c r="J777" i="35"/>
  <c r="I777" i="35"/>
  <c r="H777" i="35"/>
  <c r="G777" i="35"/>
  <c r="F777" i="35"/>
  <c r="E777" i="35"/>
  <c r="D777" i="35"/>
  <c r="C777" i="35"/>
  <c r="N745" i="35"/>
  <c r="M745" i="35"/>
  <c r="L745" i="35"/>
  <c r="K745" i="35"/>
  <c r="J745" i="35"/>
  <c r="I745" i="35"/>
  <c r="H745" i="35"/>
  <c r="G745" i="35"/>
  <c r="F745" i="35"/>
  <c r="E745" i="35"/>
  <c r="D745" i="35"/>
  <c r="C745" i="35"/>
  <c r="N713" i="35"/>
  <c r="M713" i="35"/>
  <c r="L713" i="35"/>
  <c r="K713" i="35"/>
  <c r="J713" i="35"/>
  <c r="I713" i="35"/>
  <c r="H713" i="35"/>
  <c r="G713" i="35"/>
  <c r="F713" i="35"/>
  <c r="E713" i="35"/>
  <c r="D713" i="35"/>
  <c r="C713" i="35"/>
  <c r="N681" i="35"/>
  <c r="M681" i="35"/>
  <c r="L681" i="35"/>
  <c r="K681" i="35"/>
  <c r="J681" i="35"/>
  <c r="I681" i="35"/>
  <c r="H681" i="35"/>
  <c r="G681" i="35"/>
  <c r="F681" i="35"/>
  <c r="E681" i="35"/>
  <c r="D681" i="35"/>
  <c r="C681" i="35"/>
  <c r="N649" i="35"/>
  <c r="M649" i="35"/>
  <c r="L649" i="35"/>
  <c r="K649" i="35"/>
  <c r="J649" i="35"/>
  <c r="I649" i="35"/>
  <c r="H649" i="35"/>
  <c r="G649" i="35"/>
  <c r="F649" i="35"/>
  <c r="E649" i="35"/>
  <c r="D649" i="35"/>
  <c r="C649" i="35"/>
  <c r="N617" i="35"/>
  <c r="M617" i="35"/>
  <c r="L617" i="35"/>
  <c r="K617" i="35"/>
  <c r="J617" i="35"/>
  <c r="I617" i="35"/>
  <c r="H617" i="35"/>
  <c r="G617" i="35"/>
  <c r="F617" i="35"/>
  <c r="E617" i="35"/>
  <c r="D617" i="35"/>
  <c r="C617" i="35"/>
  <c r="N585" i="35"/>
  <c r="M585" i="35"/>
  <c r="L585" i="35"/>
  <c r="K585" i="35"/>
  <c r="J585" i="35"/>
  <c r="I585" i="35"/>
  <c r="H585" i="35"/>
  <c r="G585" i="35"/>
  <c r="F585" i="35"/>
  <c r="E585" i="35"/>
  <c r="D585" i="35"/>
  <c r="C585" i="35"/>
  <c r="N553" i="35"/>
  <c r="M553" i="35"/>
  <c r="L553" i="35"/>
  <c r="K553" i="35"/>
  <c r="J553" i="35"/>
  <c r="I553" i="35"/>
  <c r="H553" i="35"/>
  <c r="G553" i="35"/>
  <c r="F553" i="35"/>
  <c r="E553" i="35"/>
  <c r="D553" i="35"/>
  <c r="C553" i="35"/>
  <c r="N521" i="35"/>
  <c r="M521" i="35"/>
  <c r="L521" i="35"/>
  <c r="K521" i="35"/>
  <c r="J521" i="35"/>
  <c r="I521" i="35"/>
  <c r="H521" i="35"/>
  <c r="G521" i="35"/>
  <c r="F521" i="35"/>
  <c r="E521" i="35"/>
  <c r="D521" i="35"/>
  <c r="C521" i="35"/>
  <c r="N489" i="35"/>
  <c r="M489" i="35"/>
  <c r="L489" i="35"/>
  <c r="K489" i="35"/>
  <c r="J489" i="35"/>
  <c r="I489" i="35"/>
  <c r="H489" i="35"/>
  <c r="G489" i="35"/>
  <c r="F489" i="35"/>
  <c r="E489" i="35"/>
  <c r="D489" i="35"/>
  <c r="C489" i="35"/>
  <c r="N457" i="35"/>
  <c r="M457" i="35"/>
  <c r="L457" i="35"/>
  <c r="K457" i="35"/>
  <c r="J457" i="35"/>
  <c r="I457" i="35"/>
  <c r="H457" i="35"/>
  <c r="G457" i="35"/>
  <c r="F457" i="35"/>
  <c r="E457" i="35"/>
  <c r="D457" i="35"/>
  <c r="C457" i="35"/>
  <c r="N425" i="35"/>
  <c r="M425" i="35"/>
  <c r="L425" i="35"/>
  <c r="K425" i="35"/>
  <c r="J425" i="35"/>
  <c r="I425" i="35"/>
  <c r="H425" i="35"/>
  <c r="G425" i="35"/>
  <c r="F425" i="35"/>
  <c r="E425" i="35"/>
  <c r="D425" i="35"/>
  <c r="C425" i="35"/>
  <c r="N393" i="35"/>
  <c r="M393" i="35"/>
  <c r="L393" i="35"/>
  <c r="K393" i="35"/>
  <c r="J393" i="35"/>
  <c r="I393" i="35"/>
  <c r="H393" i="35"/>
  <c r="G393" i="35"/>
  <c r="F393" i="35"/>
  <c r="E393" i="35"/>
  <c r="D393" i="35"/>
  <c r="C393" i="35"/>
  <c r="N361" i="35"/>
  <c r="M361" i="35"/>
  <c r="L361" i="35"/>
  <c r="K361" i="35"/>
  <c r="J361" i="35"/>
  <c r="I361" i="35"/>
  <c r="H361" i="35"/>
  <c r="G361" i="35"/>
  <c r="F361" i="35"/>
  <c r="E361" i="35"/>
  <c r="D361" i="35"/>
  <c r="C361" i="35"/>
  <c r="N329" i="35"/>
  <c r="M329" i="35"/>
  <c r="L329" i="35"/>
  <c r="K329" i="35"/>
  <c r="J329" i="35"/>
  <c r="I329" i="35"/>
  <c r="H329" i="35"/>
  <c r="G329" i="35"/>
  <c r="F329" i="35"/>
  <c r="E329" i="35"/>
  <c r="D329" i="35"/>
  <c r="C329" i="35"/>
  <c r="C297" i="35"/>
  <c r="J3" i="47"/>
  <c r="J4" i="47"/>
  <c r="C3" i="41"/>
  <c r="G361" i="41"/>
  <c r="H4" i="41"/>
  <c r="H3" i="41"/>
  <c r="F4" i="41" s="1"/>
  <c r="G4" i="41" s="1"/>
  <c r="H2" i="41"/>
  <c r="G3" i="41"/>
  <c r="G2" i="41"/>
  <c r="F5" i="41"/>
  <c r="G5" i="41" s="1"/>
  <c r="F3" i="41"/>
  <c r="F2" i="41"/>
  <c r="C7" i="41"/>
  <c r="F2" i="40"/>
  <c r="C112" i="3" s="1"/>
  <c r="F3" i="40"/>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6" i="40"/>
  <c r="F37" i="40"/>
  <c r="F38" i="40"/>
  <c r="F39" i="40"/>
  <c r="F40" i="40"/>
  <c r="F41" i="40"/>
  <c r="F42" i="40"/>
  <c r="F43" i="40"/>
  <c r="F44" i="40"/>
  <c r="F45" i="40"/>
  <c r="F46" i="40"/>
  <c r="F47" i="40"/>
  <c r="F48" i="40"/>
  <c r="F49" i="40"/>
  <c r="F50" i="40"/>
  <c r="F51" i="40"/>
  <c r="F52" i="40"/>
  <c r="F53" i="40"/>
  <c r="F54" i="40"/>
  <c r="F55" i="40"/>
  <c r="F56" i="40"/>
  <c r="F57" i="40"/>
  <c r="F58" i="40"/>
  <c r="F59" i="40"/>
  <c r="F60" i="40"/>
  <c r="F61" i="40"/>
  <c r="F62" i="40"/>
  <c r="F63" i="40"/>
  <c r="F64" i="40"/>
  <c r="F65" i="40"/>
  <c r="F66" i="40"/>
  <c r="F67" i="40"/>
  <c r="F68" i="40"/>
  <c r="F69" i="40"/>
  <c r="F70" i="40"/>
  <c r="F71" i="40"/>
  <c r="F72" i="40"/>
  <c r="F73" i="40"/>
  <c r="C2" i="40"/>
  <c r="C14" i="31"/>
  <c r="N135" i="33"/>
  <c r="M135" i="33"/>
  <c r="L135" i="33"/>
  <c r="K135" i="33"/>
  <c r="J135" i="33"/>
  <c r="I135" i="33"/>
  <c r="H135" i="33"/>
  <c r="G135" i="33"/>
  <c r="F135" i="33"/>
  <c r="E135" i="33"/>
  <c r="D135" i="33"/>
  <c r="C135" i="33"/>
  <c r="N63" i="33"/>
  <c r="M63" i="33"/>
  <c r="L63" i="33"/>
  <c r="K63" i="33"/>
  <c r="J63" i="33"/>
  <c r="I63" i="33"/>
  <c r="H63" i="33"/>
  <c r="G63" i="33"/>
  <c r="F63" i="33"/>
  <c r="E63" i="33"/>
  <c r="D63" i="33"/>
  <c r="C63" i="33"/>
  <c r="N27" i="33"/>
  <c r="M27" i="33"/>
  <c r="L27" i="33"/>
  <c r="K27" i="33"/>
  <c r="J27" i="33"/>
  <c r="I27" i="33"/>
  <c r="H27" i="33"/>
  <c r="G27" i="33"/>
  <c r="F27" i="33"/>
  <c r="E27" i="33"/>
  <c r="D27" i="33"/>
  <c r="C27" i="33"/>
  <c r="N200" i="31"/>
  <c r="M200" i="31"/>
  <c r="L200" i="31"/>
  <c r="K200" i="31"/>
  <c r="J200" i="31"/>
  <c r="I200" i="31"/>
  <c r="H200" i="31"/>
  <c r="G200" i="31"/>
  <c r="F200" i="31"/>
  <c r="E200" i="31"/>
  <c r="D200" i="31"/>
  <c r="C200" i="31"/>
  <c r="O200" i="31" s="1"/>
  <c r="N165" i="31"/>
  <c r="M165" i="31"/>
  <c r="L165" i="31"/>
  <c r="K165" i="31"/>
  <c r="J165" i="31"/>
  <c r="I165" i="31"/>
  <c r="H165" i="31"/>
  <c r="G165" i="31"/>
  <c r="F165" i="31"/>
  <c r="E165" i="31"/>
  <c r="D165" i="31"/>
  <c r="C165" i="31"/>
  <c r="N130" i="31"/>
  <c r="M130" i="31"/>
  <c r="L130" i="31"/>
  <c r="K130" i="31"/>
  <c r="J130" i="31"/>
  <c r="I130" i="31"/>
  <c r="H130" i="31"/>
  <c r="G130" i="31"/>
  <c r="F130" i="31"/>
  <c r="E130" i="31"/>
  <c r="D130" i="31"/>
  <c r="C130" i="31"/>
  <c r="N95" i="31"/>
  <c r="M95" i="31"/>
  <c r="L95" i="31"/>
  <c r="K95" i="31"/>
  <c r="J95" i="31"/>
  <c r="I95" i="31"/>
  <c r="H95" i="31"/>
  <c r="G95" i="31"/>
  <c r="F95" i="31"/>
  <c r="E95" i="31"/>
  <c r="D95" i="31"/>
  <c r="C95" i="31"/>
  <c r="N86" i="30"/>
  <c r="M86" i="30"/>
  <c r="L86" i="30"/>
  <c r="K86" i="30"/>
  <c r="J86" i="30"/>
  <c r="I86" i="30"/>
  <c r="H86" i="30"/>
  <c r="G86" i="30"/>
  <c r="F86" i="30"/>
  <c r="E86" i="30"/>
  <c r="D86" i="30"/>
  <c r="C86" i="30"/>
  <c r="C54" i="30"/>
  <c r="C420" i="33"/>
  <c r="H10" i="42"/>
  <c r="I6" i="42"/>
  <c r="G4" i="47"/>
  <c r="I4" i="47" s="1"/>
  <c r="G3" i="47"/>
  <c r="I3" i="47" s="1"/>
  <c r="G2" i="47"/>
  <c r="D58" i="35"/>
  <c r="D91" i="35" s="1"/>
  <c r="D124" i="35" s="1"/>
  <c r="E58" i="35"/>
  <c r="E91" i="35" s="1"/>
  <c r="E124" i="35" s="1"/>
  <c r="F58" i="35"/>
  <c r="F91" i="35" s="1"/>
  <c r="F124" i="35" s="1"/>
  <c r="G58" i="35"/>
  <c r="G91" i="35" s="1"/>
  <c r="G124" i="35" s="1"/>
  <c r="H58" i="35"/>
  <c r="H91" i="35" s="1"/>
  <c r="H124" i="35" s="1"/>
  <c r="I58" i="35"/>
  <c r="I91" i="35" s="1"/>
  <c r="I124" i="35" s="1"/>
  <c r="J58" i="35"/>
  <c r="J91" i="35" s="1"/>
  <c r="J124" i="35" s="1"/>
  <c r="K58" i="35"/>
  <c r="K91" i="35" s="1"/>
  <c r="K124" i="35" s="1"/>
  <c r="L58" i="35"/>
  <c r="L91" i="35" s="1"/>
  <c r="L124" i="35" s="1"/>
  <c r="M58" i="35"/>
  <c r="M91" i="35" s="1"/>
  <c r="M124" i="35" s="1"/>
  <c r="N58" i="35"/>
  <c r="N91" i="35" s="1"/>
  <c r="N124" i="35" s="1"/>
  <c r="C27" i="31"/>
  <c r="C61" i="31" s="1"/>
  <c r="C96" i="31" s="1"/>
  <c r="F10" i="46"/>
  <c r="F11" i="46"/>
  <c r="F12" i="46"/>
  <c r="F13" i="46"/>
  <c r="F9" i="46"/>
  <c r="K11" i="46"/>
  <c r="K12" i="46" s="1"/>
  <c r="F18" i="46" s="1"/>
  <c r="K10" i="46"/>
  <c r="K9" i="46"/>
  <c r="K8" i="46"/>
  <c r="K7" i="46"/>
  <c r="K6" i="46"/>
  <c r="K5" i="46"/>
  <c r="F6" i="46"/>
  <c r="F5" i="46"/>
  <c r="K4" i="46" s="1"/>
  <c r="B8" i="46"/>
  <c r="G6" i="44"/>
  <c r="G7" i="44"/>
  <c r="G8" i="44"/>
  <c r="G9" i="44"/>
  <c r="G10" i="44"/>
  <c r="G11" i="44"/>
  <c r="H11" i="44" s="1"/>
  <c r="G12" i="44"/>
  <c r="G13" i="44"/>
  <c r="H13" i="44" s="1"/>
  <c r="G14" i="44"/>
  <c r="G15" i="44"/>
  <c r="G16" i="44"/>
  <c r="G17" i="44"/>
  <c r="G18" i="44"/>
  <c r="G19" i="44"/>
  <c r="H19" i="44" s="1"/>
  <c r="G20" i="44"/>
  <c r="G21" i="44"/>
  <c r="H21" i="44" s="1"/>
  <c r="G22" i="44"/>
  <c r="G23" i="44"/>
  <c r="G24" i="44"/>
  <c r="G25" i="44"/>
  <c r="G26" i="44"/>
  <c r="G27" i="44"/>
  <c r="H27" i="44" s="1"/>
  <c r="G28" i="44"/>
  <c r="G29" i="44"/>
  <c r="H29" i="44" s="1"/>
  <c r="G30" i="44"/>
  <c r="G31" i="44"/>
  <c r="G32" i="44"/>
  <c r="G33" i="44"/>
  <c r="G34" i="44"/>
  <c r="G35" i="44"/>
  <c r="H35" i="44" s="1"/>
  <c r="G36" i="44"/>
  <c r="G37" i="44"/>
  <c r="H37" i="44" s="1"/>
  <c r="G38" i="44"/>
  <c r="G39" i="44"/>
  <c r="G40" i="44"/>
  <c r="H40" i="44" s="1"/>
  <c r="G41" i="44"/>
  <c r="G42" i="44"/>
  <c r="G43" i="44"/>
  <c r="H43" i="44" s="1"/>
  <c r="G44" i="44"/>
  <c r="G5" i="44"/>
  <c r="H5" i="44" s="1"/>
  <c r="H44" i="44"/>
  <c r="J44" i="44" s="1"/>
  <c r="H42" i="44"/>
  <c r="H41" i="44"/>
  <c r="H39" i="44"/>
  <c r="H38" i="44"/>
  <c r="H36" i="44"/>
  <c r="H34" i="44"/>
  <c r="H33" i="44"/>
  <c r="H32" i="44"/>
  <c r="H31" i="44"/>
  <c r="H30" i="44"/>
  <c r="H28" i="44"/>
  <c r="H26" i="44"/>
  <c r="H25" i="44"/>
  <c r="H24" i="44"/>
  <c r="H23" i="44"/>
  <c r="H22" i="44"/>
  <c r="H20" i="44"/>
  <c r="H18" i="44"/>
  <c r="H17" i="44"/>
  <c r="H16" i="44"/>
  <c r="H15" i="44"/>
  <c r="H14" i="44"/>
  <c r="H12" i="44"/>
  <c r="H10" i="44"/>
  <c r="H9" i="44"/>
  <c r="H8" i="44"/>
  <c r="H7" i="44"/>
  <c r="H6" i="44"/>
  <c r="B3" i="44"/>
  <c r="I43" i="44" s="1"/>
  <c r="I42" i="44" s="1"/>
  <c r="I41" i="44" s="1"/>
  <c r="I40" i="44" s="1"/>
  <c r="I39" i="44" s="1"/>
  <c r="I38" i="44" s="1"/>
  <c r="I37" i="44" s="1"/>
  <c r="I36" i="44" s="1"/>
  <c r="I35" i="44" s="1"/>
  <c r="I34" i="44" s="1"/>
  <c r="I33" i="44" s="1"/>
  <c r="I32" i="44" s="1"/>
  <c r="I31" i="44" s="1"/>
  <c r="I30" i="44" s="1"/>
  <c r="I29" i="44" s="1"/>
  <c r="I28" i="44" s="1"/>
  <c r="I27" i="44" s="1"/>
  <c r="I26" i="44" s="1"/>
  <c r="I25" i="44" s="1"/>
  <c r="I24" i="44" s="1"/>
  <c r="I23" i="44" s="1"/>
  <c r="I22" i="44" s="1"/>
  <c r="I21" i="44" s="1"/>
  <c r="I20" i="44" s="1"/>
  <c r="I19" i="44" s="1"/>
  <c r="I18" i="44" s="1"/>
  <c r="I17" i="44" s="1"/>
  <c r="I16" i="44" s="1"/>
  <c r="I15" i="44" s="1"/>
  <c r="I14" i="44" s="1"/>
  <c r="I13" i="44" s="1"/>
  <c r="I12" i="44" s="1"/>
  <c r="I11" i="44" s="1"/>
  <c r="I10" i="44" s="1"/>
  <c r="I9" i="44" s="1"/>
  <c r="I8" i="44" s="1"/>
  <c r="I7" i="44" s="1"/>
  <c r="I6" i="44" s="1"/>
  <c r="J5" i="44" s="1"/>
  <c r="B2" i="44"/>
  <c r="F3" i="43"/>
  <c r="F4" i="43"/>
  <c r="F5" i="43"/>
  <c r="F6" i="43"/>
  <c r="F7" i="43"/>
  <c r="F8" i="43"/>
  <c r="F9" i="43"/>
  <c r="F10" i="43"/>
  <c r="F11" i="43"/>
  <c r="F12" i="43"/>
  <c r="F13" i="43"/>
  <c r="F14" i="43"/>
  <c r="F15" i="43"/>
  <c r="F16" i="43"/>
  <c r="F17" i="43"/>
  <c r="F18" i="43"/>
  <c r="F19" i="43"/>
  <c r="F20" i="43"/>
  <c r="F21" i="43"/>
  <c r="F22" i="43"/>
  <c r="F23" i="43"/>
  <c r="F24" i="43"/>
  <c r="G6" i="42"/>
  <c r="H6" i="42" s="1"/>
  <c r="G8" i="42"/>
  <c r="H8" i="42" s="1"/>
  <c r="G10" i="42"/>
  <c r="G12" i="42"/>
  <c r="H12" i="42" s="1"/>
  <c r="G13" i="42"/>
  <c r="H13" i="42" s="1"/>
  <c r="G14" i="42"/>
  <c r="H14" i="42" s="1"/>
  <c r="G15" i="42"/>
  <c r="H15" i="42" s="1"/>
  <c r="H44" i="42"/>
  <c r="J44" i="42" s="1"/>
  <c r="B3" i="42"/>
  <c r="B2" i="42"/>
  <c r="N123" i="35"/>
  <c r="M123" i="35"/>
  <c r="L123" i="35"/>
  <c r="K123" i="35"/>
  <c r="J123" i="35"/>
  <c r="I123" i="35"/>
  <c r="H123" i="35"/>
  <c r="G123" i="35"/>
  <c r="F123" i="35"/>
  <c r="E123" i="35"/>
  <c r="D123" i="35"/>
  <c r="C123" i="35"/>
  <c r="N90" i="35"/>
  <c r="M90" i="35"/>
  <c r="L90" i="35"/>
  <c r="K90" i="35"/>
  <c r="J90" i="35"/>
  <c r="I90" i="35"/>
  <c r="H90" i="35"/>
  <c r="G90" i="35"/>
  <c r="F90" i="35"/>
  <c r="E90" i="35"/>
  <c r="D90" i="35"/>
  <c r="C90" i="35"/>
  <c r="N57" i="35"/>
  <c r="M57" i="35"/>
  <c r="L57" i="35"/>
  <c r="K57" i="35"/>
  <c r="J57" i="35"/>
  <c r="I57" i="35"/>
  <c r="H57" i="35"/>
  <c r="G57" i="35"/>
  <c r="F57" i="35"/>
  <c r="E57" i="35"/>
  <c r="D57" i="35"/>
  <c r="C57" i="35"/>
  <c r="N24" i="35"/>
  <c r="M24" i="35"/>
  <c r="L24" i="35"/>
  <c r="K24" i="35"/>
  <c r="J24" i="35"/>
  <c r="I24" i="35"/>
  <c r="H24" i="35"/>
  <c r="G24" i="35"/>
  <c r="F24" i="35"/>
  <c r="E24" i="35"/>
  <c r="D24" i="35"/>
  <c r="C24" i="35"/>
  <c r="N194" i="34"/>
  <c r="M194" i="34"/>
  <c r="L194" i="34"/>
  <c r="K194" i="34"/>
  <c r="J194" i="34"/>
  <c r="I194" i="34"/>
  <c r="H194" i="34"/>
  <c r="G194" i="34"/>
  <c r="F194" i="34"/>
  <c r="E194" i="34"/>
  <c r="D194" i="34"/>
  <c r="C194" i="34"/>
  <c r="N161" i="34"/>
  <c r="M161" i="34"/>
  <c r="L161" i="34"/>
  <c r="K161" i="34"/>
  <c r="J161" i="34"/>
  <c r="I161" i="34"/>
  <c r="H161" i="34"/>
  <c r="G161" i="34"/>
  <c r="F161" i="34"/>
  <c r="E161" i="34"/>
  <c r="D161" i="34"/>
  <c r="C161" i="34"/>
  <c r="N127" i="34"/>
  <c r="M127" i="34"/>
  <c r="L127" i="34"/>
  <c r="K127" i="34"/>
  <c r="J127" i="34"/>
  <c r="I127" i="34"/>
  <c r="H127" i="34"/>
  <c r="G127" i="34"/>
  <c r="F127" i="34"/>
  <c r="E127" i="34"/>
  <c r="D127" i="34"/>
  <c r="C127" i="34"/>
  <c r="N93" i="34"/>
  <c r="M93" i="34"/>
  <c r="L93" i="34"/>
  <c r="K93" i="34"/>
  <c r="J93" i="34"/>
  <c r="I93" i="34"/>
  <c r="H93" i="34"/>
  <c r="G93" i="34"/>
  <c r="F93" i="34"/>
  <c r="E93" i="34"/>
  <c r="D93" i="34"/>
  <c r="C93" i="34"/>
  <c r="N59" i="34"/>
  <c r="M59" i="34"/>
  <c r="L59" i="34"/>
  <c r="K59" i="34"/>
  <c r="J59" i="34"/>
  <c r="I59" i="34"/>
  <c r="H59" i="34"/>
  <c r="G59" i="34"/>
  <c r="F59" i="34"/>
  <c r="E59" i="34"/>
  <c r="D59" i="34"/>
  <c r="C59" i="34"/>
  <c r="N25" i="34"/>
  <c r="M25" i="34"/>
  <c r="L25" i="34"/>
  <c r="K25" i="34"/>
  <c r="J25" i="34"/>
  <c r="I25" i="34"/>
  <c r="H25" i="34"/>
  <c r="G25" i="34"/>
  <c r="F25" i="34"/>
  <c r="E25" i="34"/>
  <c r="D25" i="34"/>
  <c r="C25" i="34"/>
  <c r="N419" i="33"/>
  <c r="M419" i="33"/>
  <c r="L419" i="33"/>
  <c r="K419" i="33"/>
  <c r="J419" i="33"/>
  <c r="I419" i="33"/>
  <c r="H419" i="33"/>
  <c r="G419" i="33"/>
  <c r="F419" i="33"/>
  <c r="E419" i="33"/>
  <c r="D419" i="33"/>
  <c r="C419" i="33"/>
  <c r="N384" i="33"/>
  <c r="M384" i="33"/>
  <c r="L384" i="33"/>
  <c r="K384" i="33"/>
  <c r="J384" i="33"/>
  <c r="I384" i="33"/>
  <c r="H384" i="33"/>
  <c r="G384" i="33"/>
  <c r="F384" i="33"/>
  <c r="E384" i="33"/>
  <c r="D384" i="33"/>
  <c r="C384" i="33"/>
  <c r="N349" i="33"/>
  <c r="M349" i="33"/>
  <c r="L349" i="33"/>
  <c r="K349" i="33"/>
  <c r="J349" i="33"/>
  <c r="I349" i="33"/>
  <c r="H349" i="33"/>
  <c r="G349" i="33"/>
  <c r="F349" i="33"/>
  <c r="E349" i="33"/>
  <c r="D349" i="33"/>
  <c r="C349" i="33"/>
  <c r="N314" i="33"/>
  <c r="M314" i="33"/>
  <c r="L314" i="33"/>
  <c r="K314" i="33"/>
  <c r="J314" i="33"/>
  <c r="I314" i="33"/>
  <c r="H314" i="33"/>
  <c r="G314" i="33"/>
  <c r="F314" i="33"/>
  <c r="E314" i="33"/>
  <c r="D314" i="33"/>
  <c r="C314" i="33"/>
  <c r="N278" i="33"/>
  <c r="M278" i="33"/>
  <c r="L278" i="33"/>
  <c r="K278" i="33"/>
  <c r="J278" i="33"/>
  <c r="I278" i="33"/>
  <c r="H278" i="33"/>
  <c r="G278" i="33"/>
  <c r="F278" i="33"/>
  <c r="E278" i="33"/>
  <c r="D278" i="33"/>
  <c r="C278" i="33"/>
  <c r="N242" i="33"/>
  <c r="M242" i="33"/>
  <c r="L242" i="33"/>
  <c r="K242" i="33"/>
  <c r="J242" i="33"/>
  <c r="I242" i="33"/>
  <c r="H242" i="33"/>
  <c r="G242" i="33"/>
  <c r="F242" i="33"/>
  <c r="E242" i="33"/>
  <c r="D242" i="33"/>
  <c r="C242" i="33"/>
  <c r="N206" i="33"/>
  <c r="M206" i="33"/>
  <c r="L206" i="33"/>
  <c r="K206" i="33"/>
  <c r="J206" i="33"/>
  <c r="I206" i="33"/>
  <c r="H206" i="33"/>
  <c r="G206" i="33"/>
  <c r="F206" i="33"/>
  <c r="E206" i="33"/>
  <c r="D206" i="33"/>
  <c r="C206" i="33"/>
  <c r="N170" i="33"/>
  <c r="M170" i="33"/>
  <c r="L170" i="33"/>
  <c r="K170" i="33"/>
  <c r="J170" i="33"/>
  <c r="I170" i="33"/>
  <c r="H170" i="33"/>
  <c r="G170" i="33"/>
  <c r="F170" i="33"/>
  <c r="E170" i="33"/>
  <c r="D170" i="33"/>
  <c r="C170" i="33"/>
  <c r="N134" i="33"/>
  <c r="M134" i="33"/>
  <c r="L134" i="33"/>
  <c r="K134" i="33"/>
  <c r="J134" i="33"/>
  <c r="I134" i="33"/>
  <c r="H134" i="33"/>
  <c r="G134" i="33"/>
  <c r="F134" i="33"/>
  <c r="E134" i="33"/>
  <c r="D134" i="33"/>
  <c r="C134" i="33"/>
  <c r="N98" i="33"/>
  <c r="M98" i="33"/>
  <c r="L98" i="33"/>
  <c r="K98" i="33"/>
  <c r="J98" i="33"/>
  <c r="I98" i="33"/>
  <c r="H98" i="33"/>
  <c r="G98" i="33"/>
  <c r="F98" i="33"/>
  <c r="E98" i="33"/>
  <c r="D98" i="33"/>
  <c r="C98" i="33"/>
  <c r="N62" i="33"/>
  <c r="M62" i="33"/>
  <c r="L62" i="33"/>
  <c r="K62" i="33"/>
  <c r="J62" i="33"/>
  <c r="I62" i="33"/>
  <c r="H62" i="33"/>
  <c r="G62" i="33"/>
  <c r="F62" i="33"/>
  <c r="E62" i="33"/>
  <c r="D62" i="33"/>
  <c r="C62" i="33"/>
  <c r="N26" i="33"/>
  <c r="M26" i="33"/>
  <c r="L26" i="33"/>
  <c r="K26" i="33"/>
  <c r="J26" i="33"/>
  <c r="I26" i="33"/>
  <c r="H26" i="33"/>
  <c r="G26" i="33"/>
  <c r="F26" i="33"/>
  <c r="E26" i="33"/>
  <c r="D26" i="33"/>
  <c r="C26" i="33"/>
  <c r="N60" i="32"/>
  <c r="M60" i="32"/>
  <c r="L60" i="32"/>
  <c r="K60" i="32"/>
  <c r="J60" i="32"/>
  <c r="I60" i="32"/>
  <c r="H60" i="32"/>
  <c r="G60" i="32"/>
  <c r="F60" i="32"/>
  <c r="E60" i="32"/>
  <c r="D60" i="32"/>
  <c r="C60" i="32"/>
  <c r="N25" i="32"/>
  <c r="M25" i="32"/>
  <c r="L25" i="32"/>
  <c r="K25" i="32"/>
  <c r="J25" i="32"/>
  <c r="I25" i="32"/>
  <c r="H25" i="32"/>
  <c r="G25" i="32"/>
  <c r="F25" i="32"/>
  <c r="E25" i="32"/>
  <c r="D25" i="32"/>
  <c r="C25" i="32"/>
  <c r="N199" i="31"/>
  <c r="M199" i="31"/>
  <c r="L199" i="31"/>
  <c r="K199" i="31"/>
  <c r="J199" i="31"/>
  <c r="I199" i="31"/>
  <c r="H199" i="31"/>
  <c r="G199" i="31"/>
  <c r="F199" i="31"/>
  <c r="E199" i="31"/>
  <c r="D199" i="31"/>
  <c r="C199" i="31"/>
  <c r="N164" i="31"/>
  <c r="M164" i="31"/>
  <c r="L164" i="31"/>
  <c r="K164" i="31"/>
  <c r="J164" i="31"/>
  <c r="I164" i="31"/>
  <c r="H164" i="31"/>
  <c r="G164" i="31"/>
  <c r="F164" i="31"/>
  <c r="E164" i="31"/>
  <c r="D164" i="31"/>
  <c r="C164" i="31"/>
  <c r="N129" i="31"/>
  <c r="M129" i="31"/>
  <c r="L129" i="31"/>
  <c r="K129" i="31"/>
  <c r="J129" i="31"/>
  <c r="I129" i="31"/>
  <c r="H129" i="31"/>
  <c r="G129" i="31"/>
  <c r="F129" i="31"/>
  <c r="E129" i="31"/>
  <c r="D129" i="31"/>
  <c r="C129" i="31"/>
  <c r="N94" i="31"/>
  <c r="M94" i="31"/>
  <c r="L94" i="31"/>
  <c r="K94" i="31"/>
  <c r="J94" i="31"/>
  <c r="I94" i="31"/>
  <c r="H94" i="31"/>
  <c r="G94" i="31"/>
  <c r="F94" i="31"/>
  <c r="E94" i="31"/>
  <c r="D94" i="31"/>
  <c r="C94" i="31"/>
  <c r="N59" i="31"/>
  <c r="M59" i="31"/>
  <c r="L59" i="31"/>
  <c r="K59" i="31"/>
  <c r="J59" i="31"/>
  <c r="I59" i="31"/>
  <c r="H59" i="31"/>
  <c r="G59" i="31"/>
  <c r="F59" i="31"/>
  <c r="E59" i="31"/>
  <c r="D59" i="31"/>
  <c r="C59" i="31"/>
  <c r="N24" i="31"/>
  <c r="M24" i="31"/>
  <c r="L24" i="31"/>
  <c r="K24" i="31"/>
  <c r="J24" i="31"/>
  <c r="I24" i="31"/>
  <c r="H24" i="31"/>
  <c r="G24" i="31"/>
  <c r="F24" i="31"/>
  <c r="E24" i="31"/>
  <c r="D24" i="31"/>
  <c r="C24" i="31"/>
  <c r="D119" i="30"/>
  <c r="E119" i="30"/>
  <c r="F119" i="30"/>
  <c r="G119" i="30"/>
  <c r="H119" i="30"/>
  <c r="I119" i="30"/>
  <c r="J119" i="30"/>
  <c r="K119" i="30"/>
  <c r="L119" i="30"/>
  <c r="M119" i="30"/>
  <c r="N119" i="30"/>
  <c r="C143" i="3"/>
  <c r="D143" i="3"/>
  <c r="E143" i="3"/>
  <c r="F143" i="3"/>
  <c r="G143" i="3"/>
  <c r="H143" i="3"/>
  <c r="I143" i="3"/>
  <c r="J143" i="3"/>
  <c r="K143" i="3"/>
  <c r="L143" i="3"/>
  <c r="M143" i="3"/>
  <c r="N143" i="3"/>
  <c r="C12" i="3"/>
  <c r="C5" i="41"/>
  <c r="C2" i="41"/>
  <c r="N85" i="30"/>
  <c r="M85" i="30"/>
  <c r="L85" i="30"/>
  <c r="K85" i="30"/>
  <c r="J85" i="30"/>
  <c r="I85" i="30"/>
  <c r="H85" i="30"/>
  <c r="G85" i="30"/>
  <c r="F85" i="30"/>
  <c r="E85" i="30"/>
  <c r="D85" i="30"/>
  <c r="C85" i="30"/>
  <c r="N53" i="30"/>
  <c r="M53" i="30"/>
  <c r="L53" i="30"/>
  <c r="K53" i="30"/>
  <c r="J53" i="30"/>
  <c r="I53" i="30"/>
  <c r="H53" i="30"/>
  <c r="G53" i="30"/>
  <c r="F53" i="30"/>
  <c r="E53" i="30"/>
  <c r="D53" i="30"/>
  <c r="C53" i="30"/>
  <c r="N22" i="30"/>
  <c r="M22" i="30"/>
  <c r="L22" i="30"/>
  <c r="K22" i="30"/>
  <c r="J22" i="30"/>
  <c r="I22" i="30"/>
  <c r="H22" i="30"/>
  <c r="G22" i="30"/>
  <c r="F22" i="30"/>
  <c r="E22" i="30"/>
  <c r="D22" i="30"/>
  <c r="C22" i="30"/>
  <c r="N174" i="3"/>
  <c r="M174" i="3"/>
  <c r="L174" i="3"/>
  <c r="K174" i="3"/>
  <c r="J174" i="3"/>
  <c r="I174" i="3"/>
  <c r="H174" i="3"/>
  <c r="G174" i="3"/>
  <c r="F174" i="3"/>
  <c r="E174" i="3"/>
  <c r="D174" i="3"/>
  <c r="C174" i="3"/>
  <c r="D112" i="3"/>
  <c r="E112" i="3"/>
  <c r="F112" i="3"/>
  <c r="G112" i="3"/>
  <c r="H112" i="3"/>
  <c r="I112" i="3"/>
  <c r="J112" i="3"/>
  <c r="K112" i="3"/>
  <c r="L112" i="3"/>
  <c r="M112" i="3"/>
  <c r="N112" i="3"/>
  <c r="C3" i="40"/>
  <c r="C5" i="40"/>
  <c r="C6" i="40"/>
  <c r="H3" i="24"/>
  <c r="I5" i="4"/>
  <c r="I4" i="4"/>
  <c r="E3" i="38"/>
  <c r="E4" i="38"/>
  <c r="E5" i="38"/>
  <c r="E6" i="38"/>
  <c r="E7" i="38"/>
  <c r="E8" i="38"/>
  <c r="E9" i="38"/>
  <c r="E10" i="38"/>
  <c r="E11" i="38"/>
  <c r="E12" i="38"/>
  <c r="E13" i="38"/>
  <c r="E14" i="38"/>
  <c r="E15" i="38"/>
  <c r="E16" i="38"/>
  <c r="E17" i="38"/>
  <c r="E18" i="38"/>
  <c r="E19" i="38"/>
  <c r="E20" i="38"/>
  <c r="E21" i="38"/>
  <c r="E22" i="38"/>
  <c r="E23" i="38"/>
  <c r="E24" i="38"/>
  <c r="E25" i="38"/>
  <c r="E26" i="38"/>
  <c r="E27" i="38"/>
  <c r="E28" i="38"/>
  <c r="E29" i="38"/>
  <c r="E30" i="38"/>
  <c r="E31" i="38"/>
  <c r="E32" i="38"/>
  <c r="E33" i="38"/>
  <c r="E34" i="38"/>
  <c r="E35" i="38"/>
  <c r="E36" i="38"/>
  <c r="E37" i="38"/>
  <c r="E38" i="38"/>
  <c r="E39" i="38"/>
  <c r="E40" i="38"/>
  <c r="E2" i="38"/>
  <c r="D265" i="35"/>
  <c r="E265" i="35"/>
  <c r="F265" i="35"/>
  <c r="G265" i="35"/>
  <c r="H265" i="35"/>
  <c r="I265" i="35"/>
  <c r="J265" i="35"/>
  <c r="K265" i="35"/>
  <c r="L265" i="35"/>
  <c r="M265" i="35"/>
  <c r="N265" i="35"/>
  <c r="C265" i="35"/>
  <c r="D233" i="35"/>
  <c r="E233" i="35"/>
  <c r="F233" i="35"/>
  <c r="G233" i="35"/>
  <c r="H233" i="35"/>
  <c r="I233" i="35"/>
  <c r="J233" i="35"/>
  <c r="K233" i="35"/>
  <c r="L233" i="35"/>
  <c r="M233" i="35"/>
  <c r="N233" i="35"/>
  <c r="C233" i="35"/>
  <c r="D201" i="35"/>
  <c r="E201" i="35"/>
  <c r="F201" i="35"/>
  <c r="G201" i="35"/>
  <c r="H201" i="35"/>
  <c r="I201" i="35"/>
  <c r="J201" i="35"/>
  <c r="K201" i="35"/>
  <c r="L201" i="35"/>
  <c r="M201" i="35"/>
  <c r="N201" i="35"/>
  <c r="C201" i="35"/>
  <c r="D169" i="35"/>
  <c r="E169" i="35"/>
  <c r="F169" i="35"/>
  <c r="G169" i="35"/>
  <c r="H169" i="35"/>
  <c r="I169" i="35"/>
  <c r="J169" i="35"/>
  <c r="K169" i="35"/>
  <c r="L169" i="35"/>
  <c r="M169" i="35"/>
  <c r="N169" i="35"/>
  <c r="C169" i="35"/>
  <c r="D137" i="35"/>
  <c r="E137" i="35"/>
  <c r="F137" i="35"/>
  <c r="G137" i="35"/>
  <c r="H137" i="35"/>
  <c r="I137" i="35"/>
  <c r="J137" i="35"/>
  <c r="K137" i="35"/>
  <c r="L137" i="35"/>
  <c r="M137" i="35"/>
  <c r="N137" i="35"/>
  <c r="C137" i="35"/>
  <c r="D104" i="35"/>
  <c r="E104" i="35"/>
  <c r="F104" i="35"/>
  <c r="G104" i="35"/>
  <c r="H104" i="35"/>
  <c r="I104" i="35"/>
  <c r="J104" i="35"/>
  <c r="K104" i="35"/>
  <c r="L104" i="35"/>
  <c r="M104" i="35"/>
  <c r="N104" i="35"/>
  <c r="C104" i="35"/>
  <c r="K45" i="28"/>
  <c r="H45" i="28"/>
  <c r="I45" i="28" s="1"/>
  <c r="G45" i="28"/>
  <c r="F45" i="28"/>
  <c r="E45" i="28"/>
  <c r="K44" i="28"/>
  <c r="H44" i="28"/>
  <c r="I44" i="28" s="1"/>
  <c r="G44" i="28"/>
  <c r="F44" i="28"/>
  <c r="E44" i="28"/>
  <c r="K43" i="28"/>
  <c r="H43" i="28"/>
  <c r="I43" i="28" s="1"/>
  <c r="G43" i="28"/>
  <c r="F43" i="28"/>
  <c r="E43" i="28"/>
  <c r="K42" i="28"/>
  <c r="H42" i="28"/>
  <c r="I42" i="28" s="1"/>
  <c r="G42" i="28"/>
  <c r="F42" i="28"/>
  <c r="E42" i="28"/>
  <c r="K41" i="28"/>
  <c r="H41" i="28"/>
  <c r="I41" i="28" s="1"/>
  <c r="G41" i="28"/>
  <c r="F41" i="28"/>
  <c r="E41" i="28"/>
  <c r="K40" i="28"/>
  <c r="H40" i="28"/>
  <c r="I40" i="28" s="1"/>
  <c r="G40" i="28"/>
  <c r="F40" i="28"/>
  <c r="E40" i="28"/>
  <c r="K39" i="28"/>
  <c r="H39" i="28"/>
  <c r="I39" i="28" s="1"/>
  <c r="G39" i="28"/>
  <c r="F39" i="28"/>
  <c r="E39" i="2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12" i="38"/>
  <c r="D11" i="38"/>
  <c r="D10" i="38"/>
  <c r="D9" i="38"/>
  <c r="D8" i="38"/>
  <c r="D7" i="38"/>
  <c r="D6" i="38"/>
  <c r="D5" i="38"/>
  <c r="D4" i="38"/>
  <c r="D3" i="38"/>
  <c r="I2" i="38"/>
  <c r="D2" i="38"/>
  <c r="H38" i="28"/>
  <c r="H37" i="28"/>
  <c r="H36" i="28"/>
  <c r="H35" i="28"/>
  <c r="H34" i="28"/>
  <c r="H33" i="28"/>
  <c r="H32" i="28"/>
  <c r="H31" i="28"/>
  <c r="H30" i="28"/>
  <c r="H29" i="28"/>
  <c r="H28" i="28"/>
  <c r="H27" i="28"/>
  <c r="H26" i="28"/>
  <c r="H25" i="28"/>
  <c r="H24" i="28"/>
  <c r="H23" i="28"/>
  <c r="H22" i="28"/>
  <c r="H21" i="28"/>
  <c r="H20" i="28"/>
  <c r="H19" i="28"/>
  <c r="H18" i="28"/>
  <c r="H17" i="28"/>
  <c r="H16" i="28"/>
  <c r="H15" i="28"/>
  <c r="H11" i="28"/>
  <c r="H10" i="28"/>
  <c r="H8" i="28"/>
  <c r="I8" i="28" s="1"/>
  <c r="P7" i="28"/>
  <c r="P9" i="28"/>
  <c r="M9" i="28"/>
  <c r="N7" i="28"/>
  <c r="O9" i="28"/>
  <c r="M7" i="28"/>
  <c r="O7" i="28"/>
  <c r="J7" i="28"/>
  <c r="J9" i="28"/>
  <c r="I7" i="28"/>
  <c r="I2" i="36"/>
  <c r="D3" i="36"/>
  <c r="D4" i="36"/>
  <c r="D5" i="36"/>
  <c r="D6" i="36"/>
  <c r="D7" i="36"/>
  <c r="D8" i="36"/>
  <c r="D9" i="36"/>
  <c r="D10"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2" i="36"/>
  <c r="C23" i="4"/>
  <c r="C20" i="4"/>
  <c r="C15" i="4"/>
  <c r="C6" i="4"/>
  <c r="C7" i="4" s="1"/>
  <c r="C16" i="4" s="1"/>
  <c r="N420" i="33"/>
  <c r="M420" i="33"/>
  <c r="L420" i="33"/>
  <c r="K420" i="33"/>
  <c r="J420" i="33"/>
  <c r="I420" i="33"/>
  <c r="H420" i="33"/>
  <c r="G420" i="33"/>
  <c r="F420" i="33"/>
  <c r="E420" i="33"/>
  <c r="D420" i="33"/>
  <c r="N385" i="33"/>
  <c r="M385" i="33"/>
  <c r="L385" i="33"/>
  <c r="K385" i="33"/>
  <c r="J385" i="33"/>
  <c r="I385" i="33"/>
  <c r="H385" i="33"/>
  <c r="G385" i="33"/>
  <c r="F385" i="33"/>
  <c r="E385" i="33"/>
  <c r="D385" i="33"/>
  <c r="C385" i="33"/>
  <c r="N350" i="33"/>
  <c r="M350" i="33"/>
  <c r="L350" i="33"/>
  <c r="K350" i="33"/>
  <c r="J350" i="33"/>
  <c r="I350" i="33"/>
  <c r="H350" i="33"/>
  <c r="G350" i="33"/>
  <c r="F350" i="33"/>
  <c r="E350" i="33"/>
  <c r="D350" i="33"/>
  <c r="C350" i="33"/>
  <c r="N315" i="33"/>
  <c r="M315" i="33"/>
  <c r="L315" i="33"/>
  <c r="K315" i="33"/>
  <c r="J315" i="33"/>
  <c r="I315" i="33"/>
  <c r="H315" i="33"/>
  <c r="G315" i="33"/>
  <c r="F315" i="33"/>
  <c r="E315" i="33"/>
  <c r="D315" i="33"/>
  <c r="C315" i="33"/>
  <c r="N279" i="33"/>
  <c r="M279" i="33"/>
  <c r="L279" i="33"/>
  <c r="K279" i="33"/>
  <c r="J279" i="33"/>
  <c r="I279" i="33"/>
  <c r="H279" i="33"/>
  <c r="G279" i="33"/>
  <c r="F279" i="33"/>
  <c r="E279" i="33"/>
  <c r="D279" i="33"/>
  <c r="C279" i="33"/>
  <c r="N243" i="33"/>
  <c r="M243" i="33"/>
  <c r="L243" i="33"/>
  <c r="K243" i="33"/>
  <c r="J243" i="33"/>
  <c r="I243" i="33"/>
  <c r="H243" i="33"/>
  <c r="G243" i="33"/>
  <c r="F243" i="33"/>
  <c r="E243" i="33"/>
  <c r="D243" i="33"/>
  <c r="C243" i="33"/>
  <c r="N207" i="33"/>
  <c r="M207" i="33"/>
  <c r="L207" i="33"/>
  <c r="K207" i="33"/>
  <c r="J207" i="33"/>
  <c r="I207" i="33"/>
  <c r="H207" i="33"/>
  <c r="G207" i="33"/>
  <c r="F207" i="33"/>
  <c r="E207" i="33"/>
  <c r="D207" i="33"/>
  <c r="C207" i="33"/>
  <c r="N171" i="33"/>
  <c r="M171" i="33"/>
  <c r="L171" i="33"/>
  <c r="K171" i="33"/>
  <c r="J171" i="33"/>
  <c r="I171" i="33"/>
  <c r="H171" i="33"/>
  <c r="G171" i="33"/>
  <c r="F171" i="33"/>
  <c r="E171" i="33"/>
  <c r="D171" i="33"/>
  <c r="C171" i="33"/>
  <c r="N99" i="33"/>
  <c r="N123" i="34" s="1"/>
  <c r="M99" i="33"/>
  <c r="M123" i="34" s="1"/>
  <c r="L99" i="33"/>
  <c r="L123" i="34" s="1"/>
  <c r="K99" i="33"/>
  <c r="K123" i="34" s="1"/>
  <c r="J99" i="33"/>
  <c r="J123" i="34" s="1"/>
  <c r="I99" i="33"/>
  <c r="I123" i="34" s="1"/>
  <c r="H99" i="33"/>
  <c r="H123" i="34" s="1"/>
  <c r="G99" i="33"/>
  <c r="G123" i="34" s="1"/>
  <c r="F99" i="33"/>
  <c r="F123" i="34" s="1"/>
  <c r="E99" i="33"/>
  <c r="E123" i="34" s="1"/>
  <c r="D99" i="33"/>
  <c r="D123" i="34" s="1"/>
  <c r="C99" i="33"/>
  <c r="C123" i="34" s="1"/>
  <c r="D17" i="33"/>
  <c r="D53" i="33" s="1"/>
  <c r="D89" i="33" s="1"/>
  <c r="D125" i="33" s="1"/>
  <c r="D161" i="33" s="1"/>
  <c r="D197" i="33" s="1"/>
  <c r="D233" i="33" s="1"/>
  <c r="D269" i="33" s="1"/>
  <c r="D305" i="33" s="1"/>
  <c r="D341" i="33" s="1"/>
  <c r="D376" i="33" s="1"/>
  <c r="D411" i="33" s="1"/>
  <c r="D17" i="34" s="1"/>
  <c r="D51" i="34" s="1"/>
  <c r="D85" i="34" s="1"/>
  <c r="D119" i="34" s="1"/>
  <c r="D153" i="34" s="1"/>
  <c r="E17" i="33"/>
  <c r="E53" i="33" s="1"/>
  <c r="E89" i="33" s="1"/>
  <c r="E125" i="33" s="1"/>
  <c r="E161" i="33" s="1"/>
  <c r="E197" i="33" s="1"/>
  <c r="E233" i="33" s="1"/>
  <c r="F17" i="33"/>
  <c r="F53" i="33" s="1"/>
  <c r="F89" i="33" s="1"/>
  <c r="F125" i="33" s="1"/>
  <c r="F161" i="33" s="1"/>
  <c r="F197" i="33" s="1"/>
  <c r="G17" i="33"/>
  <c r="G53" i="33" s="1"/>
  <c r="G89" i="33" s="1"/>
  <c r="G125" i="33" s="1"/>
  <c r="G161" i="33" s="1"/>
  <c r="G197" i="33" s="1"/>
  <c r="G233" i="33" s="1"/>
  <c r="G269" i="33" s="1"/>
  <c r="G305" i="33" s="1"/>
  <c r="G341" i="33" s="1"/>
  <c r="G376" i="33" s="1"/>
  <c r="G411" i="33" s="1"/>
  <c r="G17" i="34" s="1"/>
  <c r="G51" i="34" s="1"/>
  <c r="G85" i="34" s="1"/>
  <c r="G119" i="34" s="1"/>
  <c r="G153" i="34" s="1"/>
  <c r="H17" i="33"/>
  <c r="H53" i="33" s="1"/>
  <c r="H89" i="33" s="1"/>
  <c r="H125" i="33" s="1"/>
  <c r="H161" i="33" s="1"/>
  <c r="H197" i="33" s="1"/>
  <c r="H233" i="33" s="1"/>
  <c r="H269" i="33" s="1"/>
  <c r="I17" i="33"/>
  <c r="I53" i="33" s="1"/>
  <c r="I89" i="33" s="1"/>
  <c r="I125" i="33" s="1"/>
  <c r="I161" i="33" s="1"/>
  <c r="I197" i="33" s="1"/>
  <c r="I233" i="33" s="1"/>
  <c r="I269" i="33" s="1"/>
  <c r="I305" i="33" s="1"/>
  <c r="I341" i="33" s="1"/>
  <c r="I376" i="33" s="1"/>
  <c r="I411" i="33" s="1"/>
  <c r="I17" i="34" s="1"/>
  <c r="I51" i="34" s="1"/>
  <c r="I85" i="34" s="1"/>
  <c r="I119" i="34" s="1"/>
  <c r="I153" i="34" s="1"/>
  <c r="J17" i="33"/>
  <c r="J53" i="33" s="1"/>
  <c r="J89" i="33" s="1"/>
  <c r="J125" i="33" s="1"/>
  <c r="J161" i="33" s="1"/>
  <c r="J197" i="33" s="1"/>
  <c r="J233" i="33" s="1"/>
  <c r="J269" i="33" s="1"/>
  <c r="J305" i="33" s="1"/>
  <c r="J341" i="33" s="1"/>
  <c r="J376" i="33" s="1"/>
  <c r="J411" i="33" s="1"/>
  <c r="J17" i="34" s="1"/>
  <c r="J51" i="34" s="1"/>
  <c r="J85" i="34" s="1"/>
  <c r="J119" i="34" s="1"/>
  <c r="J153" i="34" s="1"/>
  <c r="K17" i="33"/>
  <c r="K53" i="33" s="1"/>
  <c r="K89" i="33" s="1"/>
  <c r="K125" i="33" s="1"/>
  <c r="K161" i="33" s="1"/>
  <c r="K197" i="33" s="1"/>
  <c r="K233" i="33" s="1"/>
  <c r="K269" i="33" s="1"/>
  <c r="K305" i="33" s="1"/>
  <c r="K341" i="33" s="1"/>
  <c r="K376" i="33" s="1"/>
  <c r="K411" i="33" s="1"/>
  <c r="K17" i="34" s="1"/>
  <c r="K51" i="34" s="1"/>
  <c r="K85" i="34" s="1"/>
  <c r="K119" i="34" s="1"/>
  <c r="K153" i="34" s="1"/>
  <c r="L17" i="33"/>
  <c r="L53" i="33" s="1"/>
  <c r="L89" i="33" s="1"/>
  <c r="L125" i="33" s="1"/>
  <c r="L161" i="33" s="1"/>
  <c r="L197" i="33" s="1"/>
  <c r="L233" i="33" s="1"/>
  <c r="L269" i="33" s="1"/>
  <c r="L305" i="33" s="1"/>
  <c r="L341" i="33" s="1"/>
  <c r="L376" i="33" s="1"/>
  <c r="L411" i="33" s="1"/>
  <c r="L17" i="34" s="1"/>
  <c r="L51" i="34" s="1"/>
  <c r="L85" i="34" s="1"/>
  <c r="L119" i="34" s="1"/>
  <c r="L153" i="34" s="1"/>
  <c r="M17" i="33"/>
  <c r="M53" i="33" s="1"/>
  <c r="M89" i="33" s="1"/>
  <c r="M125" i="33" s="1"/>
  <c r="M161" i="33" s="1"/>
  <c r="M197" i="33" s="1"/>
  <c r="M233" i="33" s="1"/>
  <c r="M269" i="33" s="1"/>
  <c r="M305" i="33" s="1"/>
  <c r="M341" i="33" s="1"/>
  <c r="M376" i="33" s="1"/>
  <c r="M411" i="33" s="1"/>
  <c r="M17" i="34" s="1"/>
  <c r="M51" i="34" s="1"/>
  <c r="M85" i="34" s="1"/>
  <c r="M119" i="34" s="1"/>
  <c r="M153" i="34" s="1"/>
  <c r="N17" i="33"/>
  <c r="N53" i="33" s="1"/>
  <c r="N89" i="33" s="1"/>
  <c r="N125" i="33" s="1"/>
  <c r="N161" i="33" s="1"/>
  <c r="N197" i="33" s="1"/>
  <c r="N233" i="33" s="1"/>
  <c r="N269" i="33" s="1"/>
  <c r="N305" i="33" s="1"/>
  <c r="N341" i="33" s="1"/>
  <c r="N376" i="33" s="1"/>
  <c r="N411" i="33" s="1"/>
  <c r="N17" i="34" s="1"/>
  <c r="N51" i="34" s="1"/>
  <c r="N85" i="34" s="1"/>
  <c r="N119" i="34" s="1"/>
  <c r="N153" i="34" s="1"/>
  <c r="C17" i="33"/>
  <c r="C53" i="33" s="1"/>
  <c r="N61" i="32"/>
  <c r="M61" i="32"/>
  <c r="L61" i="32"/>
  <c r="K61" i="32"/>
  <c r="J61" i="32"/>
  <c r="I61" i="32"/>
  <c r="H61" i="32"/>
  <c r="G61" i="32"/>
  <c r="F61" i="32"/>
  <c r="E61" i="32"/>
  <c r="D61" i="32"/>
  <c r="C61" i="32"/>
  <c r="N26" i="32"/>
  <c r="M26" i="32"/>
  <c r="L26" i="32"/>
  <c r="K26" i="32"/>
  <c r="J26" i="32"/>
  <c r="I26" i="32"/>
  <c r="H26" i="32"/>
  <c r="G26" i="32"/>
  <c r="F26" i="32"/>
  <c r="E26" i="32"/>
  <c r="D26" i="32"/>
  <c r="C26" i="32"/>
  <c r="N193" i="31"/>
  <c r="M193" i="31"/>
  <c r="L193" i="31"/>
  <c r="K193" i="31"/>
  <c r="J193" i="31"/>
  <c r="I193" i="31"/>
  <c r="H193" i="31"/>
  <c r="G193" i="31"/>
  <c r="F193" i="31"/>
  <c r="E193" i="31"/>
  <c r="D193" i="31"/>
  <c r="C193" i="31"/>
  <c r="N158" i="31"/>
  <c r="M158" i="31"/>
  <c r="L158" i="31"/>
  <c r="K158" i="31"/>
  <c r="J158" i="31"/>
  <c r="I158" i="31"/>
  <c r="H158" i="31"/>
  <c r="G158" i="31"/>
  <c r="F158" i="31"/>
  <c r="E158" i="31"/>
  <c r="D158" i="31"/>
  <c r="C158" i="31"/>
  <c r="N123" i="31"/>
  <c r="M123" i="31"/>
  <c r="L123" i="31"/>
  <c r="K123" i="31"/>
  <c r="J123" i="31"/>
  <c r="I123" i="31"/>
  <c r="H123" i="31"/>
  <c r="G123" i="31"/>
  <c r="F123" i="31"/>
  <c r="E123" i="31"/>
  <c r="D123" i="31"/>
  <c r="C123" i="31"/>
  <c r="D74" i="31"/>
  <c r="E74" i="31"/>
  <c r="F74" i="31"/>
  <c r="G74" i="31"/>
  <c r="H74" i="31"/>
  <c r="I74" i="31"/>
  <c r="J74" i="31"/>
  <c r="K74" i="31"/>
  <c r="L74" i="31"/>
  <c r="M74" i="31"/>
  <c r="N74" i="31"/>
  <c r="C74" i="31"/>
  <c r="N88" i="31"/>
  <c r="M88" i="31"/>
  <c r="L88" i="31"/>
  <c r="K88" i="31"/>
  <c r="J88" i="31"/>
  <c r="I88" i="31"/>
  <c r="H88" i="31"/>
  <c r="G88" i="31"/>
  <c r="F88" i="31"/>
  <c r="E88" i="31"/>
  <c r="D88" i="31"/>
  <c r="C88" i="31"/>
  <c r="D40" i="31"/>
  <c r="E40" i="31"/>
  <c r="F40" i="31"/>
  <c r="G40" i="31"/>
  <c r="H40" i="31"/>
  <c r="I40" i="31"/>
  <c r="J40" i="31"/>
  <c r="K40" i="31"/>
  <c r="L40" i="31"/>
  <c r="M40" i="31"/>
  <c r="N40" i="31"/>
  <c r="C40" i="31"/>
  <c r="N60" i="31"/>
  <c r="M60" i="31"/>
  <c r="L60" i="31"/>
  <c r="K60" i="31"/>
  <c r="J60" i="31"/>
  <c r="I60" i="31"/>
  <c r="H60" i="31"/>
  <c r="G60" i="31"/>
  <c r="F60" i="31"/>
  <c r="E60" i="31"/>
  <c r="D60" i="31"/>
  <c r="C60" i="31"/>
  <c r="D25" i="31"/>
  <c r="E25" i="31"/>
  <c r="F25" i="31"/>
  <c r="G25" i="31"/>
  <c r="H25" i="31"/>
  <c r="I25" i="31"/>
  <c r="J25" i="31"/>
  <c r="K25" i="31"/>
  <c r="L25" i="31"/>
  <c r="M25" i="31"/>
  <c r="N25" i="31"/>
  <c r="C25" i="31"/>
  <c r="D5" i="31"/>
  <c r="E5" i="31"/>
  <c r="F5" i="31"/>
  <c r="G5" i="31"/>
  <c r="H5" i="31"/>
  <c r="I5" i="31"/>
  <c r="J5" i="31"/>
  <c r="K5" i="31"/>
  <c r="L5" i="31"/>
  <c r="M5" i="31"/>
  <c r="N5" i="31"/>
  <c r="C5" i="31"/>
  <c r="D54" i="30"/>
  <c r="E54" i="30"/>
  <c r="F54" i="30"/>
  <c r="G54" i="30"/>
  <c r="H54" i="30"/>
  <c r="I54" i="30"/>
  <c r="J54" i="30"/>
  <c r="K54" i="30"/>
  <c r="L54" i="30"/>
  <c r="M54" i="30"/>
  <c r="N54" i="30"/>
  <c r="I9" i="28"/>
  <c r="K9" i="28"/>
  <c r="D8" i="30"/>
  <c r="E8" i="30"/>
  <c r="F8" i="30"/>
  <c r="G8" i="30"/>
  <c r="H8" i="30"/>
  <c r="I8" i="30"/>
  <c r="J8" i="30"/>
  <c r="K8" i="30"/>
  <c r="L8" i="30"/>
  <c r="M8" i="30"/>
  <c r="N8" i="30"/>
  <c r="O8" i="3"/>
  <c r="O9" i="3"/>
  <c r="O10" i="3"/>
  <c r="O11" i="3"/>
  <c r="O14" i="3"/>
  <c r="O15" i="3"/>
  <c r="O16" i="3"/>
  <c r="O17" i="3"/>
  <c r="O18" i="3"/>
  <c r="O19" i="3"/>
  <c r="D49" i="3"/>
  <c r="D79" i="3" s="1"/>
  <c r="D109" i="3" s="1"/>
  <c r="D140" i="3" s="1"/>
  <c r="D171" i="3" s="1"/>
  <c r="D19" i="30" s="1"/>
  <c r="D50" i="30" s="1"/>
  <c r="E49" i="3"/>
  <c r="E79" i="3" s="1"/>
  <c r="E109" i="3" s="1"/>
  <c r="E140" i="3" s="1"/>
  <c r="E171" i="3" s="1"/>
  <c r="E19" i="30" s="1"/>
  <c r="E50" i="30" s="1"/>
  <c r="F49" i="3"/>
  <c r="F79" i="3" s="1"/>
  <c r="F109" i="3" s="1"/>
  <c r="F140" i="3" s="1"/>
  <c r="F171" i="3" s="1"/>
  <c r="F19" i="30" s="1"/>
  <c r="F50" i="30" s="1"/>
  <c r="F82" i="30" s="1"/>
  <c r="F115" i="30" s="1"/>
  <c r="F20" i="31" s="1"/>
  <c r="F55" i="31" s="1"/>
  <c r="F90" i="31" s="1"/>
  <c r="F125" i="31" s="1"/>
  <c r="F160" i="31" s="1"/>
  <c r="F195" i="31" s="1"/>
  <c r="F21" i="32" s="1"/>
  <c r="F56" i="32" s="1"/>
  <c r="F22" i="33" s="1"/>
  <c r="G49" i="3"/>
  <c r="G79" i="3" s="1"/>
  <c r="G109" i="3" s="1"/>
  <c r="G140" i="3" s="1"/>
  <c r="G171" i="3" s="1"/>
  <c r="G19" i="30" s="1"/>
  <c r="G50" i="30" s="1"/>
  <c r="H49" i="3"/>
  <c r="H79" i="3" s="1"/>
  <c r="H109" i="3" s="1"/>
  <c r="H140" i="3" s="1"/>
  <c r="H171" i="3" s="1"/>
  <c r="H19" i="30" s="1"/>
  <c r="H50" i="30" s="1"/>
  <c r="H82" i="30" s="1"/>
  <c r="H115" i="30" s="1"/>
  <c r="H20" i="31" s="1"/>
  <c r="H55" i="31" s="1"/>
  <c r="H90" i="31" s="1"/>
  <c r="H125" i="31" s="1"/>
  <c r="H160" i="31" s="1"/>
  <c r="H195" i="31" s="1"/>
  <c r="H21" i="32" s="1"/>
  <c r="H56" i="32" s="1"/>
  <c r="H22" i="33" s="1"/>
  <c r="I49" i="3"/>
  <c r="I79" i="3" s="1"/>
  <c r="I109" i="3" s="1"/>
  <c r="I140" i="3" s="1"/>
  <c r="I171" i="3" s="1"/>
  <c r="I19" i="30" s="1"/>
  <c r="I50" i="30" s="1"/>
  <c r="J49" i="3"/>
  <c r="J79" i="3" s="1"/>
  <c r="J109" i="3" s="1"/>
  <c r="J140" i="3" s="1"/>
  <c r="J171" i="3" s="1"/>
  <c r="J19" i="30" s="1"/>
  <c r="J50" i="30" s="1"/>
  <c r="J82" i="30" s="1"/>
  <c r="J115" i="30" s="1"/>
  <c r="J20" i="31" s="1"/>
  <c r="J55" i="31" s="1"/>
  <c r="J90" i="31" s="1"/>
  <c r="J125" i="31" s="1"/>
  <c r="J160" i="31" s="1"/>
  <c r="J195" i="31" s="1"/>
  <c r="J21" i="32" s="1"/>
  <c r="J56" i="32" s="1"/>
  <c r="J22" i="33" s="1"/>
  <c r="K49" i="3"/>
  <c r="K79" i="3" s="1"/>
  <c r="K109" i="3" s="1"/>
  <c r="K140" i="3" s="1"/>
  <c r="K171" i="3" s="1"/>
  <c r="K19" i="30" s="1"/>
  <c r="K50" i="30" s="1"/>
  <c r="L49" i="3"/>
  <c r="L79" i="3" s="1"/>
  <c r="L109" i="3" s="1"/>
  <c r="L140" i="3" s="1"/>
  <c r="L171" i="3" s="1"/>
  <c r="L19" i="30" s="1"/>
  <c r="L50" i="30" s="1"/>
  <c r="M49" i="3"/>
  <c r="M79" i="3" s="1"/>
  <c r="M109" i="3" s="1"/>
  <c r="M140" i="3" s="1"/>
  <c r="M171" i="3" s="1"/>
  <c r="M19" i="30" s="1"/>
  <c r="M50" i="30" s="1"/>
  <c r="N49" i="3"/>
  <c r="N79" i="3" s="1"/>
  <c r="N109" i="3" s="1"/>
  <c r="N140" i="3" s="1"/>
  <c r="N171" i="3" s="1"/>
  <c r="N19" i="30" s="1"/>
  <c r="N50" i="30" s="1"/>
  <c r="C49" i="3"/>
  <c r="C79" i="3" s="1"/>
  <c r="C109" i="3" s="1"/>
  <c r="C140" i="3" s="1"/>
  <c r="C171" i="3" s="1"/>
  <c r="C19" i="30" s="1"/>
  <c r="C50" i="30" s="1"/>
  <c r="C82" i="30" s="1"/>
  <c r="C115" i="30" s="1"/>
  <c r="C20" i="31" s="1"/>
  <c r="C55" i="31" s="1"/>
  <c r="C90" i="31" s="1"/>
  <c r="D48" i="3"/>
  <c r="D78" i="3" s="1"/>
  <c r="D108" i="3" s="1"/>
  <c r="D139" i="3" s="1"/>
  <c r="D170" i="3" s="1"/>
  <c r="D18" i="30" s="1"/>
  <c r="D49" i="30" s="1"/>
  <c r="D81" i="30" s="1"/>
  <c r="D114" i="30" s="1"/>
  <c r="D19" i="31" s="1"/>
  <c r="D54" i="31" s="1"/>
  <c r="D89" i="31" s="1"/>
  <c r="D124" i="31" s="1"/>
  <c r="D159" i="31" s="1"/>
  <c r="D194" i="31" s="1"/>
  <c r="D19" i="32" s="1"/>
  <c r="E48" i="3"/>
  <c r="E78" i="3" s="1"/>
  <c r="E108" i="3" s="1"/>
  <c r="E139" i="3" s="1"/>
  <c r="E170" i="3" s="1"/>
  <c r="E18" i="30" s="1"/>
  <c r="E49" i="30" s="1"/>
  <c r="E81" i="30" s="1"/>
  <c r="E114" i="30" s="1"/>
  <c r="E19" i="31" s="1"/>
  <c r="E54" i="31" s="1"/>
  <c r="F48" i="3"/>
  <c r="F78" i="3" s="1"/>
  <c r="F108" i="3" s="1"/>
  <c r="F139" i="3" s="1"/>
  <c r="F170" i="3" s="1"/>
  <c r="F18" i="30" s="1"/>
  <c r="F49" i="30" s="1"/>
  <c r="G48" i="3"/>
  <c r="G78" i="3" s="1"/>
  <c r="G108" i="3" s="1"/>
  <c r="G139" i="3" s="1"/>
  <c r="G170" i="3" s="1"/>
  <c r="G18" i="30" s="1"/>
  <c r="G49" i="30" s="1"/>
  <c r="G81" i="30" s="1"/>
  <c r="G114" i="30" s="1"/>
  <c r="G19" i="31" s="1"/>
  <c r="G54" i="31" s="1"/>
  <c r="G89" i="31" s="1"/>
  <c r="G124" i="31" s="1"/>
  <c r="H48" i="3"/>
  <c r="H78" i="3" s="1"/>
  <c r="H108" i="3" s="1"/>
  <c r="H139" i="3" s="1"/>
  <c r="H170" i="3" s="1"/>
  <c r="H18" i="30" s="1"/>
  <c r="H49" i="30" s="1"/>
  <c r="H81" i="30" s="1"/>
  <c r="H114" i="30" s="1"/>
  <c r="H19" i="31" s="1"/>
  <c r="H54" i="31" s="1"/>
  <c r="H89" i="31" s="1"/>
  <c r="H124" i="31" s="1"/>
  <c r="H159" i="31" s="1"/>
  <c r="H194" i="31" s="1"/>
  <c r="H19" i="32" s="1"/>
  <c r="H54" i="32" s="1"/>
  <c r="H20" i="33" s="1"/>
  <c r="I48" i="3"/>
  <c r="I78" i="3" s="1"/>
  <c r="I108" i="3" s="1"/>
  <c r="I139" i="3" s="1"/>
  <c r="I170" i="3" s="1"/>
  <c r="I18" i="30" s="1"/>
  <c r="I49" i="30" s="1"/>
  <c r="J48" i="3"/>
  <c r="J78" i="3" s="1"/>
  <c r="J108" i="3" s="1"/>
  <c r="J139" i="3" s="1"/>
  <c r="J170" i="3" s="1"/>
  <c r="J18" i="30" s="1"/>
  <c r="J49" i="30" s="1"/>
  <c r="J81" i="30" s="1"/>
  <c r="J114" i="30" s="1"/>
  <c r="J19" i="31" s="1"/>
  <c r="J54" i="31" s="1"/>
  <c r="J89" i="31" s="1"/>
  <c r="J124" i="31" s="1"/>
  <c r="J159" i="31" s="1"/>
  <c r="J194" i="31" s="1"/>
  <c r="J19" i="32" s="1"/>
  <c r="J54" i="32" s="1"/>
  <c r="J20" i="33" s="1"/>
  <c r="K48" i="3"/>
  <c r="K78" i="3" s="1"/>
  <c r="K108" i="3" s="1"/>
  <c r="K139" i="3" s="1"/>
  <c r="K170" i="3" s="1"/>
  <c r="K18" i="30" s="1"/>
  <c r="K49" i="30" s="1"/>
  <c r="K81" i="30" s="1"/>
  <c r="K114" i="30" s="1"/>
  <c r="K19" i="31" s="1"/>
  <c r="K54" i="31" s="1"/>
  <c r="K89" i="31" s="1"/>
  <c r="K124" i="31" s="1"/>
  <c r="K159" i="31" s="1"/>
  <c r="K194" i="31" s="1"/>
  <c r="K19" i="32" s="1"/>
  <c r="K54" i="32" s="1"/>
  <c r="K20" i="33" s="1"/>
  <c r="L48" i="3"/>
  <c r="L78" i="3" s="1"/>
  <c r="L108" i="3" s="1"/>
  <c r="L139" i="3" s="1"/>
  <c r="L170" i="3" s="1"/>
  <c r="L18" i="30" s="1"/>
  <c r="L49" i="30" s="1"/>
  <c r="L81" i="30" s="1"/>
  <c r="L114" i="30" s="1"/>
  <c r="L19" i="31" s="1"/>
  <c r="L54" i="31" s="1"/>
  <c r="L89" i="31" s="1"/>
  <c r="L124" i="31" s="1"/>
  <c r="L159" i="31" s="1"/>
  <c r="L194" i="31" s="1"/>
  <c r="L19" i="32" s="1"/>
  <c r="L54" i="32" s="1"/>
  <c r="L20" i="33" s="1"/>
  <c r="M48" i="3"/>
  <c r="M78" i="3" s="1"/>
  <c r="M108" i="3" s="1"/>
  <c r="M139" i="3" s="1"/>
  <c r="M170" i="3" s="1"/>
  <c r="M18" i="30" s="1"/>
  <c r="M49" i="30" s="1"/>
  <c r="M81" i="30" s="1"/>
  <c r="M114" i="30" s="1"/>
  <c r="M19" i="31" s="1"/>
  <c r="M54" i="31" s="1"/>
  <c r="M89" i="31" s="1"/>
  <c r="M124" i="31" s="1"/>
  <c r="M159" i="31" s="1"/>
  <c r="M194" i="31" s="1"/>
  <c r="M19" i="32" s="1"/>
  <c r="M54" i="32" s="1"/>
  <c r="M20" i="33" s="1"/>
  <c r="N48" i="3"/>
  <c r="N78" i="3" s="1"/>
  <c r="N108" i="3" s="1"/>
  <c r="N139" i="3" s="1"/>
  <c r="N170" i="3" s="1"/>
  <c r="N18" i="30" s="1"/>
  <c r="N49" i="30" s="1"/>
  <c r="D47" i="3"/>
  <c r="D77" i="3" s="1"/>
  <c r="D107" i="3" s="1"/>
  <c r="D138" i="3" s="1"/>
  <c r="D169" i="3" s="1"/>
  <c r="D17" i="30" s="1"/>
  <c r="D48" i="30" s="1"/>
  <c r="E47" i="3"/>
  <c r="E77" i="3" s="1"/>
  <c r="E107" i="3" s="1"/>
  <c r="E138" i="3" s="1"/>
  <c r="E169" i="3" s="1"/>
  <c r="E17" i="30" s="1"/>
  <c r="E48" i="30" s="1"/>
  <c r="E80" i="30" s="1"/>
  <c r="E112" i="30" s="1"/>
  <c r="E17" i="31" s="1"/>
  <c r="E52" i="31" s="1"/>
  <c r="E86" i="31" s="1"/>
  <c r="E121" i="31" s="1"/>
  <c r="E156" i="31" s="1"/>
  <c r="E191" i="31" s="1"/>
  <c r="E17" i="32" s="1"/>
  <c r="E52" i="32" s="1"/>
  <c r="E18" i="33" s="1"/>
  <c r="E54" i="33" s="1"/>
  <c r="E90" i="33" s="1"/>
  <c r="E126" i="33" s="1"/>
  <c r="E162" i="33" s="1"/>
  <c r="F47" i="3"/>
  <c r="F77" i="3" s="1"/>
  <c r="F107" i="3" s="1"/>
  <c r="F138" i="3" s="1"/>
  <c r="F169" i="3" s="1"/>
  <c r="F17" i="30" s="1"/>
  <c r="F48" i="30" s="1"/>
  <c r="G47" i="3"/>
  <c r="G77" i="3" s="1"/>
  <c r="G107" i="3" s="1"/>
  <c r="G138" i="3" s="1"/>
  <c r="G169" i="3" s="1"/>
  <c r="G17" i="30" s="1"/>
  <c r="G48" i="30" s="1"/>
  <c r="G80" i="30" s="1"/>
  <c r="G112" i="30" s="1"/>
  <c r="G17" i="31" s="1"/>
  <c r="G52" i="31" s="1"/>
  <c r="G86" i="31" s="1"/>
  <c r="G121" i="31" s="1"/>
  <c r="G156" i="31" s="1"/>
  <c r="G191" i="31" s="1"/>
  <c r="G17" i="32" s="1"/>
  <c r="G52" i="32" s="1"/>
  <c r="G18" i="33" s="1"/>
  <c r="G54" i="33" s="1"/>
  <c r="G90" i="33" s="1"/>
  <c r="G126" i="33" s="1"/>
  <c r="G162" i="33" s="1"/>
  <c r="H47" i="3"/>
  <c r="H77" i="3" s="1"/>
  <c r="H107" i="3" s="1"/>
  <c r="H138" i="3" s="1"/>
  <c r="H169" i="3" s="1"/>
  <c r="H17" i="30" s="1"/>
  <c r="H48" i="30" s="1"/>
  <c r="I47" i="3"/>
  <c r="I77" i="3" s="1"/>
  <c r="I107" i="3" s="1"/>
  <c r="I138" i="3" s="1"/>
  <c r="I169" i="3" s="1"/>
  <c r="I17" i="30" s="1"/>
  <c r="I48" i="30" s="1"/>
  <c r="I80" i="30" s="1"/>
  <c r="I112" i="30" s="1"/>
  <c r="I17" i="31" s="1"/>
  <c r="I52" i="31" s="1"/>
  <c r="I86" i="31" s="1"/>
  <c r="I121" i="31" s="1"/>
  <c r="I156" i="31" s="1"/>
  <c r="I191" i="31" s="1"/>
  <c r="I17" i="32" s="1"/>
  <c r="I52" i="32" s="1"/>
  <c r="I18" i="33" s="1"/>
  <c r="I54" i="33" s="1"/>
  <c r="I90" i="33" s="1"/>
  <c r="I126" i="33" s="1"/>
  <c r="I162" i="33" s="1"/>
  <c r="J47" i="3"/>
  <c r="J77" i="3" s="1"/>
  <c r="J107" i="3" s="1"/>
  <c r="J138" i="3" s="1"/>
  <c r="J169" i="3" s="1"/>
  <c r="J17" i="30" s="1"/>
  <c r="J48" i="30" s="1"/>
  <c r="K47" i="3"/>
  <c r="K77" i="3" s="1"/>
  <c r="K107" i="3" s="1"/>
  <c r="K138" i="3" s="1"/>
  <c r="K169" i="3" s="1"/>
  <c r="K17" i="30" s="1"/>
  <c r="K48" i="30" s="1"/>
  <c r="K80" i="30" s="1"/>
  <c r="K112" i="30" s="1"/>
  <c r="K17" i="31" s="1"/>
  <c r="K52" i="31" s="1"/>
  <c r="K86" i="31" s="1"/>
  <c r="K121" i="31" s="1"/>
  <c r="K156" i="31" s="1"/>
  <c r="K191" i="31" s="1"/>
  <c r="K17" i="32" s="1"/>
  <c r="K52" i="32" s="1"/>
  <c r="K18" i="33" s="1"/>
  <c r="K54" i="33" s="1"/>
  <c r="K90" i="33" s="1"/>
  <c r="K126" i="33" s="1"/>
  <c r="K162" i="33" s="1"/>
  <c r="L47" i="3"/>
  <c r="L77" i="3" s="1"/>
  <c r="L107" i="3" s="1"/>
  <c r="L138" i="3" s="1"/>
  <c r="L169" i="3" s="1"/>
  <c r="L17" i="30" s="1"/>
  <c r="L48" i="30" s="1"/>
  <c r="M47" i="3"/>
  <c r="M77" i="3" s="1"/>
  <c r="M107" i="3" s="1"/>
  <c r="M138" i="3" s="1"/>
  <c r="M169" i="3" s="1"/>
  <c r="M17" i="30" s="1"/>
  <c r="M48" i="30" s="1"/>
  <c r="M80" i="30" s="1"/>
  <c r="M112" i="30" s="1"/>
  <c r="M17" i="31" s="1"/>
  <c r="M52" i="31" s="1"/>
  <c r="M86" i="31" s="1"/>
  <c r="M121" i="31" s="1"/>
  <c r="M156" i="31" s="1"/>
  <c r="M191" i="31" s="1"/>
  <c r="M17" i="32" s="1"/>
  <c r="M52" i="32" s="1"/>
  <c r="M18" i="33" s="1"/>
  <c r="M54" i="33" s="1"/>
  <c r="M90" i="33" s="1"/>
  <c r="M126" i="33" s="1"/>
  <c r="M162" i="33" s="1"/>
  <c r="N47" i="3"/>
  <c r="N77" i="3" s="1"/>
  <c r="N107" i="3" s="1"/>
  <c r="N138" i="3" s="1"/>
  <c r="N169" i="3" s="1"/>
  <c r="N17" i="30" s="1"/>
  <c r="N48" i="30" s="1"/>
  <c r="D46" i="3"/>
  <c r="D76" i="3" s="1"/>
  <c r="D106" i="3" s="1"/>
  <c r="D137" i="3" s="1"/>
  <c r="D168" i="3" s="1"/>
  <c r="D16" i="30" s="1"/>
  <c r="D47" i="30" s="1"/>
  <c r="D79" i="30" s="1"/>
  <c r="D111" i="30" s="1"/>
  <c r="D16" i="31" s="1"/>
  <c r="D51" i="31" s="1"/>
  <c r="D85" i="31" s="1"/>
  <c r="D120" i="31" s="1"/>
  <c r="D155" i="31" s="1"/>
  <c r="D190" i="31" s="1"/>
  <c r="D16" i="32" s="1"/>
  <c r="E46" i="3"/>
  <c r="E76" i="3" s="1"/>
  <c r="E106" i="3" s="1"/>
  <c r="E137" i="3" s="1"/>
  <c r="E168" i="3" s="1"/>
  <c r="E16" i="30" s="1"/>
  <c r="E47" i="30" s="1"/>
  <c r="E79" i="30" s="1"/>
  <c r="E111" i="30" s="1"/>
  <c r="E16" i="31" s="1"/>
  <c r="E51" i="31" s="1"/>
  <c r="E85" i="31" s="1"/>
  <c r="E120" i="31" s="1"/>
  <c r="E155" i="31" s="1"/>
  <c r="E190" i="31" s="1"/>
  <c r="E16" i="32" s="1"/>
  <c r="E51" i="32" s="1"/>
  <c r="E16" i="33" s="1"/>
  <c r="E52" i="33" s="1"/>
  <c r="E88" i="33" s="1"/>
  <c r="E124" i="33" s="1"/>
  <c r="E160" i="33" s="1"/>
  <c r="E196" i="33" s="1"/>
  <c r="E232" i="33" s="1"/>
  <c r="E268" i="33" s="1"/>
  <c r="E304" i="33" s="1"/>
  <c r="E340" i="33" s="1"/>
  <c r="E375" i="33" s="1"/>
  <c r="E410" i="33" s="1"/>
  <c r="E16" i="34" s="1"/>
  <c r="E50" i="34" s="1"/>
  <c r="E84" i="34" s="1"/>
  <c r="E118" i="34" s="1"/>
  <c r="E152" i="34" s="1"/>
  <c r="E186" i="34" s="1"/>
  <c r="E16" i="35" s="1"/>
  <c r="E49" i="35" s="1"/>
  <c r="E82" i="35" s="1"/>
  <c r="E115" i="35" s="1"/>
  <c r="E148" i="35" s="1"/>
  <c r="E180" i="35" s="1"/>
  <c r="E212" i="35" s="1"/>
  <c r="E244" i="35" s="1"/>
  <c r="E276" i="35" s="1"/>
  <c r="F46" i="3"/>
  <c r="F76" i="3" s="1"/>
  <c r="F106" i="3" s="1"/>
  <c r="F137" i="3" s="1"/>
  <c r="F168" i="3" s="1"/>
  <c r="F16" i="30" s="1"/>
  <c r="F47" i="30" s="1"/>
  <c r="F79" i="30" s="1"/>
  <c r="F111" i="30" s="1"/>
  <c r="F16" i="31" s="1"/>
  <c r="F51" i="31" s="1"/>
  <c r="F85" i="31" s="1"/>
  <c r="F120" i="31" s="1"/>
  <c r="F155" i="31" s="1"/>
  <c r="F190" i="31" s="1"/>
  <c r="F16" i="32" s="1"/>
  <c r="F51" i="32" s="1"/>
  <c r="F16" i="33" s="1"/>
  <c r="F52" i="33" s="1"/>
  <c r="F88" i="33" s="1"/>
  <c r="F124" i="33" s="1"/>
  <c r="F160" i="33" s="1"/>
  <c r="F196" i="33" s="1"/>
  <c r="F232" i="33" s="1"/>
  <c r="F268" i="33" s="1"/>
  <c r="F304" i="33" s="1"/>
  <c r="F340" i="33" s="1"/>
  <c r="F375" i="33" s="1"/>
  <c r="F410" i="33" s="1"/>
  <c r="F16" i="34" s="1"/>
  <c r="F50" i="34" s="1"/>
  <c r="F84" i="34" s="1"/>
  <c r="F118" i="34" s="1"/>
  <c r="F152" i="34" s="1"/>
  <c r="F186" i="34" s="1"/>
  <c r="F16" i="35" s="1"/>
  <c r="F49" i="35" s="1"/>
  <c r="F82" i="35" s="1"/>
  <c r="F115" i="35" s="1"/>
  <c r="F148" i="35" s="1"/>
  <c r="F180" i="35" s="1"/>
  <c r="F212" i="35" s="1"/>
  <c r="F244" i="35" s="1"/>
  <c r="F276" i="35" s="1"/>
  <c r="G46" i="3"/>
  <c r="G76" i="3" s="1"/>
  <c r="G106" i="3" s="1"/>
  <c r="G137" i="3" s="1"/>
  <c r="G168" i="3" s="1"/>
  <c r="G16" i="30" s="1"/>
  <c r="G47" i="30" s="1"/>
  <c r="G79" i="30" s="1"/>
  <c r="G111" i="30" s="1"/>
  <c r="G16" i="31" s="1"/>
  <c r="G51" i="31" s="1"/>
  <c r="G85" i="31" s="1"/>
  <c r="G120" i="31" s="1"/>
  <c r="G155" i="31" s="1"/>
  <c r="G190" i="31" s="1"/>
  <c r="G16" i="32" s="1"/>
  <c r="G51" i="32" s="1"/>
  <c r="G16" i="33" s="1"/>
  <c r="G52" i="33" s="1"/>
  <c r="G88" i="33" s="1"/>
  <c r="G124" i="33" s="1"/>
  <c r="G160" i="33" s="1"/>
  <c r="G196" i="33" s="1"/>
  <c r="G232" i="33" s="1"/>
  <c r="G268" i="33" s="1"/>
  <c r="G304" i="33" s="1"/>
  <c r="G340" i="33" s="1"/>
  <c r="G375" i="33" s="1"/>
  <c r="G410" i="33" s="1"/>
  <c r="G16" i="34" s="1"/>
  <c r="G50" i="34" s="1"/>
  <c r="G84" i="34" s="1"/>
  <c r="G118" i="34" s="1"/>
  <c r="G152" i="34" s="1"/>
  <c r="G186" i="34" s="1"/>
  <c r="G16" i="35" s="1"/>
  <c r="G49" i="35" s="1"/>
  <c r="G82" i="35" s="1"/>
  <c r="G115" i="35" s="1"/>
  <c r="H46" i="3"/>
  <c r="H76" i="3" s="1"/>
  <c r="H106" i="3" s="1"/>
  <c r="H137" i="3" s="1"/>
  <c r="H168" i="3" s="1"/>
  <c r="H16" i="30" s="1"/>
  <c r="H47" i="30" s="1"/>
  <c r="I46" i="3"/>
  <c r="I76" i="3" s="1"/>
  <c r="I106" i="3" s="1"/>
  <c r="I137" i="3" s="1"/>
  <c r="I168" i="3" s="1"/>
  <c r="I16" i="30" s="1"/>
  <c r="I47" i="30" s="1"/>
  <c r="I79" i="30" s="1"/>
  <c r="I111" i="30" s="1"/>
  <c r="I16" i="31" s="1"/>
  <c r="I51" i="31" s="1"/>
  <c r="I85" i="31" s="1"/>
  <c r="I120" i="31" s="1"/>
  <c r="I155" i="31" s="1"/>
  <c r="I190" i="31" s="1"/>
  <c r="I16" i="32" s="1"/>
  <c r="I51" i="32" s="1"/>
  <c r="I16" i="33" s="1"/>
  <c r="I52" i="33" s="1"/>
  <c r="I88" i="33" s="1"/>
  <c r="I124" i="33" s="1"/>
  <c r="I160" i="33" s="1"/>
  <c r="I196" i="33" s="1"/>
  <c r="I232" i="33" s="1"/>
  <c r="I268" i="33" s="1"/>
  <c r="I304" i="33" s="1"/>
  <c r="I340" i="33" s="1"/>
  <c r="I375" i="33" s="1"/>
  <c r="I410" i="33" s="1"/>
  <c r="I16" i="34" s="1"/>
  <c r="I50" i="34" s="1"/>
  <c r="I84" i="34" s="1"/>
  <c r="I118" i="34" s="1"/>
  <c r="I152" i="34" s="1"/>
  <c r="I186" i="34" s="1"/>
  <c r="I16" i="35" s="1"/>
  <c r="I49" i="35" s="1"/>
  <c r="J46" i="3"/>
  <c r="J76" i="3" s="1"/>
  <c r="J106" i="3" s="1"/>
  <c r="J137" i="3" s="1"/>
  <c r="J168" i="3" s="1"/>
  <c r="J16" i="30" s="1"/>
  <c r="J47" i="30" s="1"/>
  <c r="J79" i="30" s="1"/>
  <c r="J111" i="30" s="1"/>
  <c r="J16" i="31" s="1"/>
  <c r="J51" i="31" s="1"/>
  <c r="J85" i="31" s="1"/>
  <c r="J120" i="31" s="1"/>
  <c r="J155" i="31" s="1"/>
  <c r="J190" i="31" s="1"/>
  <c r="J16" i="32" s="1"/>
  <c r="J51" i="32" s="1"/>
  <c r="J16" i="33" s="1"/>
  <c r="J52" i="33" s="1"/>
  <c r="J88" i="33" s="1"/>
  <c r="J124" i="33" s="1"/>
  <c r="J160" i="33" s="1"/>
  <c r="J196" i="33" s="1"/>
  <c r="J232" i="33" s="1"/>
  <c r="J268" i="33" s="1"/>
  <c r="J304" i="33" s="1"/>
  <c r="J340" i="33" s="1"/>
  <c r="J375" i="33" s="1"/>
  <c r="J410" i="33" s="1"/>
  <c r="J16" i="34" s="1"/>
  <c r="J50" i="34" s="1"/>
  <c r="J84" i="34" s="1"/>
  <c r="J118" i="34" s="1"/>
  <c r="J152" i="34" s="1"/>
  <c r="J186" i="34" s="1"/>
  <c r="J16" i="35" s="1"/>
  <c r="J49" i="35" s="1"/>
  <c r="J82" i="35" s="1"/>
  <c r="J115" i="35" s="1"/>
  <c r="J148" i="35" s="1"/>
  <c r="J180" i="35" s="1"/>
  <c r="J212" i="35" s="1"/>
  <c r="J244" i="35" s="1"/>
  <c r="J276" i="35" s="1"/>
  <c r="K46" i="3"/>
  <c r="K76" i="3" s="1"/>
  <c r="K106" i="3" s="1"/>
  <c r="K137" i="3" s="1"/>
  <c r="K168" i="3" s="1"/>
  <c r="K16" i="30" s="1"/>
  <c r="K47" i="30" s="1"/>
  <c r="L46" i="3"/>
  <c r="L76" i="3" s="1"/>
  <c r="L106" i="3" s="1"/>
  <c r="L137" i="3" s="1"/>
  <c r="L168" i="3" s="1"/>
  <c r="L16" i="30" s="1"/>
  <c r="L47" i="30" s="1"/>
  <c r="L79" i="30" s="1"/>
  <c r="L111" i="30" s="1"/>
  <c r="L16" i="31" s="1"/>
  <c r="L51" i="31" s="1"/>
  <c r="L85" i="31" s="1"/>
  <c r="L120" i="31" s="1"/>
  <c r="L155" i="31" s="1"/>
  <c r="L190" i="31" s="1"/>
  <c r="L16" i="32" s="1"/>
  <c r="L51" i="32" s="1"/>
  <c r="L16" i="33" s="1"/>
  <c r="L52" i="33" s="1"/>
  <c r="L88" i="33" s="1"/>
  <c r="L124" i="33" s="1"/>
  <c r="L160" i="33" s="1"/>
  <c r="L196" i="33" s="1"/>
  <c r="L232" i="33" s="1"/>
  <c r="L268" i="33" s="1"/>
  <c r="L304" i="33" s="1"/>
  <c r="L340" i="33" s="1"/>
  <c r="L375" i="33" s="1"/>
  <c r="L410" i="33" s="1"/>
  <c r="L16" i="34" s="1"/>
  <c r="L50" i="34" s="1"/>
  <c r="L84" i="34" s="1"/>
  <c r="L118" i="34" s="1"/>
  <c r="L152" i="34" s="1"/>
  <c r="L186" i="34" s="1"/>
  <c r="L16" i="35" s="1"/>
  <c r="L49" i="35" s="1"/>
  <c r="L82" i="35" s="1"/>
  <c r="L115" i="35" s="1"/>
  <c r="L148" i="35" s="1"/>
  <c r="L180" i="35" s="1"/>
  <c r="L212" i="35" s="1"/>
  <c r="L244" i="35" s="1"/>
  <c r="M46" i="3"/>
  <c r="M76" i="3" s="1"/>
  <c r="M106" i="3" s="1"/>
  <c r="M137" i="3" s="1"/>
  <c r="M168" i="3" s="1"/>
  <c r="M16" i="30" s="1"/>
  <c r="M47" i="30" s="1"/>
  <c r="M79" i="30" s="1"/>
  <c r="M111" i="30" s="1"/>
  <c r="M16" i="31" s="1"/>
  <c r="M51" i="31" s="1"/>
  <c r="M85" i="31" s="1"/>
  <c r="M120" i="31" s="1"/>
  <c r="M155" i="31" s="1"/>
  <c r="M190" i="31" s="1"/>
  <c r="M16" i="32" s="1"/>
  <c r="M51" i="32" s="1"/>
  <c r="M16" i="33" s="1"/>
  <c r="M52" i="33" s="1"/>
  <c r="M88" i="33" s="1"/>
  <c r="M124" i="33" s="1"/>
  <c r="M160" i="33" s="1"/>
  <c r="M196" i="33" s="1"/>
  <c r="M232" i="33" s="1"/>
  <c r="M268" i="33" s="1"/>
  <c r="M304" i="33" s="1"/>
  <c r="M340" i="33" s="1"/>
  <c r="M375" i="33" s="1"/>
  <c r="M410" i="33" s="1"/>
  <c r="M16" i="34" s="1"/>
  <c r="M50" i="34" s="1"/>
  <c r="M84" i="34" s="1"/>
  <c r="M118" i="34" s="1"/>
  <c r="M152" i="34" s="1"/>
  <c r="M186" i="34" s="1"/>
  <c r="M16" i="35" s="1"/>
  <c r="M49" i="35" s="1"/>
  <c r="M82" i="35" s="1"/>
  <c r="M115" i="35" s="1"/>
  <c r="M148" i="35" s="1"/>
  <c r="M180" i="35" s="1"/>
  <c r="M212" i="35" s="1"/>
  <c r="M244" i="35" s="1"/>
  <c r="M276" i="35" s="1"/>
  <c r="N46" i="3"/>
  <c r="N76" i="3" s="1"/>
  <c r="N106" i="3" s="1"/>
  <c r="N137" i="3" s="1"/>
  <c r="N168" i="3" s="1"/>
  <c r="N16" i="30" s="1"/>
  <c r="N47" i="30" s="1"/>
  <c r="N79" i="30" s="1"/>
  <c r="N111" i="30" s="1"/>
  <c r="N16" i="31" s="1"/>
  <c r="N51" i="31" s="1"/>
  <c r="N85" i="31" s="1"/>
  <c r="N120" i="31" s="1"/>
  <c r="N155" i="31" s="1"/>
  <c r="N190" i="31" s="1"/>
  <c r="N16" i="32" s="1"/>
  <c r="N51" i="32" s="1"/>
  <c r="N16" i="33" s="1"/>
  <c r="N52" i="33" s="1"/>
  <c r="N88" i="33" s="1"/>
  <c r="N124" i="33" s="1"/>
  <c r="N160" i="33" s="1"/>
  <c r="N196" i="33" s="1"/>
  <c r="N232" i="33" s="1"/>
  <c r="N268" i="33" s="1"/>
  <c r="N304" i="33" s="1"/>
  <c r="N340" i="33" s="1"/>
  <c r="N375" i="33" s="1"/>
  <c r="N410" i="33" s="1"/>
  <c r="N16" i="34" s="1"/>
  <c r="N50" i="34" s="1"/>
  <c r="N84" i="34" s="1"/>
  <c r="N118" i="34" s="1"/>
  <c r="N152" i="34" s="1"/>
  <c r="N186" i="34" s="1"/>
  <c r="N16" i="35" s="1"/>
  <c r="N49" i="35" s="1"/>
  <c r="N82" i="35" s="1"/>
  <c r="N115" i="35" s="1"/>
  <c r="N148" i="35" s="1"/>
  <c r="N180" i="35" s="1"/>
  <c r="N212" i="35" s="1"/>
  <c r="N244" i="35" s="1"/>
  <c r="N276" i="35" s="1"/>
  <c r="D45" i="3"/>
  <c r="D75" i="3" s="1"/>
  <c r="D105" i="3" s="1"/>
  <c r="D136" i="3" s="1"/>
  <c r="D167" i="3" s="1"/>
  <c r="D15" i="30" s="1"/>
  <c r="D46" i="30" s="1"/>
  <c r="D78" i="30" s="1"/>
  <c r="D110" i="30" s="1"/>
  <c r="D15" i="31" s="1"/>
  <c r="D50" i="31" s="1"/>
  <c r="D84" i="31" s="1"/>
  <c r="D119" i="31" s="1"/>
  <c r="D154" i="31" s="1"/>
  <c r="D189" i="31" s="1"/>
  <c r="D15" i="32" s="1"/>
  <c r="D50" i="32" s="1"/>
  <c r="D15" i="33" s="1"/>
  <c r="D51" i="33" s="1"/>
  <c r="D87" i="33" s="1"/>
  <c r="D123" i="33" s="1"/>
  <c r="D159" i="33" s="1"/>
  <c r="D195" i="33" s="1"/>
  <c r="D231" i="33" s="1"/>
  <c r="D267" i="33" s="1"/>
  <c r="D303" i="33" s="1"/>
  <c r="D339" i="33" s="1"/>
  <c r="D374" i="33" s="1"/>
  <c r="D409" i="33" s="1"/>
  <c r="D15" i="34" s="1"/>
  <c r="D49" i="34" s="1"/>
  <c r="D83" i="34" s="1"/>
  <c r="D117" i="34" s="1"/>
  <c r="D151" i="34" s="1"/>
  <c r="D185" i="34" s="1"/>
  <c r="D15" i="35" s="1"/>
  <c r="D48" i="35" s="1"/>
  <c r="D81" i="35" s="1"/>
  <c r="D114" i="35" s="1"/>
  <c r="D147" i="35" s="1"/>
  <c r="D179" i="35" s="1"/>
  <c r="D211" i="35" s="1"/>
  <c r="D243" i="35" s="1"/>
  <c r="D275" i="35" s="1"/>
  <c r="D307" i="35" s="1"/>
  <c r="D339" i="35" s="1"/>
  <c r="D371" i="35" s="1"/>
  <c r="D403" i="35" s="1"/>
  <c r="D435" i="35" s="1"/>
  <c r="D467" i="35" s="1"/>
  <c r="D499" i="35" s="1"/>
  <c r="D531" i="35" s="1"/>
  <c r="D563" i="35" s="1"/>
  <c r="D595" i="35" s="1"/>
  <c r="D627" i="35" s="1"/>
  <c r="D659" i="35" s="1"/>
  <c r="D691" i="35" s="1"/>
  <c r="D723" i="35" s="1"/>
  <c r="D755" i="35" s="1"/>
  <c r="D787" i="35" s="1"/>
  <c r="D819" i="35" s="1"/>
  <c r="D851" i="35" s="1"/>
  <c r="E45" i="3"/>
  <c r="E75" i="3" s="1"/>
  <c r="E105" i="3" s="1"/>
  <c r="E136" i="3" s="1"/>
  <c r="E167" i="3" s="1"/>
  <c r="E15" i="30" s="1"/>
  <c r="E46" i="30" s="1"/>
  <c r="F45" i="3"/>
  <c r="F75" i="3" s="1"/>
  <c r="F105" i="3" s="1"/>
  <c r="F136" i="3" s="1"/>
  <c r="F167" i="3" s="1"/>
  <c r="F15" i="30" s="1"/>
  <c r="F46" i="30" s="1"/>
  <c r="G45" i="3"/>
  <c r="G75" i="3" s="1"/>
  <c r="G105" i="3" s="1"/>
  <c r="G136" i="3" s="1"/>
  <c r="G167" i="3" s="1"/>
  <c r="G15" i="30" s="1"/>
  <c r="G46" i="30" s="1"/>
  <c r="G78" i="30" s="1"/>
  <c r="G110" i="30" s="1"/>
  <c r="G15" i="31" s="1"/>
  <c r="G50" i="31" s="1"/>
  <c r="G84" i="31" s="1"/>
  <c r="G119" i="31" s="1"/>
  <c r="G154" i="31" s="1"/>
  <c r="G189" i="31" s="1"/>
  <c r="G15" i="32" s="1"/>
  <c r="G50" i="32" s="1"/>
  <c r="G15" i="33" s="1"/>
  <c r="G51" i="33" s="1"/>
  <c r="G87" i="33" s="1"/>
  <c r="G123" i="33" s="1"/>
  <c r="G159" i="33" s="1"/>
  <c r="G195" i="33" s="1"/>
  <c r="G231" i="33" s="1"/>
  <c r="G267" i="33" s="1"/>
  <c r="G303" i="33" s="1"/>
  <c r="G339" i="33" s="1"/>
  <c r="H45" i="3"/>
  <c r="H75" i="3" s="1"/>
  <c r="H105" i="3" s="1"/>
  <c r="H136" i="3" s="1"/>
  <c r="H167" i="3" s="1"/>
  <c r="H15" i="30" s="1"/>
  <c r="H46" i="30" s="1"/>
  <c r="H78" i="30" s="1"/>
  <c r="H110" i="30" s="1"/>
  <c r="H15" i="31" s="1"/>
  <c r="H50" i="31" s="1"/>
  <c r="H84" i="31" s="1"/>
  <c r="H119" i="31" s="1"/>
  <c r="H154" i="31" s="1"/>
  <c r="H189" i="31" s="1"/>
  <c r="H15" i="32" s="1"/>
  <c r="H50" i="32" s="1"/>
  <c r="H15" i="33" s="1"/>
  <c r="H51" i="33" s="1"/>
  <c r="H87" i="33" s="1"/>
  <c r="H123" i="33" s="1"/>
  <c r="H159" i="33" s="1"/>
  <c r="H195" i="33" s="1"/>
  <c r="H231" i="33" s="1"/>
  <c r="H267" i="33" s="1"/>
  <c r="H303" i="33" s="1"/>
  <c r="H339" i="33" s="1"/>
  <c r="H374" i="33" s="1"/>
  <c r="H409" i="33" s="1"/>
  <c r="H15" i="34" s="1"/>
  <c r="H49" i="34" s="1"/>
  <c r="H83" i="34" s="1"/>
  <c r="H117" i="34" s="1"/>
  <c r="H151" i="34" s="1"/>
  <c r="H185" i="34" s="1"/>
  <c r="H15" i="35" s="1"/>
  <c r="H48" i="35" s="1"/>
  <c r="H81" i="35" s="1"/>
  <c r="H114" i="35" s="1"/>
  <c r="H147" i="35" s="1"/>
  <c r="H179" i="35" s="1"/>
  <c r="H211" i="35" s="1"/>
  <c r="H243" i="35" s="1"/>
  <c r="H275" i="35" s="1"/>
  <c r="H307" i="35" s="1"/>
  <c r="H339" i="35" s="1"/>
  <c r="H371" i="35" s="1"/>
  <c r="H403" i="35" s="1"/>
  <c r="H435" i="35" s="1"/>
  <c r="H467" i="35" s="1"/>
  <c r="H499" i="35" s="1"/>
  <c r="H531" i="35" s="1"/>
  <c r="H563" i="35" s="1"/>
  <c r="H595" i="35" s="1"/>
  <c r="H627" i="35" s="1"/>
  <c r="H659" i="35" s="1"/>
  <c r="H691" i="35" s="1"/>
  <c r="H723" i="35" s="1"/>
  <c r="H755" i="35" s="1"/>
  <c r="H787" i="35" s="1"/>
  <c r="H819" i="35" s="1"/>
  <c r="H851" i="35" s="1"/>
  <c r="I45" i="3"/>
  <c r="I75" i="3" s="1"/>
  <c r="I105" i="3" s="1"/>
  <c r="I136" i="3" s="1"/>
  <c r="I167" i="3" s="1"/>
  <c r="I15" i="30" s="1"/>
  <c r="I46" i="30" s="1"/>
  <c r="I78" i="30" s="1"/>
  <c r="I110" i="30" s="1"/>
  <c r="I15" i="31" s="1"/>
  <c r="I50" i="31" s="1"/>
  <c r="I84" i="31" s="1"/>
  <c r="I119" i="31" s="1"/>
  <c r="I154" i="31" s="1"/>
  <c r="I189" i="31" s="1"/>
  <c r="I15" i="32" s="1"/>
  <c r="I50" i="32" s="1"/>
  <c r="I15" i="33" s="1"/>
  <c r="I51" i="33" s="1"/>
  <c r="I87" i="33" s="1"/>
  <c r="I123" i="33" s="1"/>
  <c r="I159" i="33" s="1"/>
  <c r="I195" i="33" s="1"/>
  <c r="I231" i="33" s="1"/>
  <c r="I267" i="33" s="1"/>
  <c r="I303" i="33" s="1"/>
  <c r="I339" i="33" s="1"/>
  <c r="I374" i="33" s="1"/>
  <c r="I409" i="33" s="1"/>
  <c r="I15" i="34" s="1"/>
  <c r="I49" i="34" s="1"/>
  <c r="I83" i="34" s="1"/>
  <c r="I117" i="34" s="1"/>
  <c r="I151" i="34" s="1"/>
  <c r="I185" i="34" s="1"/>
  <c r="I15" i="35" s="1"/>
  <c r="I48" i="35" s="1"/>
  <c r="I81" i="35" s="1"/>
  <c r="I114" i="35" s="1"/>
  <c r="I147" i="35" s="1"/>
  <c r="I179" i="35" s="1"/>
  <c r="I211" i="35" s="1"/>
  <c r="I243" i="35" s="1"/>
  <c r="I275" i="35" s="1"/>
  <c r="I307" i="35" s="1"/>
  <c r="I339" i="35" s="1"/>
  <c r="I371" i="35" s="1"/>
  <c r="I403" i="35" s="1"/>
  <c r="I435" i="35" s="1"/>
  <c r="I467" i="35" s="1"/>
  <c r="I499" i="35" s="1"/>
  <c r="I531" i="35" s="1"/>
  <c r="I563" i="35" s="1"/>
  <c r="I595" i="35" s="1"/>
  <c r="I627" i="35" s="1"/>
  <c r="I659" i="35" s="1"/>
  <c r="I691" i="35" s="1"/>
  <c r="I723" i="35" s="1"/>
  <c r="I755" i="35" s="1"/>
  <c r="I787" i="35" s="1"/>
  <c r="I819" i="35" s="1"/>
  <c r="I851" i="35" s="1"/>
  <c r="J45" i="3"/>
  <c r="J75" i="3" s="1"/>
  <c r="J105" i="3" s="1"/>
  <c r="J136" i="3" s="1"/>
  <c r="J167" i="3" s="1"/>
  <c r="J15" i="30" s="1"/>
  <c r="J46" i="30" s="1"/>
  <c r="J78" i="30" s="1"/>
  <c r="J110" i="30" s="1"/>
  <c r="J15" i="31" s="1"/>
  <c r="J50" i="31" s="1"/>
  <c r="J84" i="31" s="1"/>
  <c r="J119" i="31" s="1"/>
  <c r="J154" i="31" s="1"/>
  <c r="J189" i="31" s="1"/>
  <c r="J15" i="32" s="1"/>
  <c r="J50" i="32" s="1"/>
  <c r="J15" i="33" s="1"/>
  <c r="J51" i="33" s="1"/>
  <c r="J87" i="33" s="1"/>
  <c r="J123" i="33" s="1"/>
  <c r="J159" i="33" s="1"/>
  <c r="J195" i="33" s="1"/>
  <c r="J231" i="33" s="1"/>
  <c r="J267" i="33" s="1"/>
  <c r="J303" i="33" s="1"/>
  <c r="J339" i="33" s="1"/>
  <c r="J374" i="33" s="1"/>
  <c r="J409" i="33" s="1"/>
  <c r="J15" i="34" s="1"/>
  <c r="J49" i="34" s="1"/>
  <c r="J83" i="34" s="1"/>
  <c r="J117" i="34" s="1"/>
  <c r="J151" i="34" s="1"/>
  <c r="J185" i="34" s="1"/>
  <c r="J15" i="35" s="1"/>
  <c r="J48" i="35" s="1"/>
  <c r="J81" i="35" s="1"/>
  <c r="J114" i="35" s="1"/>
  <c r="J147" i="35" s="1"/>
  <c r="J179" i="35" s="1"/>
  <c r="J211" i="35" s="1"/>
  <c r="J243" i="35" s="1"/>
  <c r="J275" i="35" s="1"/>
  <c r="J307" i="35" s="1"/>
  <c r="J339" i="35" s="1"/>
  <c r="J371" i="35" s="1"/>
  <c r="J403" i="35" s="1"/>
  <c r="J435" i="35" s="1"/>
  <c r="J467" i="35" s="1"/>
  <c r="J499" i="35" s="1"/>
  <c r="J531" i="35" s="1"/>
  <c r="J563" i="35" s="1"/>
  <c r="J595" i="35" s="1"/>
  <c r="J627" i="35" s="1"/>
  <c r="J659" i="35" s="1"/>
  <c r="J691" i="35" s="1"/>
  <c r="J723" i="35" s="1"/>
  <c r="J755" i="35" s="1"/>
  <c r="J787" i="35" s="1"/>
  <c r="J819" i="35" s="1"/>
  <c r="J851" i="35" s="1"/>
  <c r="K45" i="3"/>
  <c r="K75" i="3" s="1"/>
  <c r="K105" i="3" s="1"/>
  <c r="K136" i="3" s="1"/>
  <c r="K167" i="3" s="1"/>
  <c r="K15" i="30" s="1"/>
  <c r="K46" i="30" s="1"/>
  <c r="K78" i="30" s="1"/>
  <c r="K110" i="30" s="1"/>
  <c r="K15" i="31" s="1"/>
  <c r="K50" i="31" s="1"/>
  <c r="L45" i="3"/>
  <c r="L75" i="3" s="1"/>
  <c r="L105" i="3" s="1"/>
  <c r="L136" i="3" s="1"/>
  <c r="L167" i="3" s="1"/>
  <c r="L15" i="30" s="1"/>
  <c r="L46" i="30" s="1"/>
  <c r="L78" i="30" s="1"/>
  <c r="L110" i="30" s="1"/>
  <c r="L15" i="31" s="1"/>
  <c r="L50" i="31" s="1"/>
  <c r="L84" i="31" s="1"/>
  <c r="L119" i="31" s="1"/>
  <c r="L154" i="31" s="1"/>
  <c r="L189" i="31" s="1"/>
  <c r="L15" i="32" s="1"/>
  <c r="L50" i="32" s="1"/>
  <c r="L15" i="33" s="1"/>
  <c r="L51" i="33" s="1"/>
  <c r="L87" i="33" s="1"/>
  <c r="L123" i="33" s="1"/>
  <c r="L159" i="33" s="1"/>
  <c r="L195" i="33" s="1"/>
  <c r="L231" i="33" s="1"/>
  <c r="L267" i="33" s="1"/>
  <c r="L303" i="33" s="1"/>
  <c r="L339" i="33" s="1"/>
  <c r="L374" i="33" s="1"/>
  <c r="L409" i="33" s="1"/>
  <c r="L15" i="34" s="1"/>
  <c r="L49" i="34" s="1"/>
  <c r="L83" i="34" s="1"/>
  <c r="L117" i="34" s="1"/>
  <c r="L151" i="34" s="1"/>
  <c r="L185" i="34" s="1"/>
  <c r="L15" i="35" s="1"/>
  <c r="L48" i="35" s="1"/>
  <c r="L81" i="35" s="1"/>
  <c r="L114" i="35" s="1"/>
  <c r="L147" i="35" s="1"/>
  <c r="L179" i="35" s="1"/>
  <c r="L211" i="35" s="1"/>
  <c r="L243" i="35" s="1"/>
  <c r="L275" i="35" s="1"/>
  <c r="L307" i="35" s="1"/>
  <c r="L339" i="35" s="1"/>
  <c r="L371" i="35" s="1"/>
  <c r="L403" i="35" s="1"/>
  <c r="L435" i="35" s="1"/>
  <c r="L467" i="35" s="1"/>
  <c r="L499" i="35" s="1"/>
  <c r="L531" i="35" s="1"/>
  <c r="L563" i="35" s="1"/>
  <c r="L595" i="35" s="1"/>
  <c r="L627" i="35" s="1"/>
  <c r="L659" i="35" s="1"/>
  <c r="L691" i="35" s="1"/>
  <c r="L723" i="35" s="1"/>
  <c r="L755" i="35" s="1"/>
  <c r="L787" i="35" s="1"/>
  <c r="L819" i="35" s="1"/>
  <c r="L851" i="35" s="1"/>
  <c r="M45" i="3"/>
  <c r="M75" i="3" s="1"/>
  <c r="M105" i="3" s="1"/>
  <c r="M136" i="3" s="1"/>
  <c r="M167" i="3" s="1"/>
  <c r="M15" i="30" s="1"/>
  <c r="M46" i="30" s="1"/>
  <c r="N45" i="3"/>
  <c r="N75" i="3" s="1"/>
  <c r="N105" i="3" s="1"/>
  <c r="N136" i="3" s="1"/>
  <c r="N167" i="3" s="1"/>
  <c r="N15" i="30" s="1"/>
  <c r="N46" i="30" s="1"/>
  <c r="N78" i="30" s="1"/>
  <c r="N110" i="30" s="1"/>
  <c r="N15" i="31" s="1"/>
  <c r="N50" i="31" s="1"/>
  <c r="N84" i="31" s="1"/>
  <c r="N119" i="31" s="1"/>
  <c r="N154" i="31" s="1"/>
  <c r="N189" i="31" s="1"/>
  <c r="N15" i="32" s="1"/>
  <c r="N50" i="32" s="1"/>
  <c r="N15" i="33" s="1"/>
  <c r="N51" i="33" s="1"/>
  <c r="N87" i="33" s="1"/>
  <c r="N123" i="33" s="1"/>
  <c r="N159" i="33" s="1"/>
  <c r="N195" i="33" s="1"/>
  <c r="N231" i="33" s="1"/>
  <c r="N267" i="33" s="1"/>
  <c r="N303" i="33" s="1"/>
  <c r="N339" i="33" s="1"/>
  <c r="N374" i="33" s="1"/>
  <c r="N409" i="33" s="1"/>
  <c r="N15" i="34" s="1"/>
  <c r="N49" i="34" s="1"/>
  <c r="N83" i="34" s="1"/>
  <c r="N117" i="34" s="1"/>
  <c r="N151" i="34" s="1"/>
  <c r="N185" i="34" s="1"/>
  <c r="N15" i="35" s="1"/>
  <c r="N48" i="35" s="1"/>
  <c r="N81" i="35" s="1"/>
  <c r="N114" i="35" s="1"/>
  <c r="N147" i="35" s="1"/>
  <c r="N179" i="35" s="1"/>
  <c r="N211" i="35" s="1"/>
  <c r="N243" i="35" s="1"/>
  <c r="N275" i="35" s="1"/>
  <c r="N307" i="35" s="1"/>
  <c r="N339" i="35" s="1"/>
  <c r="N371" i="35" s="1"/>
  <c r="N403" i="35" s="1"/>
  <c r="N435" i="35" s="1"/>
  <c r="N467" i="35" s="1"/>
  <c r="N499" i="35" s="1"/>
  <c r="N531" i="35" s="1"/>
  <c r="N563" i="35" s="1"/>
  <c r="N595" i="35" s="1"/>
  <c r="N627" i="35" s="1"/>
  <c r="N659" i="35" s="1"/>
  <c r="N691" i="35" s="1"/>
  <c r="N723" i="35" s="1"/>
  <c r="N755" i="35" s="1"/>
  <c r="N787" i="35" s="1"/>
  <c r="N819" i="35" s="1"/>
  <c r="N851" i="35" s="1"/>
  <c r="C45" i="3"/>
  <c r="C75" i="3" s="1"/>
  <c r="C105" i="3" s="1"/>
  <c r="C136" i="3" s="1"/>
  <c r="C167" i="3" s="1"/>
  <c r="C15" i="30" s="1"/>
  <c r="C46" i="30" s="1"/>
  <c r="C78" i="30" s="1"/>
  <c r="C110" i="30" s="1"/>
  <c r="C15" i="31" s="1"/>
  <c r="C50" i="31" s="1"/>
  <c r="C84" i="31" s="1"/>
  <c r="C46" i="3"/>
  <c r="C76" i="3" s="1"/>
  <c r="C106" i="3" s="1"/>
  <c r="C137" i="3" s="1"/>
  <c r="C168" i="3" s="1"/>
  <c r="C16" i="30" s="1"/>
  <c r="C47" i="30" s="1"/>
  <c r="C79" i="30" s="1"/>
  <c r="C111" i="30" s="1"/>
  <c r="C16" i="31" s="1"/>
  <c r="C51" i="31" s="1"/>
  <c r="C85" i="31" s="1"/>
  <c r="C47" i="3"/>
  <c r="C77" i="3" s="1"/>
  <c r="C107" i="3" s="1"/>
  <c r="C138" i="3" s="1"/>
  <c r="C169" i="3" s="1"/>
  <c r="C17" i="30" s="1"/>
  <c r="C48" i="30" s="1"/>
  <c r="C80" i="30" s="1"/>
  <c r="C112" i="30" s="1"/>
  <c r="C17" i="31" s="1"/>
  <c r="C52" i="31" s="1"/>
  <c r="C86" i="31" s="1"/>
  <c r="C48" i="3"/>
  <c r="C78" i="3" s="1"/>
  <c r="C108" i="3" s="1"/>
  <c r="C139" i="3" s="1"/>
  <c r="C170" i="3" s="1"/>
  <c r="C18" i="30" s="1"/>
  <c r="C49" i="30" s="1"/>
  <c r="C81" i="30" s="1"/>
  <c r="C114" i="30" s="1"/>
  <c r="C19" i="31" s="1"/>
  <c r="C54" i="31" s="1"/>
  <c r="C89" i="31" s="1"/>
  <c r="D44" i="3"/>
  <c r="D74" i="3" s="1"/>
  <c r="D104" i="3" s="1"/>
  <c r="D135" i="3" s="1"/>
  <c r="D166" i="3" s="1"/>
  <c r="D14" i="30" s="1"/>
  <c r="D45" i="30" s="1"/>
  <c r="D77" i="30" s="1"/>
  <c r="D109" i="30" s="1"/>
  <c r="D14" i="31" s="1"/>
  <c r="D49" i="31" s="1"/>
  <c r="D83" i="31" s="1"/>
  <c r="D118" i="31" s="1"/>
  <c r="D153" i="31" s="1"/>
  <c r="D188" i="31" s="1"/>
  <c r="D14" i="32" s="1"/>
  <c r="D49" i="32" s="1"/>
  <c r="D14" i="33" s="1"/>
  <c r="D50" i="33" s="1"/>
  <c r="D86" i="33" s="1"/>
  <c r="D122" i="33" s="1"/>
  <c r="D158" i="33" s="1"/>
  <c r="D194" i="33" s="1"/>
  <c r="D230" i="33" s="1"/>
  <c r="D266" i="33" s="1"/>
  <c r="D302" i="33" s="1"/>
  <c r="D338" i="33" s="1"/>
  <c r="E44" i="3"/>
  <c r="E74" i="3" s="1"/>
  <c r="E104" i="3" s="1"/>
  <c r="E135" i="3" s="1"/>
  <c r="E166" i="3" s="1"/>
  <c r="E14" i="30" s="1"/>
  <c r="E45" i="30" s="1"/>
  <c r="E77" i="30" s="1"/>
  <c r="E109" i="30" s="1"/>
  <c r="E14" i="31" s="1"/>
  <c r="E49" i="31" s="1"/>
  <c r="E83" i="31" s="1"/>
  <c r="E118" i="31" s="1"/>
  <c r="E153" i="31" s="1"/>
  <c r="E188" i="31" s="1"/>
  <c r="E14" i="32" s="1"/>
  <c r="E49" i="32" s="1"/>
  <c r="F44" i="3"/>
  <c r="F74" i="3" s="1"/>
  <c r="G44" i="3"/>
  <c r="G74" i="3" s="1"/>
  <c r="H44" i="3"/>
  <c r="H74" i="3" s="1"/>
  <c r="H104" i="3" s="1"/>
  <c r="H135" i="3" s="1"/>
  <c r="H166" i="3" s="1"/>
  <c r="H14" i="30" s="1"/>
  <c r="H45" i="30" s="1"/>
  <c r="H77" i="30" s="1"/>
  <c r="H109" i="30" s="1"/>
  <c r="H14" i="31" s="1"/>
  <c r="H49" i="31" s="1"/>
  <c r="H83" i="31" s="1"/>
  <c r="H118" i="31" s="1"/>
  <c r="H153" i="31" s="1"/>
  <c r="H188" i="31" s="1"/>
  <c r="H14" i="32" s="1"/>
  <c r="H49" i="32" s="1"/>
  <c r="H14" i="33" s="1"/>
  <c r="H50" i="33" s="1"/>
  <c r="H86" i="33" s="1"/>
  <c r="H122" i="33" s="1"/>
  <c r="H158" i="33" s="1"/>
  <c r="H194" i="33" s="1"/>
  <c r="H230" i="33" s="1"/>
  <c r="H266" i="33" s="1"/>
  <c r="H302" i="33" s="1"/>
  <c r="H338" i="33" s="1"/>
  <c r="H373" i="33" s="1"/>
  <c r="H408" i="33" s="1"/>
  <c r="H14" i="34" s="1"/>
  <c r="H48" i="34" s="1"/>
  <c r="H82" i="34" s="1"/>
  <c r="H116" i="34" s="1"/>
  <c r="H150" i="34" s="1"/>
  <c r="H184" i="34" s="1"/>
  <c r="H14" i="35" s="1"/>
  <c r="H47" i="35" s="1"/>
  <c r="H80" i="35" s="1"/>
  <c r="H113" i="35" s="1"/>
  <c r="H146" i="35" s="1"/>
  <c r="H178" i="35" s="1"/>
  <c r="H210" i="35" s="1"/>
  <c r="H242" i="35" s="1"/>
  <c r="H274" i="35" s="1"/>
  <c r="H306" i="35" s="1"/>
  <c r="H338" i="35" s="1"/>
  <c r="H370" i="35" s="1"/>
  <c r="H402" i="35" s="1"/>
  <c r="H434" i="35" s="1"/>
  <c r="H466" i="35" s="1"/>
  <c r="H498" i="35" s="1"/>
  <c r="H530" i="35" s="1"/>
  <c r="H562" i="35" s="1"/>
  <c r="H594" i="35" s="1"/>
  <c r="H626" i="35" s="1"/>
  <c r="H658" i="35" s="1"/>
  <c r="H690" i="35" s="1"/>
  <c r="H722" i="35" s="1"/>
  <c r="H754" i="35" s="1"/>
  <c r="H786" i="35" s="1"/>
  <c r="H818" i="35" s="1"/>
  <c r="H850" i="35" s="1"/>
  <c r="I44" i="3"/>
  <c r="I74" i="3" s="1"/>
  <c r="I104" i="3" s="1"/>
  <c r="I135" i="3" s="1"/>
  <c r="I166" i="3" s="1"/>
  <c r="J44" i="3"/>
  <c r="J74" i="3" s="1"/>
  <c r="J104" i="3" s="1"/>
  <c r="J135" i="3" s="1"/>
  <c r="J166" i="3" s="1"/>
  <c r="J14" i="30" s="1"/>
  <c r="J45" i="30" s="1"/>
  <c r="J77" i="30" s="1"/>
  <c r="J109" i="30" s="1"/>
  <c r="J14" i="31" s="1"/>
  <c r="J49" i="31" s="1"/>
  <c r="J83" i="31" s="1"/>
  <c r="J118" i="31" s="1"/>
  <c r="J153" i="31" s="1"/>
  <c r="J188" i="31" s="1"/>
  <c r="J14" i="32" s="1"/>
  <c r="J49" i="32" s="1"/>
  <c r="J14" i="33" s="1"/>
  <c r="J50" i="33" s="1"/>
  <c r="J86" i="33" s="1"/>
  <c r="J122" i="33" s="1"/>
  <c r="J158" i="33" s="1"/>
  <c r="J194" i="33" s="1"/>
  <c r="J230" i="33" s="1"/>
  <c r="J266" i="33" s="1"/>
  <c r="J302" i="33" s="1"/>
  <c r="J338" i="33" s="1"/>
  <c r="J373" i="33" s="1"/>
  <c r="J408" i="33" s="1"/>
  <c r="J14" i="34" s="1"/>
  <c r="J48" i="34" s="1"/>
  <c r="J82" i="34" s="1"/>
  <c r="J116" i="34" s="1"/>
  <c r="J150" i="34" s="1"/>
  <c r="J184" i="34" s="1"/>
  <c r="J14" i="35" s="1"/>
  <c r="J47" i="35" s="1"/>
  <c r="J80" i="35" s="1"/>
  <c r="J113" i="35" s="1"/>
  <c r="J146" i="35" s="1"/>
  <c r="J178" i="35" s="1"/>
  <c r="J210" i="35" s="1"/>
  <c r="J242" i="35" s="1"/>
  <c r="J274" i="35" s="1"/>
  <c r="J306" i="35" s="1"/>
  <c r="J338" i="35" s="1"/>
  <c r="J370" i="35" s="1"/>
  <c r="J402" i="35" s="1"/>
  <c r="J434" i="35" s="1"/>
  <c r="J466" i="35" s="1"/>
  <c r="J498" i="35" s="1"/>
  <c r="J530" i="35" s="1"/>
  <c r="J562" i="35" s="1"/>
  <c r="J594" i="35" s="1"/>
  <c r="J626" i="35" s="1"/>
  <c r="J658" i="35" s="1"/>
  <c r="J690" i="35" s="1"/>
  <c r="J722" i="35" s="1"/>
  <c r="J754" i="35" s="1"/>
  <c r="J786" i="35" s="1"/>
  <c r="J818" i="35" s="1"/>
  <c r="J850" i="35" s="1"/>
  <c r="K44" i="3"/>
  <c r="K74" i="3" s="1"/>
  <c r="K104" i="3" s="1"/>
  <c r="K135" i="3" s="1"/>
  <c r="K166" i="3" s="1"/>
  <c r="K14" i="30" s="1"/>
  <c r="K45" i="30" s="1"/>
  <c r="K77" i="30" s="1"/>
  <c r="K109" i="30" s="1"/>
  <c r="K14" i="31" s="1"/>
  <c r="K49" i="31" s="1"/>
  <c r="K83" i="31" s="1"/>
  <c r="K118" i="31" s="1"/>
  <c r="K153" i="31" s="1"/>
  <c r="K188" i="31" s="1"/>
  <c r="K14" i="32" s="1"/>
  <c r="K49" i="32" s="1"/>
  <c r="K14" i="33" s="1"/>
  <c r="K50" i="33" s="1"/>
  <c r="K86" i="33" s="1"/>
  <c r="K122" i="33" s="1"/>
  <c r="K158" i="33" s="1"/>
  <c r="K194" i="33" s="1"/>
  <c r="K230" i="33" s="1"/>
  <c r="K266" i="33" s="1"/>
  <c r="K302" i="33" s="1"/>
  <c r="K338" i="33" s="1"/>
  <c r="K373" i="33" s="1"/>
  <c r="K408" i="33" s="1"/>
  <c r="K14" i="34" s="1"/>
  <c r="K48" i="34" s="1"/>
  <c r="K82" i="34" s="1"/>
  <c r="K116" i="34" s="1"/>
  <c r="K150" i="34" s="1"/>
  <c r="K184" i="34" s="1"/>
  <c r="K14" i="35" s="1"/>
  <c r="K47" i="35" s="1"/>
  <c r="K80" i="35" s="1"/>
  <c r="K113" i="35" s="1"/>
  <c r="K146" i="35" s="1"/>
  <c r="K178" i="35" s="1"/>
  <c r="K210" i="35" s="1"/>
  <c r="K242" i="35" s="1"/>
  <c r="K274" i="35" s="1"/>
  <c r="K306" i="35" s="1"/>
  <c r="K338" i="35" s="1"/>
  <c r="K370" i="35" s="1"/>
  <c r="K402" i="35" s="1"/>
  <c r="K434" i="35" s="1"/>
  <c r="K466" i="35" s="1"/>
  <c r="K498" i="35" s="1"/>
  <c r="K530" i="35" s="1"/>
  <c r="K562" i="35" s="1"/>
  <c r="K594" i="35" s="1"/>
  <c r="K626" i="35" s="1"/>
  <c r="K658" i="35" s="1"/>
  <c r="K690" i="35" s="1"/>
  <c r="K722" i="35" s="1"/>
  <c r="K754" i="35" s="1"/>
  <c r="K786" i="35" s="1"/>
  <c r="K818" i="35" s="1"/>
  <c r="K850" i="35" s="1"/>
  <c r="L44" i="3"/>
  <c r="L74" i="3" s="1"/>
  <c r="L104" i="3" s="1"/>
  <c r="L135" i="3" s="1"/>
  <c r="L166" i="3" s="1"/>
  <c r="L14" i="30" s="1"/>
  <c r="L45" i="30" s="1"/>
  <c r="L77" i="30" s="1"/>
  <c r="L109" i="30" s="1"/>
  <c r="L14" i="31" s="1"/>
  <c r="L49" i="31" s="1"/>
  <c r="L83" i="31" s="1"/>
  <c r="L118" i="31" s="1"/>
  <c r="L153" i="31" s="1"/>
  <c r="L188" i="31" s="1"/>
  <c r="L14" i="32" s="1"/>
  <c r="L49" i="32" s="1"/>
  <c r="L14" i="33" s="1"/>
  <c r="L50" i="33" s="1"/>
  <c r="L86" i="33" s="1"/>
  <c r="L122" i="33" s="1"/>
  <c r="L158" i="33" s="1"/>
  <c r="L194" i="33" s="1"/>
  <c r="L230" i="33" s="1"/>
  <c r="L266" i="33" s="1"/>
  <c r="L302" i="33" s="1"/>
  <c r="L338" i="33" s="1"/>
  <c r="L373" i="33" s="1"/>
  <c r="L408" i="33" s="1"/>
  <c r="L14" i="34" s="1"/>
  <c r="L48" i="34" s="1"/>
  <c r="L82" i="34" s="1"/>
  <c r="L116" i="34" s="1"/>
  <c r="L150" i="34" s="1"/>
  <c r="L184" i="34" s="1"/>
  <c r="L14" i="35" s="1"/>
  <c r="L47" i="35" s="1"/>
  <c r="L80" i="35" s="1"/>
  <c r="L113" i="35" s="1"/>
  <c r="L146" i="35" s="1"/>
  <c r="L178" i="35" s="1"/>
  <c r="L210" i="35" s="1"/>
  <c r="L242" i="35" s="1"/>
  <c r="L274" i="35" s="1"/>
  <c r="L306" i="35" s="1"/>
  <c r="L338" i="35" s="1"/>
  <c r="L370" i="35" s="1"/>
  <c r="L402" i="35" s="1"/>
  <c r="L434" i="35" s="1"/>
  <c r="L466" i="35" s="1"/>
  <c r="L498" i="35" s="1"/>
  <c r="L530" i="35" s="1"/>
  <c r="L562" i="35" s="1"/>
  <c r="L594" i="35" s="1"/>
  <c r="L626" i="35" s="1"/>
  <c r="L658" i="35" s="1"/>
  <c r="L690" i="35" s="1"/>
  <c r="L722" i="35" s="1"/>
  <c r="L754" i="35" s="1"/>
  <c r="L786" i="35" s="1"/>
  <c r="L818" i="35" s="1"/>
  <c r="L850" i="35" s="1"/>
  <c r="M44" i="3"/>
  <c r="M74" i="3" s="1"/>
  <c r="M104" i="3" s="1"/>
  <c r="M135" i="3" s="1"/>
  <c r="M166" i="3" s="1"/>
  <c r="M14" i="30" s="1"/>
  <c r="M45" i="30" s="1"/>
  <c r="M77" i="30" s="1"/>
  <c r="M109" i="30" s="1"/>
  <c r="M14" i="31" s="1"/>
  <c r="M49" i="31" s="1"/>
  <c r="M83" i="31" s="1"/>
  <c r="M118" i="31" s="1"/>
  <c r="M153" i="31" s="1"/>
  <c r="M188" i="31" s="1"/>
  <c r="M14" i="32" s="1"/>
  <c r="M49" i="32" s="1"/>
  <c r="M14" i="33" s="1"/>
  <c r="M50" i="33" s="1"/>
  <c r="M86" i="33" s="1"/>
  <c r="M122" i="33" s="1"/>
  <c r="M158" i="33" s="1"/>
  <c r="M194" i="33" s="1"/>
  <c r="M230" i="33" s="1"/>
  <c r="M266" i="33" s="1"/>
  <c r="M302" i="33" s="1"/>
  <c r="M338" i="33" s="1"/>
  <c r="M373" i="33" s="1"/>
  <c r="M408" i="33" s="1"/>
  <c r="M14" i="34" s="1"/>
  <c r="M48" i="34" s="1"/>
  <c r="M82" i="34" s="1"/>
  <c r="M116" i="34" s="1"/>
  <c r="M150" i="34" s="1"/>
  <c r="M184" i="34" s="1"/>
  <c r="M14" i="35" s="1"/>
  <c r="M47" i="35" s="1"/>
  <c r="M80" i="35" s="1"/>
  <c r="M113" i="35" s="1"/>
  <c r="M146" i="35" s="1"/>
  <c r="M178" i="35" s="1"/>
  <c r="M210" i="35" s="1"/>
  <c r="M242" i="35" s="1"/>
  <c r="M274" i="35" s="1"/>
  <c r="M306" i="35" s="1"/>
  <c r="M338" i="35" s="1"/>
  <c r="M370" i="35" s="1"/>
  <c r="M402" i="35" s="1"/>
  <c r="M434" i="35" s="1"/>
  <c r="M466" i="35" s="1"/>
  <c r="M498" i="35" s="1"/>
  <c r="M530" i="35" s="1"/>
  <c r="M562" i="35" s="1"/>
  <c r="M594" i="35" s="1"/>
  <c r="M626" i="35" s="1"/>
  <c r="M658" i="35" s="1"/>
  <c r="M690" i="35" s="1"/>
  <c r="M722" i="35" s="1"/>
  <c r="M754" i="35" s="1"/>
  <c r="M786" i="35" s="1"/>
  <c r="M818" i="35" s="1"/>
  <c r="M850" i="35" s="1"/>
  <c r="N44" i="3"/>
  <c r="N74" i="3" s="1"/>
  <c r="C44" i="3"/>
  <c r="C74" i="3" s="1"/>
  <c r="C104" i="3" s="1"/>
  <c r="C135" i="3" s="1"/>
  <c r="C166" i="3" s="1"/>
  <c r="C14" i="30" s="1"/>
  <c r="C45" i="30" s="1"/>
  <c r="C77" i="30" s="1"/>
  <c r="C109" i="30" s="1"/>
  <c r="C49" i="31" s="1"/>
  <c r="C83" i="31" s="1"/>
  <c r="C118" i="31" s="1"/>
  <c r="N41" i="3"/>
  <c r="N71" i="3" s="1"/>
  <c r="N101" i="3" s="1"/>
  <c r="N132" i="3" s="1"/>
  <c r="N163" i="3" s="1"/>
  <c r="N11" i="30" s="1"/>
  <c r="N42" i="30" s="1"/>
  <c r="N74" i="30" s="1"/>
  <c r="N106" i="30" s="1"/>
  <c r="N11" i="31" s="1"/>
  <c r="N46" i="31" s="1"/>
  <c r="N80" i="31" s="1"/>
  <c r="N115" i="31" s="1"/>
  <c r="N150" i="31" s="1"/>
  <c r="N185" i="31" s="1"/>
  <c r="N11" i="32" s="1"/>
  <c r="N46" i="32" s="1"/>
  <c r="N11" i="33" s="1"/>
  <c r="D41" i="3"/>
  <c r="D71" i="3" s="1"/>
  <c r="D101" i="3" s="1"/>
  <c r="D132" i="3" s="1"/>
  <c r="D163" i="3" s="1"/>
  <c r="D11" i="30" s="1"/>
  <c r="E41" i="3"/>
  <c r="E71" i="3" s="1"/>
  <c r="E101" i="3" s="1"/>
  <c r="E132" i="3" s="1"/>
  <c r="E163" i="3" s="1"/>
  <c r="E11" i="30" s="1"/>
  <c r="E42" i="30" s="1"/>
  <c r="E74" i="30" s="1"/>
  <c r="E106" i="30" s="1"/>
  <c r="E11" i="31" s="1"/>
  <c r="E46" i="31" s="1"/>
  <c r="E80" i="31" s="1"/>
  <c r="E115" i="31" s="1"/>
  <c r="E150" i="31" s="1"/>
  <c r="E185" i="31" s="1"/>
  <c r="E11" i="32" s="1"/>
  <c r="E46" i="32" s="1"/>
  <c r="E11" i="33" s="1"/>
  <c r="E47" i="33" s="1"/>
  <c r="E83" i="33" s="1"/>
  <c r="E119" i="33" s="1"/>
  <c r="E155" i="33" s="1"/>
  <c r="E191" i="33" s="1"/>
  <c r="E227" i="33" s="1"/>
  <c r="E263" i="33" s="1"/>
  <c r="E299" i="33" s="1"/>
  <c r="E335" i="33" s="1"/>
  <c r="E370" i="33" s="1"/>
  <c r="E405" i="33" s="1"/>
  <c r="E11" i="34" s="1"/>
  <c r="F41" i="3"/>
  <c r="F71" i="3" s="1"/>
  <c r="F101" i="3" s="1"/>
  <c r="F132" i="3" s="1"/>
  <c r="F163" i="3" s="1"/>
  <c r="F11" i="30" s="1"/>
  <c r="F42" i="30" s="1"/>
  <c r="F74" i="30" s="1"/>
  <c r="F106" i="30" s="1"/>
  <c r="F11" i="31" s="1"/>
  <c r="F46" i="31" s="1"/>
  <c r="F80" i="31" s="1"/>
  <c r="F115" i="31" s="1"/>
  <c r="F150" i="31" s="1"/>
  <c r="F185" i="31" s="1"/>
  <c r="F11" i="32" s="1"/>
  <c r="F46" i="32" s="1"/>
  <c r="F11" i="33" s="1"/>
  <c r="F47" i="33" s="1"/>
  <c r="F83" i="33" s="1"/>
  <c r="F119" i="33" s="1"/>
  <c r="F155" i="33" s="1"/>
  <c r="F191" i="33" s="1"/>
  <c r="F227" i="33" s="1"/>
  <c r="F263" i="33" s="1"/>
  <c r="F299" i="33" s="1"/>
  <c r="F335" i="33" s="1"/>
  <c r="G41" i="3"/>
  <c r="G71" i="3" s="1"/>
  <c r="G101" i="3" s="1"/>
  <c r="G132" i="3" s="1"/>
  <c r="G163" i="3" s="1"/>
  <c r="G11" i="30" s="1"/>
  <c r="G42" i="30" s="1"/>
  <c r="G74" i="30" s="1"/>
  <c r="G106" i="30" s="1"/>
  <c r="G11" i="31" s="1"/>
  <c r="G46" i="31" s="1"/>
  <c r="G80" i="31" s="1"/>
  <c r="G115" i="31" s="1"/>
  <c r="G150" i="31" s="1"/>
  <c r="H41" i="3"/>
  <c r="H71" i="3" s="1"/>
  <c r="H101" i="3" s="1"/>
  <c r="H132" i="3" s="1"/>
  <c r="H163" i="3" s="1"/>
  <c r="H11" i="30" s="1"/>
  <c r="H42" i="30" s="1"/>
  <c r="H74" i="30" s="1"/>
  <c r="H106" i="30" s="1"/>
  <c r="H11" i="31" s="1"/>
  <c r="H46" i="31" s="1"/>
  <c r="I41" i="3"/>
  <c r="I71" i="3" s="1"/>
  <c r="I101" i="3" s="1"/>
  <c r="I132" i="3" s="1"/>
  <c r="I163" i="3" s="1"/>
  <c r="I11" i="30" s="1"/>
  <c r="I42" i="30" s="1"/>
  <c r="J41" i="3"/>
  <c r="J71" i="3" s="1"/>
  <c r="J101" i="3" s="1"/>
  <c r="J132" i="3" s="1"/>
  <c r="J163" i="3" s="1"/>
  <c r="J11" i="30" s="1"/>
  <c r="J42" i="30" s="1"/>
  <c r="K41" i="3"/>
  <c r="K71" i="3" s="1"/>
  <c r="K101" i="3" s="1"/>
  <c r="K132" i="3" s="1"/>
  <c r="K163" i="3" s="1"/>
  <c r="K11" i="30" s="1"/>
  <c r="K42" i="30" s="1"/>
  <c r="K74" i="30" s="1"/>
  <c r="K106" i="30" s="1"/>
  <c r="K11" i="31" s="1"/>
  <c r="K46" i="31" s="1"/>
  <c r="K80" i="31" s="1"/>
  <c r="K115" i="31" s="1"/>
  <c r="K150" i="31" s="1"/>
  <c r="K185" i="31" s="1"/>
  <c r="K11" i="32" s="1"/>
  <c r="K46" i="32" s="1"/>
  <c r="K11" i="33" s="1"/>
  <c r="K47" i="33" s="1"/>
  <c r="K83" i="33" s="1"/>
  <c r="K119" i="33" s="1"/>
  <c r="K155" i="33" s="1"/>
  <c r="K191" i="33" s="1"/>
  <c r="K227" i="33" s="1"/>
  <c r="K263" i="33" s="1"/>
  <c r="K299" i="33" s="1"/>
  <c r="K335" i="33" s="1"/>
  <c r="K370" i="33" s="1"/>
  <c r="K405" i="33" s="1"/>
  <c r="K11" i="34" s="1"/>
  <c r="L41" i="3"/>
  <c r="L71" i="3" s="1"/>
  <c r="L101" i="3" s="1"/>
  <c r="L132" i="3" s="1"/>
  <c r="L163" i="3" s="1"/>
  <c r="L11" i="30" s="1"/>
  <c r="L42" i="30" s="1"/>
  <c r="M41" i="3"/>
  <c r="M71" i="3" s="1"/>
  <c r="M101" i="3" s="1"/>
  <c r="M132" i="3" s="1"/>
  <c r="M163" i="3" s="1"/>
  <c r="M11" i="30" s="1"/>
  <c r="M42" i="30" s="1"/>
  <c r="M74" i="30" s="1"/>
  <c r="M106" i="30" s="1"/>
  <c r="M11" i="31" s="1"/>
  <c r="M46" i="31" s="1"/>
  <c r="M80" i="31" s="1"/>
  <c r="M115" i="31" s="1"/>
  <c r="M150" i="31" s="1"/>
  <c r="M185" i="31" s="1"/>
  <c r="M11" i="32" s="1"/>
  <c r="M46" i="32" s="1"/>
  <c r="M11" i="33" s="1"/>
  <c r="M47" i="33" s="1"/>
  <c r="M83" i="33" s="1"/>
  <c r="M119" i="33" s="1"/>
  <c r="M155" i="33" s="1"/>
  <c r="M191" i="33" s="1"/>
  <c r="M227" i="33" s="1"/>
  <c r="M263" i="33" s="1"/>
  <c r="M299" i="33" s="1"/>
  <c r="M335" i="33" s="1"/>
  <c r="M370" i="33" s="1"/>
  <c r="M405" i="33" s="1"/>
  <c r="M11" i="34" s="1"/>
  <c r="M45" i="34" s="1"/>
  <c r="M79" i="34" s="1"/>
  <c r="C41" i="3"/>
  <c r="C71" i="3" s="1"/>
  <c r="C101" i="3" s="1"/>
  <c r="C132" i="3" s="1"/>
  <c r="C163" i="3" s="1"/>
  <c r="C11" i="30" s="1"/>
  <c r="C42" i="30" s="1"/>
  <c r="C74" i="30" s="1"/>
  <c r="C106" i="30" s="1"/>
  <c r="C11" i="31" s="1"/>
  <c r="C46" i="31" s="1"/>
  <c r="C80" i="31" s="1"/>
  <c r="D40" i="3"/>
  <c r="D70" i="3" s="1"/>
  <c r="D100" i="3" s="1"/>
  <c r="E40" i="3"/>
  <c r="E70" i="3" s="1"/>
  <c r="E100" i="3" s="1"/>
  <c r="F40" i="3"/>
  <c r="F70" i="3" s="1"/>
  <c r="F100" i="3" s="1"/>
  <c r="F131" i="3" s="1"/>
  <c r="F162" i="3" s="1"/>
  <c r="F10" i="30" s="1"/>
  <c r="F41" i="30" s="1"/>
  <c r="G40" i="3"/>
  <c r="G70" i="3" s="1"/>
  <c r="G100" i="3" s="1"/>
  <c r="G131" i="3" s="1"/>
  <c r="G162" i="3" s="1"/>
  <c r="G10" i="30" s="1"/>
  <c r="G41" i="30" s="1"/>
  <c r="H40" i="3"/>
  <c r="H70" i="3" s="1"/>
  <c r="H100" i="3" s="1"/>
  <c r="H131" i="3" s="1"/>
  <c r="H162" i="3" s="1"/>
  <c r="H10" i="30" s="1"/>
  <c r="H41" i="30" s="1"/>
  <c r="I40" i="3"/>
  <c r="I70" i="3" s="1"/>
  <c r="I100" i="3" s="1"/>
  <c r="I131" i="3" s="1"/>
  <c r="I162" i="3" s="1"/>
  <c r="I10" i="30" s="1"/>
  <c r="I41" i="30" s="1"/>
  <c r="J40" i="3"/>
  <c r="J70" i="3" s="1"/>
  <c r="J100" i="3" s="1"/>
  <c r="K40" i="3"/>
  <c r="K70" i="3" s="1"/>
  <c r="K100" i="3" s="1"/>
  <c r="L40" i="3"/>
  <c r="L70" i="3" s="1"/>
  <c r="L100" i="3" s="1"/>
  <c r="M40" i="3"/>
  <c r="M70" i="3" s="1"/>
  <c r="M100" i="3" s="1"/>
  <c r="N40" i="3"/>
  <c r="N70" i="3" s="1"/>
  <c r="N100" i="3" s="1"/>
  <c r="N131" i="3" s="1"/>
  <c r="N162" i="3" s="1"/>
  <c r="N10" i="30" s="1"/>
  <c r="N41" i="30" s="1"/>
  <c r="C40" i="3"/>
  <c r="C70" i="3" s="1"/>
  <c r="C100" i="3" s="1"/>
  <c r="D39" i="3"/>
  <c r="D69" i="3" s="1"/>
  <c r="D99" i="3" s="1"/>
  <c r="D130" i="3" s="1"/>
  <c r="D161" i="3" s="1"/>
  <c r="D9" i="30" s="1"/>
  <c r="D40" i="30" s="1"/>
  <c r="D72" i="30" s="1"/>
  <c r="E39" i="3"/>
  <c r="E69" i="3" s="1"/>
  <c r="E99" i="3" s="1"/>
  <c r="E130" i="3" s="1"/>
  <c r="E161" i="3" s="1"/>
  <c r="E9" i="30" s="1"/>
  <c r="E40" i="30" s="1"/>
  <c r="E72" i="30" s="1"/>
  <c r="F39" i="3"/>
  <c r="F69" i="3" s="1"/>
  <c r="F99" i="3" s="1"/>
  <c r="G39" i="3"/>
  <c r="G69" i="3" s="1"/>
  <c r="G99" i="3" s="1"/>
  <c r="H39" i="3"/>
  <c r="H69" i="3" s="1"/>
  <c r="H99" i="3" s="1"/>
  <c r="I39" i="3"/>
  <c r="I69" i="3" s="1"/>
  <c r="I99" i="3" s="1"/>
  <c r="J39" i="3"/>
  <c r="J69" i="3" s="1"/>
  <c r="J99" i="3" s="1"/>
  <c r="J130" i="3" s="1"/>
  <c r="K39" i="3"/>
  <c r="K69" i="3" s="1"/>
  <c r="K99" i="3" s="1"/>
  <c r="K130" i="3" s="1"/>
  <c r="L39" i="3"/>
  <c r="L69" i="3" s="1"/>
  <c r="L99" i="3" s="1"/>
  <c r="L130" i="3" s="1"/>
  <c r="L161" i="3" s="1"/>
  <c r="L9" i="30" s="1"/>
  <c r="L40" i="30" s="1"/>
  <c r="L72" i="30" s="1"/>
  <c r="M39" i="3"/>
  <c r="M69" i="3" s="1"/>
  <c r="M99" i="3" s="1"/>
  <c r="M130" i="3" s="1"/>
  <c r="M161" i="3" s="1"/>
  <c r="M9" i="30" s="1"/>
  <c r="M40" i="30" s="1"/>
  <c r="M72" i="30" s="1"/>
  <c r="N39" i="3"/>
  <c r="N69" i="3" s="1"/>
  <c r="N99" i="3" s="1"/>
  <c r="C39" i="3"/>
  <c r="C69" i="3" s="1"/>
  <c r="C99" i="3" s="1"/>
  <c r="C130" i="3" s="1"/>
  <c r="C161" i="3" s="1"/>
  <c r="C9" i="30" s="1"/>
  <c r="C40" i="30" s="1"/>
  <c r="C72" i="30" s="1"/>
  <c r="C38" i="3"/>
  <c r="N2" i="28"/>
  <c r="E3" i="28"/>
  <c r="E4" i="28" s="1"/>
  <c r="E5" i="28" s="1"/>
  <c r="E6" i="28" s="1"/>
  <c r="E8" i="28" s="1"/>
  <c r="E9" i="28" s="1"/>
  <c r="E10" i="28" s="1"/>
  <c r="E11" i="28" s="1"/>
  <c r="E12" i="28" s="1"/>
  <c r="E13" i="28" s="1"/>
  <c r="E14" i="28" s="1"/>
  <c r="E15" i="28" s="1"/>
  <c r="E16" i="28" s="1"/>
  <c r="E17" i="28" s="1"/>
  <c r="E18" i="28" s="1"/>
  <c r="E19" i="28" s="1"/>
  <c r="E20" i="28" s="1"/>
  <c r="E21" i="28" s="1"/>
  <c r="E22" i="28" s="1"/>
  <c r="E23" i="28" s="1"/>
  <c r="E24" i="28" s="1"/>
  <c r="E25" i="28" s="1"/>
  <c r="E26" i="28" s="1"/>
  <c r="E27" i="28" s="1"/>
  <c r="E28" i="28" s="1"/>
  <c r="E29" i="28" s="1"/>
  <c r="E30" i="28" s="1"/>
  <c r="E31" i="28" s="1"/>
  <c r="E32" i="28" s="1"/>
  <c r="E33" i="28" s="1"/>
  <c r="E34" i="28" s="1"/>
  <c r="E35" i="28" s="1"/>
  <c r="E36" i="28" s="1"/>
  <c r="E37" i="28" s="1"/>
  <c r="E38" i="28" s="1"/>
  <c r="F3" i="28"/>
  <c r="F4" i="28" s="1"/>
  <c r="F5" i="28" s="1"/>
  <c r="F6" i="28" s="1"/>
  <c r="F7" i="28" s="1"/>
  <c r="F8" i="28" s="1"/>
  <c r="F9" i="28" s="1"/>
  <c r="F10" i="28" s="1"/>
  <c r="F11" i="28" s="1"/>
  <c r="F12" i="28" s="1"/>
  <c r="F13" i="28" s="1"/>
  <c r="F14" i="28" s="1"/>
  <c r="F15" i="28" s="1"/>
  <c r="F16" i="28" s="1"/>
  <c r="F17" i="28" s="1"/>
  <c r="F18" i="28" s="1"/>
  <c r="F19" i="28" s="1"/>
  <c r="F20" i="28" s="1"/>
  <c r="F21" i="28" s="1"/>
  <c r="F22" i="28" s="1"/>
  <c r="F23" i="28" s="1"/>
  <c r="F24" i="28" s="1"/>
  <c r="F25" i="28" s="1"/>
  <c r="F26" i="28" s="1"/>
  <c r="F27" i="28" s="1"/>
  <c r="F28" i="28" s="1"/>
  <c r="F29" i="28" s="1"/>
  <c r="F30" i="28" s="1"/>
  <c r="F31" i="28" s="1"/>
  <c r="F32" i="28" s="1"/>
  <c r="F33" i="28" s="1"/>
  <c r="F34" i="28" s="1"/>
  <c r="F35" i="28" s="1"/>
  <c r="F36" i="28" s="1"/>
  <c r="F37" i="28" s="1"/>
  <c r="F38" i="28" s="1"/>
  <c r="G3" i="28"/>
  <c r="G4" i="28" s="1"/>
  <c r="G5" i="28" s="1"/>
  <c r="G6" i="28" s="1"/>
  <c r="G7" i="28" s="1"/>
  <c r="G8" i="28" s="1"/>
  <c r="G9" i="28" s="1"/>
  <c r="G10" i="28" s="1"/>
  <c r="G11" i="28" s="1"/>
  <c r="G12" i="28" s="1"/>
  <c r="G13" i="28" s="1"/>
  <c r="G14" i="28" s="1"/>
  <c r="G15" i="28" s="1"/>
  <c r="G16" i="28" s="1"/>
  <c r="G17" i="28" s="1"/>
  <c r="G18" i="28" s="1"/>
  <c r="G19" i="28" s="1"/>
  <c r="G20" i="28" s="1"/>
  <c r="G21" i="28" s="1"/>
  <c r="G22" i="28" s="1"/>
  <c r="G23" i="28" s="1"/>
  <c r="G24" i="28" s="1"/>
  <c r="G25" i="28" s="1"/>
  <c r="G26" i="28" s="1"/>
  <c r="G27" i="28" s="1"/>
  <c r="G28" i="28" s="1"/>
  <c r="G29" i="28" s="1"/>
  <c r="G30" i="28" s="1"/>
  <c r="G31" i="28" s="1"/>
  <c r="G32" i="28" s="1"/>
  <c r="G33" i="28" s="1"/>
  <c r="G34" i="28" s="1"/>
  <c r="G35" i="28" s="1"/>
  <c r="G36" i="28" s="1"/>
  <c r="G37" i="28" s="1"/>
  <c r="G38" i="28" s="1"/>
  <c r="K38" i="28"/>
  <c r="K37" i="28"/>
  <c r="K36" i="28"/>
  <c r="K35" i="28"/>
  <c r="K34" i="28"/>
  <c r="K33" i="28"/>
  <c r="K32" i="28"/>
  <c r="K31" i="28"/>
  <c r="K30" i="28"/>
  <c r="K29" i="28"/>
  <c r="K28" i="28"/>
  <c r="K27" i="28"/>
  <c r="K26" i="28"/>
  <c r="K25" i="28"/>
  <c r="K24" i="28"/>
  <c r="K23" i="28"/>
  <c r="K22" i="28"/>
  <c r="K21" i="28"/>
  <c r="K20" i="28"/>
  <c r="K19" i="28"/>
  <c r="K18" i="28"/>
  <c r="K17" i="28"/>
  <c r="K16" i="28"/>
  <c r="K15" i="28"/>
  <c r="K14" i="28"/>
  <c r="K13" i="28"/>
  <c r="K12" i="28"/>
  <c r="I12" i="28"/>
  <c r="B12" i="28"/>
  <c r="K11" i="28"/>
  <c r="K10" i="28"/>
  <c r="D12" i="3"/>
  <c r="E12" i="3"/>
  <c r="F12" i="3"/>
  <c r="G12" i="3"/>
  <c r="H12" i="3"/>
  <c r="I12" i="3"/>
  <c r="J12" i="3"/>
  <c r="K12" i="3"/>
  <c r="L12" i="3"/>
  <c r="M12" i="3"/>
  <c r="N12" i="3"/>
  <c r="E32" i="62" l="1" a="1"/>
  <c r="E32" i="62" s="1"/>
  <c r="K32" i="62" a="1"/>
  <c r="K32" i="62" s="1"/>
  <c r="I32" i="62" a="1"/>
  <c r="I32" i="62" s="1"/>
  <c r="N32" i="62" a="1"/>
  <c r="N32" i="62" s="1"/>
  <c r="Q32" i="63"/>
  <c r="D33" i="63" s="1"/>
  <c r="E33" i="63" s="1" a="1"/>
  <c r="E33" i="63" s="1"/>
  <c r="K28" i="51" a="1"/>
  <c r="K28" i="51" s="1"/>
  <c r="I28" i="51" a="1"/>
  <c r="I28" i="51" s="1"/>
  <c r="N28" i="51" a="1"/>
  <c r="N28" i="51" s="1"/>
  <c r="F28" i="51" a="1"/>
  <c r="F28" i="51" s="1"/>
  <c r="N26" i="31"/>
  <c r="K26" i="31"/>
  <c r="G120" i="30"/>
  <c r="C120" i="30"/>
  <c r="D26" i="31"/>
  <c r="L26" i="31"/>
  <c r="H120" i="30"/>
  <c r="E26" i="31"/>
  <c r="M26" i="31"/>
  <c r="I120" i="30"/>
  <c r="F26" i="31"/>
  <c r="C26" i="31"/>
  <c r="J120" i="30"/>
  <c r="G26" i="31"/>
  <c r="K120" i="30"/>
  <c r="H26" i="31"/>
  <c r="D120" i="30"/>
  <c r="L120" i="30"/>
  <c r="I26" i="31"/>
  <c r="E120" i="30"/>
  <c r="M120" i="30"/>
  <c r="J26" i="31"/>
  <c r="F120" i="30"/>
  <c r="N120" i="30"/>
  <c r="O120" i="30" s="1"/>
  <c r="K13" i="46"/>
  <c r="F8" i="46" s="1"/>
  <c r="F14" i="46" s="1"/>
  <c r="H5" i="41"/>
  <c r="G2" i="40"/>
  <c r="H2" i="40" s="1"/>
  <c r="G3" i="40" s="1"/>
  <c r="H3" i="40" s="1"/>
  <c r="G4" i="40" s="1"/>
  <c r="H4" i="40" s="1"/>
  <c r="G5" i="40" s="1"/>
  <c r="H5" i="40" s="1"/>
  <c r="G6" i="40" s="1"/>
  <c r="H6" i="40" s="1"/>
  <c r="O135" i="33"/>
  <c r="O63" i="33"/>
  <c r="O27" i="33"/>
  <c r="O165" i="31"/>
  <c r="O130" i="31"/>
  <c r="O95" i="31"/>
  <c r="O86" i="30"/>
  <c r="I42" i="42"/>
  <c r="I41" i="42" s="1"/>
  <c r="O96" i="31"/>
  <c r="C131" i="31"/>
  <c r="O61" i="31"/>
  <c r="O27" i="31"/>
  <c r="J43" i="44"/>
  <c r="J17" i="44"/>
  <c r="J39" i="44"/>
  <c r="J41" i="44"/>
  <c r="J40" i="44"/>
  <c r="J9" i="44"/>
  <c r="J31" i="44"/>
  <c r="J42" i="44"/>
  <c r="J32" i="44"/>
  <c r="J23" i="44"/>
  <c r="J33" i="44"/>
  <c r="J24" i="44"/>
  <c r="J34" i="44"/>
  <c r="J15" i="44"/>
  <c r="J25" i="44"/>
  <c r="J35" i="44"/>
  <c r="J27" i="44"/>
  <c r="J19" i="44"/>
  <c r="J11" i="44"/>
  <c r="J16" i="44"/>
  <c r="J26" i="44"/>
  <c r="I6" i="4"/>
  <c r="I3" i="4" s="1"/>
  <c r="J10" i="44"/>
  <c r="J18" i="44"/>
  <c r="J6" i="44"/>
  <c r="J12" i="44"/>
  <c r="J20" i="44"/>
  <c r="J28" i="44"/>
  <c r="J36" i="44"/>
  <c r="J7" i="44"/>
  <c r="J13" i="44"/>
  <c r="J21" i="44"/>
  <c r="J29" i="44"/>
  <c r="J37" i="44"/>
  <c r="J8" i="44"/>
  <c r="J14" i="44"/>
  <c r="J22" i="44"/>
  <c r="J30" i="44"/>
  <c r="J38" i="44"/>
  <c r="O60" i="32"/>
  <c r="O419" i="33"/>
  <c r="O199" i="31"/>
  <c r="O119" i="30"/>
  <c r="O123" i="35"/>
  <c r="O194" i="34"/>
  <c r="O90" i="35"/>
  <c r="O57" i="35"/>
  <c r="O24" i="35"/>
  <c r="O127" i="34"/>
  <c r="O161" i="34"/>
  <c r="O93" i="34"/>
  <c r="O59" i="34"/>
  <c r="O25" i="34"/>
  <c r="O384" i="33"/>
  <c r="O349" i="33"/>
  <c r="O314" i="33"/>
  <c r="O278" i="33"/>
  <c r="O242" i="33"/>
  <c r="O206" i="33"/>
  <c r="O170" i="33"/>
  <c r="O134" i="33"/>
  <c r="O98" i="33"/>
  <c r="O62" i="33"/>
  <c r="O26" i="33"/>
  <c r="O25" i="32"/>
  <c r="O164" i="31"/>
  <c r="O129" i="31"/>
  <c r="O94" i="31"/>
  <c r="O59" i="31"/>
  <c r="O24" i="31"/>
  <c r="O143" i="3"/>
  <c r="G6" i="47" s="1"/>
  <c r="I6" i="47" s="1"/>
  <c r="J6" i="47" s="1"/>
  <c r="C110" i="3"/>
  <c r="C4" i="41"/>
  <c r="J308" i="35"/>
  <c r="J340" i="35" s="1"/>
  <c r="J372" i="35" s="1"/>
  <c r="J404" i="35" s="1"/>
  <c r="J436" i="35" s="1"/>
  <c r="J468" i="35" s="1"/>
  <c r="J500" i="35" s="1"/>
  <c r="J532" i="35" s="1"/>
  <c r="J564" i="35" s="1"/>
  <c r="J596" i="35" s="1"/>
  <c r="J628" i="35" s="1"/>
  <c r="J660" i="35" s="1"/>
  <c r="J692" i="35" s="1"/>
  <c r="J724" i="35" s="1"/>
  <c r="J756" i="35" s="1"/>
  <c r="J788" i="35" s="1"/>
  <c r="J820" i="35" s="1"/>
  <c r="J852" i="35" s="1"/>
  <c r="N308" i="35"/>
  <c r="N340" i="35" s="1"/>
  <c r="N372" i="35" s="1"/>
  <c r="N404" i="35" s="1"/>
  <c r="N436" i="35" s="1"/>
  <c r="N468" i="35" s="1"/>
  <c r="N500" i="35" s="1"/>
  <c r="N532" i="35" s="1"/>
  <c r="N564" i="35" s="1"/>
  <c r="N596" i="35" s="1"/>
  <c r="N628" i="35" s="1"/>
  <c r="N660" i="35" s="1"/>
  <c r="N692" i="35" s="1"/>
  <c r="N724" i="35" s="1"/>
  <c r="N756" i="35" s="1"/>
  <c r="N788" i="35" s="1"/>
  <c r="N820" i="35" s="1"/>
  <c r="N852" i="35" s="1"/>
  <c r="F308" i="35"/>
  <c r="F340" i="35" s="1"/>
  <c r="F372" i="35" s="1"/>
  <c r="F404" i="35" s="1"/>
  <c r="F436" i="35" s="1"/>
  <c r="F468" i="35" s="1"/>
  <c r="F500" i="35" s="1"/>
  <c r="F532" i="35" s="1"/>
  <c r="F564" i="35" s="1"/>
  <c r="F596" i="35" s="1"/>
  <c r="F628" i="35" s="1"/>
  <c r="F660" i="35" s="1"/>
  <c r="F692" i="35" s="1"/>
  <c r="F724" i="35" s="1"/>
  <c r="F756" i="35" s="1"/>
  <c r="F788" i="35" s="1"/>
  <c r="F820" i="35" s="1"/>
  <c r="F852" i="35" s="1"/>
  <c r="L276" i="35"/>
  <c r="L308" i="35" s="1"/>
  <c r="L340" i="35" s="1"/>
  <c r="L372" i="35" s="1"/>
  <c r="L404" i="35" s="1"/>
  <c r="L436" i="35" s="1"/>
  <c r="L468" i="35" s="1"/>
  <c r="L500" i="35" s="1"/>
  <c r="L532" i="35" s="1"/>
  <c r="L564" i="35" s="1"/>
  <c r="L596" i="35" s="1"/>
  <c r="L628" i="35" s="1"/>
  <c r="L660" i="35" s="1"/>
  <c r="L692" i="35" s="1"/>
  <c r="L724" i="35" s="1"/>
  <c r="L756" i="35" s="1"/>
  <c r="L788" i="35" s="1"/>
  <c r="L820" i="35" s="1"/>
  <c r="L852" i="35" s="1"/>
  <c r="M308" i="35"/>
  <c r="M340" i="35" s="1"/>
  <c r="M372" i="35" s="1"/>
  <c r="M404" i="35" s="1"/>
  <c r="M436" i="35" s="1"/>
  <c r="M468" i="35" s="1"/>
  <c r="M500" i="35" s="1"/>
  <c r="M532" i="35" s="1"/>
  <c r="M564" i="35" s="1"/>
  <c r="M596" i="35" s="1"/>
  <c r="M628" i="35" s="1"/>
  <c r="M660" i="35" s="1"/>
  <c r="M692" i="35" s="1"/>
  <c r="M724" i="35" s="1"/>
  <c r="M756" i="35" s="1"/>
  <c r="M788" i="35" s="1"/>
  <c r="M820" i="35" s="1"/>
  <c r="M852" i="35" s="1"/>
  <c r="E308" i="35"/>
  <c r="E340" i="35" s="1"/>
  <c r="E372" i="35" s="1"/>
  <c r="E404" i="35" s="1"/>
  <c r="E436" i="35" s="1"/>
  <c r="E468" i="35" s="1"/>
  <c r="E500" i="35" s="1"/>
  <c r="E532" i="35" s="1"/>
  <c r="E564" i="35" s="1"/>
  <c r="E596" i="35" s="1"/>
  <c r="E628" i="35" s="1"/>
  <c r="E660" i="35" s="1"/>
  <c r="E692" i="35" s="1"/>
  <c r="E724" i="35" s="1"/>
  <c r="E756" i="35" s="1"/>
  <c r="E788" i="35" s="1"/>
  <c r="E820" i="35" s="1"/>
  <c r="E852" i="35" s="1"/>
  <c r="O123" i="34"/>
  <c r="O207" i="33"/>
  <c r="O279" i="33"/>
  <c r="O350" i="33"/>
  <c r="O420" i="33"/>
  <c r="O99" i="33"/>
  <c r="O171" i="33"/>
  <c r="O243" i="33"/>
  <c r="O315" i="33"/>
  <c r="O385" i="33"/>
  <c r="E269" i="33"/>
  <c r="E305" i="33" s="1"/>
  <c r="E341" i="33" s="1"/>
  <c r="E376" i="33" s="1"/>
  <c r="E411" i="33" s="1"/>
  <c r="E17" i="34" s="1"/>
  <c r="E51" i="34" s="1"/>
  <c r="E85" i="34" s="1"/>
  <c r="E119" i="34" s="1"/>
  <c r="E153" i="34" s="1"/>
  <c r="C89" i="33"/>
  <c r="O53" i="33"/>
  <c r="H305" i="33"/>
  <c r="H341" i="33" s="1"/>
  <c r="H376" i="33" s="1"/>
  <c r="H411" i="33" s="1"/>
  <c r="H17" i="34" s="1"/>
  <c r="H51" i="34" s="1"/>
  <c r="H85" i="34" s="1"/>
  <c r="H119" i="34" s="1"/>
  <c r="H153" i="34" s="1"/>
  <c r="F233" i="33"/>
  <c r="F269" i="33" s="1"/>
  <c r="F305" i="33" s="1"/>
  <c r="O26" i="32"/>
  <c r="O61" i="32"/>
  <c r="O158" i="31"/>
  <c r="O25" i="31"/>
  <c r="O60" i="31"/>
  <c r="O88" i="31"/>
  <c r="O123" i="31"/>
  <c r="O193" i="31"/>
  <c r="O174" i="3"/>
  <c r="G7" i="47" s="1"/>
  <c r="I7" i="47" s="1"/>
  <c r="J7" i="47" s="1"/>
  <c r="C121" i="31"/>
  <c r="G189" i="34"/>
  <c r="G19" i="35" s="1"/>
  <c r="G52" i="35" s="1"/>
  <c r="G85" i="35" s="1"/>
  <c r="G118" i="35" s="1"/>
  <c r="G151" i="35" s="1"/>
  <c r="G183" i="35" s="1"/>
  <c r="G198" i="33"/>
  <c r="G234" i="33" s="1"/>
  <c r="G270" i="33" s="1"/>
  <c r="G306" i="33" s="1"/>
  <c r="G342" i="33" s="1"/>
  <c r="G377" i="33" s="1"/>
  <c r="G412" i="33" s="1"/>
  <c r="G18" i="34" s="1"/>
  <c r="G52" i="34" s="1"/>
  <c r="G86" i="34" s="1"/>
  <c r="G120" i="34" s="1"/>
  <c r="G154" i="34" s="1"/>
  <c r="G187" i="34" s="1"/>
  <c r="G17" i="35" s="1"/>
  <c r="G374" i="33"/>
  <c r="G409" i="33" s="1"/>
  <c r="G15" i="34" s="1"/>
  <c r="G49" i="34" s="1"/>
  <c r="G83" i="34" s="1"/>
  <c r="G117" i="34" s="1"/>
  <c r="G151" i="34" s="1"/>
  <c r="G185" i="34" s="1"/>
  <c r="G15" i="35" s="1"/>
  <c r="G48" i="35" s="1"/>
  <c r="G81" i="35" s="1"/>
  <c r="G114" i="35" s="1"/>
  <c r="G147" i="35" s="1"/>
  <c r="G179" i="35" s="1"/>
  <c r="G211" i="35" s="1"/>
  <c r="G243" i="35" s="1"/>
  <c r="G275" i="35" s="1"/>
  <c r="G307" i="35" s="1"/>
  <c r="G339" i="35" s="1"/>
  <c r="G371" i="35" s="1"/>
  <c r="G403" i="35" s="1"/>
  <c r="G435" i="35" s="1"/>
  <c r="G467" i="35" s="1"/>
  <c r="G499" i="35" s="1"/>
  <c r="G531" i="35" s="1"/>
  <c r="G563" i="35" s="1"/>
  <c r="G595" i="35" s="1"/>
  <c r="G627" i="35" s="1"/>
  <c r="G659" i="35" s="1"/>
  <c r="G691" i="35" s="1"/>
  <c r="G723" i="35" s="1"/>
  <c r="G755" i="35" s="1"/>
  <c r="G787" i="35" s="1"/>
  <c r="G819" i="35" s="1"/>
  <c r="G851" i="35" s="1"/>
  <c r="J55" i="34"/>
  <c r="J58" i="33"/>
  <c r="J94" i="33" s="1"/>
  <c r="J130" i="33" s="1"/>
  <c r="J166" i="33" s="1"/>
  <c r="J202" i="33" s="1"/>
  <c r="J238" i="33" s="1"/>
  <c r="J274" i="33" s="1"/>
  <c r="J310" i="33" s="1"/>
  <c r="J345" i="33" s="1"/>
  <c r="J380" i="33" s="1"/>
  <c r="J415" i="33" s="1"/>
  <c r="J21" i="34" s="1"/>
  <c r="D54" i="32"/>
  <c r="D20" i="33" s="1"/>
  <c r="H55" i="34"/>
  <c r="H58" i="33"/>
  <c r="H94" i="33" s="1"/>
  <c r="H130" i="33" s="1"/>
  <c r="H166" i="33" s="1"/>
  <c r="H202" i="33" s="1"/>
  <c r="H238" i="33" s="1"/>
  <c r="H274" i="33" s="1"/>
  <c r="H310" i="33" s="1"/>
  <c r="H345" i="33" s="1"/>
  <c r="H380" i="33" s="1"/>
  <c r="H415" i="33" s="1"/>
  <c r="H21" i="34" s="1"/>
  <c r="D51" i="32"/>
  <c r="D16" i="33" s="1"/>
  <c r="D52" i="33" s="1"/>
  <c r="D88" i="33" s="1"/>
  <c r="D124" i="33" s="1"/>
  <c r="D160" i="33" s="1"/>
  <c r="D196" i="33" s="1"/>
  <c r="D232" i="33" s="1"/>
  <c r="D268" i="33" s="1"/>
  <c r="D304" i="33" s="1"/>
  <c r="D340" i="33" s="1"/>
  <c r="D375" i="33" s="1"/>
  <c r="D410" i="33" s="1"/>
  <c r="D16" i="34" s="1"/>
  <c r="D50" i="34" s="1"/>
  <c r="D84" i="34" s="1"/>
  <c r="D118" i="34" s="1"/>
  <c r="D152" i="34" s="1"/>
  <c r="D186" i="34" s="1"/>
  <c r="D16" i="35" s="1"/>
  <c r="D49" i="35" s="1"/>
  <c r="D82" i="35" s="1"/>
  <c r="D115" i="35" s="1"/>
  <c r="D148" i="35" s="1"/>
  <c r="D180" i="35" s="1"/>
  <c r="D212" i="35" s="1"/>
  <c r="D244" i="35" s="1"/>
  <c r="C119" i="31"/>
  <c r="E189" i="34"/>
  <c r="E198" i="33"/>
  <c r="E234" i="33" s="1"/>
  <c r="K54" i="34"/>
  <c r="K88" i="34" s="1"/>
  <c r="K56" i="33"/>
  <c r="I82" i="35"/>
  <c r="J54" i="34"/>
  <c r="J88" i="34" s="1"/>
  <c r="J56" i="33"/>
  <c r="M113" i="34"/>
  <c r="C153" i="31"/>
  <c r="C188" i="31" s="1"/>
  <c r="C120" i="31"/>
  <c r="H80" i="31"/>
  <c r="H115" i="31" s="1"/>
  <c r="H150" i="31" s="1"/>
  <c r="H185" i="31" s="1"/>
  <c r="H11" i="32" s="1"/>
  <c r="H46" i="32" s="1"/>
  <c r="H11" i="33" s="1"/>
  <c r="H47" i="33" s="1"/>
  <c r="H83" i="33" s="1"/>
  <c r="H119" i="33" s="1"/>
  <c r="H155" i="33" s="1"/>
  <c r="H191" i="33" s="1"/>
  <c r="H227" i="33" s="1"/>
  <c r="H263" i="33" s="1"/>
  <c r="H299" i="33" s="1"/>
  <c r="H335" i="33" s="1"/>
  <c r="H370" i="33" s="1"/>
  <c r="H405" i="33" s="1"/>
  <c r="H11" i="34" s="1"/>
  <c r="H45" i="34" s="1"/>
  <c r="H79" i="34" s="1"/>
  <c r="H113" i="34" s="1"/>
  <c r="H147" i="34" s="1"/>
  <c r="H181" i="34" s="1"/>
  <c r="H11" i="35" s="1"/>
  <c r="H44" i="35" s="1"/>
  <c r="E14" i="33"/>
  <c r="E50" i="33" s="1"/>
  <c r="E86" i="33" s="1"/>
  <c r="E122" i="33" s="1"/>
  <c r="E158" i="33" s="1"/>
  <c r="E194" i="33" s="1"/>
  <c r="E230" i="33" s="1"/>
  <c r="E266" i="33" s="1"/>
  <c r="E302" i="33" s="1"/>
  <c r="E338" i="33" s="1"/>
  <c r="E373" i="33" s="1"/>
  <c r="E408" i="33" s="1"/>
  <c r="E14" i="34" s="1"/>
  <c r="E48" i="34" s="1"/>
  <c r="E82" i="34" s="1"/>
  <c r="E116" i="34" s="1"/>
  <c r="E150" i="34" s="1"/>
  <c r="E184" i="34" s="1"/>
  <c r="E14" i="35" s="1"/>
  <c r="E47" i="35" s="1"/>
  <c r="E80" i="35" s="1"/>
  <c r="E113" i="35" s="1"/>
  <c r="E146" i="35" s="1"/>
  <c r="E178" i="35" s="1"/>
  <c r="E210" i="35" s="1"/>
  <c r="E242" i="35" s="1"/>
  <c r="E274" i="35" s="1"/>
  <c r="E306" i="35" s="1"/>
  <c r="E338" i="35" s="1"/>
  <c r="E370" i="35" s="1"/>
  <c r="E402" i="35" s="1"/>
  <c r="E434" i="35" s="1"/>
  <c r="E466" i="35" s="1"/>
  <c r="E498" i="35" s="1"/>
  <c r="E530" i="35" s="1"/>
  <c r="E562" i="35" s="1"/>
  <c r="E594" i="35" s="1"/>
  <c r="E626" i="35" s="1"/>
  <c r="E658" i="35" s="1"/>
  <c r="E690" i="35" s="1"/>
  <c r="E722" i="35" s="1"/>
  <c r="E754" i="35" s="1"/>
  <c r="K189" i="34"/>
  <c r="K19" i="35" s="1"/>
  <c r="K52" i="35" s="1"/>
  <c r="K85" i="35" s="1"/>
  <c r="K198" i="33"/>
  <c r="K234" i="33" s="1"/>
  <c r="K270" i="33" s="1"/>
  <c r="K306" i="33" s="1"/>
  <c r="K342" i="33" s="1"/>
  <c r="K377" i="33" s="1"/>
  <c r="K412" i="33" s="1"/>
  <c r="K18" i="34" s="1"/>
  <c r="K52" i="34" s="1"/>
  <c r="K86" i="34" s="1"/>
  <c r="K120" i="34" s="1"/>
  <c r="K154" i="34" s="1"/>
  <c r="K187" i="34" s="1"/>
  <c r="K17" i="35" s="1"/>
  <c r="K50" i="35" s="1"/>
  <c r="K83" i="35" s="1"/>
  <c r="K116" i="35" s="1"/>
  <c r="K149" i="35" s="1"/>
  <c r="K181" i="35" s="1"/>
  <c r="K213" i="35" s="1"/>
  <c r="K245" i="35" s="1"/>
  <c r="K277" i="35" s="1"/>
  <c r="K309" i="35" s="1"/>
  <c r="K341" i="35" s="1"/>
  <c r="K373" i="35" s="1"/>
  <c r="K405" i="35" s="1"/>
  <c r="K437" i="35" s="1"/>
  <c r="K469" i="35" s="1"/>
  <c r="K501" i="35" s="1"/>
  <c r="K533" i="35" s="1"/>
  <c r="K565" i="35" s="1"/>
  <c r="K597" i="35" s="1"/>
  <c r="K629" i="35" s="1"/>
  <c r="K661" i="35" s="1"/>
  <c r="K693" i="35" s="1"/>
  <c r="K725" i="35" s="1"/>
  <c r="K757" i="35" s="1"/>
  <c r="K789" i="35" s="1"/>
  <c r="K821" i="35" s="1"/>
  <c r="K853" i="35" s="1"/>
  <c r="L54" i="34"/>
  <c r="L88" i="34" s="1"/>
  <c r="L56" i="33"/>
  <c r="G185" i="31"/>
  <c r="G11" i="32" s="1"/>
  <c r="G46" i="32" s="1"/>
  <c r="D373" i="33"/>
  <c r="D408" i="33" s="1"/>
  <c r="D14" i="34" s="1"/>
  <c r="D48" i="34" s="1"/>
  <c r="D82" i="34" s="1"/>
  <c r="D116" i="34" s="1"/>
  <c r="D150" i="34" s="1"/>
  <c r="D184" i="34" s="1"/>
  <c r="D14" i="35" s="1"/>
  <c r="D47" i="35" s="1"/>
  <c r="D80" i="35" s="1"/>
  <c r="D113" i="35" s="1"/>
  <c r="D146" i="35" s="1"/>
  <c r="D178" i="35" s="1"/>
  <c r="D210" i="35" s="1"/>
  <c r="D242" i="35" s="1"/>
  <c r="D274" i="35" s="1"/>
  <c r="D306" i="35" s="1"/>
  <c r="D338" i="35" s="1"/>
  <c r="D370" i="35" s="1"/>
  <c r="D402" i="35" s="1"/>
  <c r="D434" i="35" s="1"/>
  <c r="D466" i="35" s="1"/>
  <c r="D498" i="35" s="1"/>
  <c r="D530" i="35" s="1"/>
  <c r="D562" i="35" s="1"/>
  <c r="D594" i="35" s="1"/>
  <c r="D626" i="35" s="1"/>
  <c r="D658" i="35" s="1"/>
  <c r="D690" i="35" s="1"/>
  <c r="D722" i="35" s="1"/>
  <c r="D754" i="35" s="1"/>
  <c r="D786" i="35" s="1"/>
  <c r="D818" i="35" s="1"/>
  <c r="D850" i="35" s="1"/>
  <c r="G148" i="35"/>
  <c r="G180" i="35" s="1"/>
  <c r="G212" i="35" s="1"/>
  <c r="G244" i="35" s="1"/>
  <c r="F55" i="34"/>
  <c r="F58" i="33"/>
  <c r="F94" i="33" s="1"/>
  <c r="F130" i="33" s="1"/>
  <c r="F166" i="33" s="1"/>
  <c r="F202" i="33" s="1"/>
  <c r="F238" i="33" s="1"/>
  <c r="F274" i="33" s="1"/>
  <c r="F310" i="33" s="1"/>
  <c r="F345" i="33" s="1"/>
  <c r="F380" i="33" s="1"/>
  <c r="F415" i="33" s="1"/>
  <c r="F21" i="34" s="1"/>
  <c r="C115" i="31"/>
  <c r="F370" i="33"/>
  <c r="F405" i="33" s="1"/>
  <c r="F11" i="34" s="1"/>
  <c r="F45" i="34" s="1"/>
  <c r="F79" i="34" s="1"/>
  <c r="F113" i="34" s="1"/>
  <c r="F147" i="34" s="1"/>
  <c r="F181" i="34" s="1"/>
  <c r="F11" i="35" s="1"/>
  <c r="F44" i="35" s="1"/>
  <c r="F77" i="35" s="1"/>
  <c r="F110" i="35" s="1"/>
  <c r="F143" i="35" s="1"/>
  <c r="F175" i="35" s="1"/>
  <c r="F207" i="35" s="1"/>
  <c r="F239" i="35" s="1"/>
  <c r="F271" i="35" s="1"/>
  <c r="F303" i="35" s="1"/>
  <c r="F335" i="35" s="1"/>
  <c r="F367" i="35" s="1"/>
  <c r="F399" i="35" s="1"/>
  <c r="F431" i="35" s="1"/>
  <c r="F463" i="35" s="1"/>
  <c r="F495" i="35" s="1"/>
  <c r="F527" i="35" s="1"/>
  <c r="F559" i="35" s="1"/>
  <c r="F591" i="35" s="1"/>
  <c r="F623" i="35" s="1"/>
  <c r="F655" i="35" s="1"/>
  <c r="F687" i="35" s="1"/>
  <c r="F719" i="35" s="1"/>
  <c r="F751" i="35" s="1"/>
  <c r="F783" i="35" s="1"/>
  <c r="F815" i="35" s="1"/>
  <c r="F847" i="35" s="1"/>
  <c r="K84" i="31"/>
  <c r="K119" i="31" s="1"/>
  <c r="K154" i="31" s="1"/>
  <c r="K189" i="31" s="1"/>
  <c r="K15" i="32" s="1"/>
  <c r="K50" i="32" s="1"/>
  <c r="K15" i="33" s="1"/>
  <c r="K51" i="33" s="1"/>
  <c r="K87" i="33" s="1"/>
  <c r="K123" i="33" s="1"/>
  <c r="K159" i="33" s="1"/>
  <c r="K195" i="33" s="1"/>
  <c r="K231" i="33" s="1"/>
  <c r="K267" i="33" s="1"/>
  <c r="K303" i="33" s="1"/>
  <c r="K339" i="33" s="1"/>
  <c r="K374" i="33" s="1"/>
  <c r="K409" i="33" s="1"/>
  <c r="K15" i="34" s="1"/>
  <c r="K49" i="34" s="1"/>
  <c r="K83" i="34" s="1"/>
  <c r="K117" i="34" s="1"/>
  <c r="K151" i="34" s="1"/>
  <c r="K185" i="34" s="1"/>
  <c r="K15" i="35" s="1"/>
  <c r="K48" i="35" s="1"/>
  <c r="K81" i="35" s="1"/>
  <c r="K114" i="35" s="1"/>
  <c r="K147" i="35" s="1"/>
  <c r="K179" i="35" s="1"/>
  <c r="K211" i="35" s="1"/>
  <c r="K243" i="35" s="1"/>
  <c r="K275" i="35" s="1"/>
  <c r="K307" i="35" s="1"/>
  <c r="K339" i="35" s="1"/>
  <c r="K371" i="35" s="1"/>
  <c r="K403" i="35" s="1"/>
  <c r="K435" i="35" s="1"/>
  <c r="K467" i="35" s="1"/>
  <c r="K499" i="35" s="1"/>
  <c r="K531" i="35" s="1"/>
  <c r="K563" i="35" s="1"/>
  <c r="K595" i="35" s="1"/>
  <c r="K627" i="35" s="1"/>
  <c r="K659" i="35" s="1"/>
  <c r="K691" i="35" s="1"/>
  <c r="K723" i="35" s="1"/>
  <c r="K755" i="35" s="1"/>
  <c r="K787" i="35" s="1"/>
  <c r="K819" i="35" s="1"/>
  <c r="K851" i="35" s="1"/>
  <c r="I198" i="33"/>
  <c r="I234" i="33" s="1"/>
  <c r="I270" i="33" s="1"/>
  <c r="I306" i="33" s="1"/>
  <c r="I342" i="33" s="1"/>
  <c r="I377" i="33" s="1"/>
  <c r="I412" i="33" s="1"/>
  <c r="I18" i="34" s="1"/>
  <c r="I52" i="34" s="1"/>
  <c r="I86" i="34" s="1"/>
  <c r="I120" i="34" s="1"/>
  <c r="I154" i="34" s="1"/>
  <c r="I187" i="34" s="1"/>
  <c r="I17" i="35" s="1"/>
  <c r="I189" i="34"/>
  <c r="I19" i="35" s="1"/>
  <c r="I52" i="35" s="1"/>
  <c r="I85" i="35" s="1"/>
  <c r="I118" i="35" s="1"/>
  <c r="I151" i="35" s="1"/>
  <c r="I183" i="35" s="1"/>
  <c r="I215" i="35" s="1"/>
  <c r="I247" i="35" s="1"/>
  <c r="I279" i="35" s="1"/>
  <c r="I311" i="35" s="1"/>
  <c r="I343" i="35" s="1"/>
  <c r="I375" i="35" s="1"/>
  <c r="I407" i="35" s="1"/>
  <c r="I439" i="35" s="1"/>
  <c r="I471" i="35" s="1"/>
  <c r="I503" i="35" s="1"/>
  <c r="I535" i="35" s="1"/>
  <c r="I567" i="35" s="1"/>
  <c r="I599" i="35" s="1"/>
  <c r="I631" i="35" s="1"/>
  <c r="I663" i="35" s="1"/>
  <c r="I695" i="35" s="1"/>
  <c r="I727" i="35" s="1"/>
  <c r="I759" i="35" s="1"/>
  <c r="I791" i="35" s="1"/>
  <c r="I823" i="35" s="1"/>
  <c r="I855" i="35" s="1"/>
  <c r="G159" i="31"/>
  <c r="H54" i="34"/>
  <c r="H88" i="34" s="1"/>
  <c r="H56" i="33"/>
  <c r="N47" i="33"/>
  <c r="N83" i="33" s="1"/>
  <c r="N119" i="33" s="1"/>
  <c r="N155" i="33" s="1"/>
  <c r="N191" i="33" s="1"/>
  <c r="N227" i="33" s="1"/>
  <c r="N263" i="33" s="1"/>
  <c r="N299" i="33" s="1"/>
  <c r="N335" i="33" s="1"/>
  <c r="N370" i="33" s="1"/>
  <c r="N405" i="33" s="1"/>
  <c r="N11" i="34" s="1"/>
  <c r="N45" i="34" s="1"/>
  <c r="N79" i="34" s="1"/>
  <c r="N113" i="34" s="1"/>
  <c r="N147" i="34" s="1"/>
  <c r="N181" i="34" s="1"/>
  <c r="N11" i="35" s="1"/>
  <c r="N44" i="35" s="1"/>
  <c r="N77" i="35" s="1"/>
  <c r="N110" i="35" s="1"/>
  <c r="N143" i="35" s="1"/>
  <c r="N175" i="35" s="1"/>
  <c r="N207" i="35" s="1"/>
  <c r="N239" i="35" s="1"/>
  <c r="N271" i="35" s="1"/>
  <c r="N303" i="35" s="1"/>
  <c r="N335" i="35" s="1"/>
  <c r="N367" i="35" s="1"/>
  <c r="N399" i="35" s="1"/>
  <c r="N431" i="35" s="1"/>
  <c r="N463" i="35" s="1"/>
  <c r="N495" i="35" s="1"/>
  <c r="N527" i="35" s="1"/>
  <c r="N559" i="35" s="1"/>
  <c r="N591" i="35" s="1"/>
  <c r="N623" i="35" s="1"/>
  <c r="N655" i="35" s="1"/>
  <c r="N687" i="35" s="1"/>
  <c r="N719" i="35" s="1"/>
  <c r="N751" i="35" s="1"/>
  <c r="N783" i="35" s="1"/>
  <c r="N815" i="35" s="1"/>
  <c r="N847" i="35" s="1"/>
  <c r="I14" i="30"/>
  <c r="I45" i="30" s="1"/>
  <c r="I77" i="30" s="1"/>
  <c r="I109" i="30" s="1"/>
  <c r="I14" i="31" s="1"/>
  <c r="I49" i="31" s="1"/>
  <c r="I83" i="31" s="1"/>
  <c r="I118" i="31" s="1"/>
  <c r="I153" i="31" s="1"/>
  <c r="I188" i="31" s="1"/>
  <c r="I14" i="32" s="1"/>
  <c r="I49" i="32" s="1"/>
  <c r="I14" i="33" s="1"/>
  <c r="I50" i="33" s="1"/>
  <c r="I86" i="33" s="1"/>
  <c r="I122" i="33" s="1"/>
  <c r="I158" i="33" s="1"/>
  <c r="I194" i="33" s="1"/>
  <c r="I230" i="33" s="1"/>
  <c r="I266" i="33" s="1"/>
  <c r="I302" i="33" s="1"/>
  <c r="I338" i="33" s="1"/>
  <c r="I373" i="33" s="1"/>
  <c r="I408" i="33" s="1"/>
  <c r="I14" i="34" s="1"/>
  <c r="I48" i="34" s="1"/>
  <c r="I82" i="34" s="1"/>
  <c r="I116" i="34" s="1"/>
  <c r="I150" i="34" s="1"/>
  <c r="I184" i="34" s="1"/>
  <c r="I14" i="35" s="1"/>
  <c r="I47" i="35" s="1"/>
  <c r="I80" i="35" s="1"/>
  <c r="I113" i="35" s="1"/>
  <c r="I146" i="35" s="1"/>
  <c r="I178" i="35" s="1"/>
  <c r="I210" i="35" s="1"/>
  <c r="I242" i="35" s="1"/>
  <c r="I274" i="35" s="1"/>
  <c r="I306" i="35" s="1"/>
  <c r="I338" i="35" s="1"/>
  <c r="I370" i="35" s="1"/>
  <c r="I402" i="35" s="1"/>
  <c r="I434" i="35" s="1"/>
  <c r="I466" i="35" s="1"/>
  <c r="I498" i="35" s="1"/>
  <c r="I530" i="35" s="1"/>
  <c r="I562" i="35" s="1"/>
  <c r="I594" i="35" s="1"/>
  <c r="I626" i="35" s="1"/>
  <c r="I658" i="35" s="1"/>
  <c r="I690" i="35" s="1"/>
  <c r="I722" i="35" s="1"/>
  <c r="I754" i="35" s="1"/>
  <c r="I786" i="35" s="1"/>
  <c r="I818" i="35" s="1"/>
  <c r="I850" i="35" s="1"/>
  <c r="E89" i="31"/>
  <c r="E124" i="31" s="1"/>
  <c r="E159" i="31" s="1"/>
  <c r="E194" i="31" s="1"/>
  <c r="E19" i="32" s="1"/>
  <c r="E54" i="32" s="1"/>
  <c r="M54" i="34"/>
  <c r="M88" i="34" s="1"/>
  <c r="M56" i="33"/>
  <c r="M189" i="34"/>
  <c r="M19" i="35" s="1"/>
  <c r="M52" i="35" s="1"/>
  <c r="M85" i="35" s="1"/>
  <c r="M118" i="35" s="1"/>
  <c r="M151" i="35" s="1"/>
  <c r="M183" i="35" s="1"/>
  <c r="M215" i="35" s="1"/>
  <c r="M247" i="35" s="1"/>
  <c r="M279" i="35" s="1"/>
  <c r="M311" i="35" s="1"/>
  <c r="M343" i="35" s="1"/>
  <c r="M375" i="35" s="1"/>
  <c r="M407" i="35" s="1"/>
  <c r="M439" i="35" s="1"/>
  <c r="M471" i="35" s="1"/>
  <c r="M503" i="35" s="1"/>
  <c r="M535" i="35" s="1"/>
  <c r="M567" i="35" s="1"/>
  <c r="M599" i="35" s="1"/>
  <c r="M631" i="35" s="1"/>
  <c r="M663" i="35" s="1"/>
  <c r="M695" i="35" s="1"/>
  <c r="M727" i="35" s="1"/>
  <c r="M759" i="35" s="1"/>
  <c r="M791" i="35" s="1"/>
  <c r="M823" i="35" s="1"/>
  <c r="M855" i="35" s="1"/>
  <c r="M198" i="33"/>
  <c r="M234" i="33" s="1"/>
  <c r="M270" i="33" s="1"/>
  <c r="M306" i="33" s="1"/>
  <c r="M342" i="33" s="1"/>
  <c r="M377" i="33" s="1"/>
  <c r="M412" i="33" s="1"/>
  <c r="M18" i="34" s="1"/>
  <c r="M52" i="34" s="1"/>
  <c r="M86" i="34" s="1"/>
  <c r="M120" i="34" s="1"/>
  <c r="M154" i="34" s="1"/>
  <c r="M187" i="34" s="1"/>
  <c r="M17" i="35" s="1"/>
  <c r="C125" i="31"/>
  <c r="C124" i="31"/>
  <c r="C159" i="31" s="1"/>
  <c r="C194" i="31" s="1"/>
  <c r="J45" i="28"/>
  <c r="J44" i="28"/>
  <c r="J43" i="28"/>
  <c r="J42" i="28"/>
  <c r="J41" i="28"/>
  <c r="N40" i="28"/>
  <c r="O40" i="28" s="1"/>
  <c r="P40" i="28" s="1"/>
  <c r="M40" i="28"/>
  <c r="J40" i="28"/>
  <c r="N39" i="28"/>
  <c r="O39" i="28" s="1"/>
  <c r="P39" i="28" s="1"/>
  <c r="J39" i="28"/>
  <c r="M39" i="28" s="1"/>
  <c r="J8" i="28"/>
  <c r="P8" i="28" s="1"/>
  <c r="N8" i="28"/>
  <c r="O8" i="28" s="1"/>
  <c r="C24" i="4"/>
  <c r="C25" i="4" s="1"/>
  <c r="O758" i="35"/>
  <c r="O214" i="35"/>
  <c r="O182" i="35"/>
  <c r="K45" i="34"/>
  <c r="K79" i="34" s="1"/>
  <c r="K113" i="34" s="1"/>
  <c r="K147" i="34" s="1"/>
  <c r="K181" i="34" s="1"/>
  <c r="K11" i="35" s="1"/>
  <c r="K44" i="35" s="1"/>
  <c r="K77" i="35" s="1"/>
  <c r="E45" i="34"/>
  <c r="E79" i="34" s="1"/>
  <c r="O17" i="33"/>
  <c r="O85" i="30"/>
  <c r="O54" i="30"/>
  <c r="C83" i="30"/>
  <c r="I73" i="30"/>
  <c r="M78" i="30"/>
  <c r="E78" i="30"/>
  <c r="N80" i="30"/>
  <c r="F80" i="30"/>
  <c r="N81" i="30"/>
  <c r="N114" i="30" s="1"/>
  <c r="N19" i="31" s="1"/>
  <c r="N54" i="31" s="1"/>
  <c r="N89" i="31" s="1"/>
  <c r="N124" i="31" s="1"/>
  <c r="N159" i="31" s="1"/>
  <c r="N194" i="31" s="1"/>
  <c r="N19" i="32" s="1"/>
  <c r="N54" i="32" s="1"/>
  <c r="N20" i="33" s="1"/>
  <c r="F81" i="30"/>
  <c r="I82" i="30"/>
  <c r="I115" i="30" s="1"/>
  <c r="I20" i="31" s="1"/>
  <c r="I55" i="31" s="1"/>
  <c r="I90" i="31" s="1"/>
  <c r="I125" i="31" s="1"/>
  <c r="I160" i="31" s="1"/>
  <c r="I195" i="31" s="1"/>
  <c r="I21" i="32" s="1"/>
  <c r="I56" i="32" s="1"/>
  <c r="I22" i="33" s="1"/>
  <c r="G82" i="30"/>
  <c r="G115" i="30" s="1"/>
  <c r="G20" i="31" s="1"/>
  <c r="G55" i="31" s="1"/>
  <c r="G90" i="31" s="1"/>
  <c r="G125" i="31" s="1"/>
  <c r="G160" i="31" s="1"/>
  <c r="G195" i="31" s="1"/>
  <c r="G21" i="32" s="1"/>
  <c r="G56" i="32" s="1"/>
  <c r="G22" i="33" s="1"/>
  <c r="L80" i="30"/>
  <c r="L112" i="30" s="1"/>
  <c r="L17" i="31" s="1"/>
  <c r="L52" i="31" s="1"/>
  <c r="L86" i="31" s="1"/>
  <c r="L121" i="31" s="1"/>
  <c r="L156" i="31" s="1"/>
  <c r="L191" i="31" s="1"/>
  <c r="L17" i="32" s="1"/>
  <c r="L52" i="32" s="1"/>
  <c r="L18" i="33" s="1"/>
  <c r="L54" i="33" s="1"/>
  <c r="L90" i="33" s="1"/>
  <c r="L126" i="33" s="1"/>
  <c r="L162" i="33" s="1"/>
  <c r="D80" i="30"/>
  <c r="D112" i="30" s="1"/>
  <c r="D17" i="31" s="1"/>
  <c r="D52" i="31" s="1"/>
  <c r="H79" i="30"/>
  <c r="L74" i="30"/>
  <c r="H73" i="30"/>
  <c r="N82" i="30"/>
  <c r="N115" i="30" s="1"/>
  <c r="N20" i="31" s="1"/>
  <c r="N55" i="31" s="1"/>
  <c r="N90" i="31" s="1"/>
  <c r="N125" i="31" s="1"/>
  <c r="N160" i="31" s="1"/>
  <c r="N195" i="31" s="1"/>
  <c r="N21" i="32" s="1"/>
  <c r="N56" i="32" s="1"/>
  <c r="N22" i="33" s="1"/>
  <c r="G73" i="30"/>
  <c r="M82" i="30"/>
  <c r="M115" i="30" s="1"/>
  <c r="M20" i="31" s="1"/>
  <c r="M55" i="31" s="1"/>
  <c r="M90" i="31" s="1"/>
  <c r="M125" i="31" s="1"/>
  <c r="M160" i="31" s="1"/>
  <c r="M195" i="31" s="1"/>
  <c r="M21" i="32" s="1"/>
  <c r="M56" i="32" s="1"/>
  <c r="M22" i="33" s="1"/>
  <c r="E82" i="30"/>
  <c r="E115" i="30" s="1"/>
  <c r="E20" i="31" s="1"/>
  <c r="E55" i="31" s="1"/>
  <c r="I81" i="30"/>
  <c r="J80" i="30"/>
  <c r="J74" i="30"/>
  <c r="N73" i="30"/>
  <c r="F73" i="30"/>
  <c r="L82" i="30"/>
  <c r="L115" i="30" s="1"/>
  <c r="L20" i="31" s="1"/>
  <c r="L55" i="31" s="1"/>
  <c r="L90" i="31" s="1"/>
  <c r="L125" i="31" s="1"/>
  <c r="L160" i="31" s="1"/>
  <c r="L195" i="31" s="1"/>
  <c r="L21" i="32" s="1"/>
  <c r="L56" i="32" s="1"/>
  <c r="L22" i="33" s="1"/>
  <c r="D82" i="30"/>
  <c r="D115" i="30" s="1"/>
  <c r="D20" i="31" s="1"/>
  <c r="D55" i="31" s="1"/>
  <c r="D90" i="31" s="1"/>
  <c r="D125" i="31" s="1"/>
  <c r="D160" i="31" s="1"/>
  <c r="D195" i="31" s="1"/>
  <c r="D21" i="32" s="1"/>
  <c r="D56" i="32" s="1"/>
  <c r="D22" i="33" s="1"/>
  <c r="F78" i="30"/>
  <c r="I74" i="30"/>
  <c r="K82" i="30"/>
  <c r="K115" i="30" s="1"/>
  <c r="K20" i="31" s="1"/>
  <c r="K55" i="31" s="1"/>
  <c r="K90" i="31" s="1"/>
  <c r="K125" i="31" s="1"/>
  <c r="K160" i="31" s="1"/>
  <c r="K195" i="31" s="1"/>
  <c r="K21" i="32" s="1"/>
  <c r="K56" i="32" s="1"/>
  <c r="K22" i="33" s="1"/>
  <c r="H80" i="30"/>
  <c r="K79" i="30"/>
  <c r="O53" i="30"/>
  <c r="O22" i="30"/>
  <c r="O17" i="30"/>
  <c r="O18" i="30"/>
  <c r="O11" i="30"/>
  <c r="O19" i="30"/>
  <c r="O16" i="30"/>
  <c r="O15" i="30"/>
  <c r="D42" i="30"/>
  <c r="O112" i="3"/>
  <c r="G5" i="47" s="1"/>
  <c r="I5" i="47" s="1"/>
  <c r="J5" i="47" s="1"/>
  <c r="O163" i="3"/>
  <c r="O170" i="3"/>
  <c r="O12" i="3"/>
  <c r="O100" i="3"/>
  <c r="O168" i="3"/>
  <c r="O169" i="3"/>
  <c r="D50" i="3"/>
  <c r="O167" i="3"/>
  <c r="O171" i="3"/>
  <c r="O139" i="3"/>
  <c r="O75" i="3"/>
  <c r="O132" i="3"/>
  <c r="O47" i="3"/>
  <c r="O99" i="3"/>
  <c r="O40" i="3"/>
  <c r="O76" i="3"/>
  <c r="O108" i="3"/>
  <c r="O136" i="3"/>
  <c r="O74" i="3"/>
  <c r="O39" i="3"/>
  <c r="O107" i="3"/>
  <c r="O140" i="3"/>
  <c r="O41" i="3"/>
  <c r="O48" i="3"/>
  <c r="O77" i="3"/>
  <c r="O101" i="3"/>
  <c r="O109" i="3"/>
  <c r="C68" i="3"/>
  <c r="C72" i="3" s="1"/>
  <c r="O106" i="3"/>
  <c r="O49" i="3"/>
  <c r="O69" i="3"/>
  <c r="O137" i="3"/>
  <c r="O44" i="3"/>
  <c r="O70" i="3"/>
  <c r="O78" i="3"/>
  <c r="O105" i="3"/>
  <c r="O138" i="3"/>
  <c r="O46" i="3"/>
  <c r="O38" i="3"/>
  <c r="O45" i="3"/>
  <c r="O71" i="3"/>
  <c r="O79" i="3"/>
  <c r="N9" i="28"/>
  <c r="O48" i="30"/>
  <c r="O50" i="30"/>
  <c r="L51" i="30"/>
  <c r="E51" i="30"/>
  <c r="M51" i="30"/>
  <c r="D51" i="30"/>
  <c r="H51" i="30"/>
  <c r="J51" i="30"/>
  <c r="K51" i="30"/>
  <c r="O49" i="30"/>
  <c r="O46" i="30"/>
  <c r="O47" i="30"/>
  <c r="G42" i="3"/>
  <c r="G104" i="3"/>
  <c r="G135" i="3" s="1"/>
  <c r="G166" i="3" s="1"/>
  <c r="G14" i="30" s="1"/>
  <c r="G45" i="30" s="1"/>
  <c r="G77" i="30" s="1"/>
  <c r="G109" i="30" s="1"/>
  <c r="G14" i="31" s="1"/>
  <c r="G49" i="31" s="1"/>
  <c r="G83" i="31" s="1"/>
  <c r="G118" i="31" s="1"/>
  <c r="G153" i="31" s="1"/>
  <c r="G188" i="31" s="1"/>
  <c r="G14" i="32" s="1"/>
  <c r="G49" i="32" s="1"/>
  <c r="G14" i="33" s="1"/>
  <c r="G50" i="33" s="1"/>
  <c r="G86" i="33" s="1"/>
  <c r="G122" i="33" s="1"/>
  <c r="G158" i="33" s="1"/>
  <c r="G194" i="33" s="1"/>
  <c r="G230" i="33" s="1"/>
  <c r="G266" i="33" s="1"/>
  <c r="G302" i="33" s="1"/>
  <c r="G338" i="33" s="1"/>
  <c r="G373" i="33" s="1"/>
  <c r="G408" i="33" s="1"/>
  <c r="G14" i="34" s="1"/>
  <c r="G48" i="34" s="1"/>
  <c r="G82" i="34" s="1"/>
  <c r="G116" i="34" s="1"/>
  <c r="G150" i="34" s="1"/>
  <c r="G184" i="34" s="1"/>
  <c r="G14" i="35" s="1"/>
  <c r="G47" i="35" s="1"/>
  <c r="G80" i="35" s="1"/>
  <c r="G113" i="35" s="1"/>
  <c r="G146" i="35" s="1"/>
  <c r="G178" i="35" s="1"/>
  <c r="G210" i="35" s="1"/>
  <c r="G242" i="35" s="1"/>
  <c r="G274" i="35" s="1"/>
  <c r="G306" i="35" s="1"/>
  <c r="G338" i="35" s="1"/>
  <c r="G370" i="35" s="1"/>
  <c r="G402" i="35" s="1"/>
  <c r="G434" i="35" s="1"/>
  <c r="G466" i="35" s="1"/>
  <c r="G498" i="35" s="1"/>
  <c r="G530" i="35" s="1"/>
  <c r="G562" i="35" s="1"/>
  <c r="G594" i="35" s="1"/>
  <c r="G626" i="35" s="1"/>
  <c r="G658" i="35" s="1"/>
  <c r="G690" i="35" s="1"/>
  <c r="G722" i="35" s="1"/>
  <c r="G754" i="35" s="1"/>
  <c r="G786" i="35" s="1"/>
  <c r="G818" i="35" s="1"/>
  <c r="G850" i="35" s="1"/>
  <c r="K161" i="3"/>
  <c r="K9" i="30" s="1"/>
  <c r="K40" i="30" s="1"/>
  <c r="K72" i="30" s="1"/>
  <c r="N104" i="3"/>
  <c r="N135" i="3" s="1"/>
  <c r="N166" i="3" s="1"/>
  <c r="N14" i="30" s="1"/>
  <c r="N45" i="30" s="1"/>
  <c r="N77" i="30" s="1"/>
  <c r="N109" i="30" s="1"/>
  <c r="N14" i="31" s="1"/>
  <c r="N49" i="31" s="1"/>
  <c r="N83" i="31" s="1"/>
  <c r="N118" i="31" s="1"/>
  <c r="N153" i="31" s="1"/>
  <c r="N188" i="31" s="1"/>
  <c r="N14" i="32" s="1"/>
  <c r="N49" i="32" s="1"/>
  <c r="N14" i="33" s="1"/>
  <c r="N50" i="33" s="1"/>
  <c r="N86" i="33" s="1"/>
  <c r="N122" i="33" s="1"/>
  <c r="N158" i="33" s="1"/>
  <c r="N194" i="33" s="1"/>
  <c r="N230" i="33" s="1"/>
  <c r="N266" i="33" s="1"/>
  <c r="N302" i="33" s="1"/>
  <c r="N338" i="33" s="1"/>
  <c r="N373" i="33" s="1"/>
  <c r="N408" i="33" s="1"/>
  <c r="N14" i="34" s="1"/>
  <c r="N48" i="34" s="1"/>
  <c r="N82" i="34" s="1"/>
  <c r="N116" i="34" s="1"/>
  <c r="N150" i="34" s="1"/>
  <c r="N184" i="34" s="1"/>
  <c r="N14" i="35" s="1"/>
  <c r="N47" i="35" s="1"/>
  <c r="N80" i="35" s="1"/>
  <c r="N113" i="35" s="1"/>
  <c r="F104" i="3"/>
  <c r="F135" i="3" s="1"/>
  <c r="F166" i="3" s="1"/>
  <c r="F14" i="30" s="1"/>
  <c r="F45" i="30" s="1"/>
  <c r="F77" i="30" s="1"/>
  <c r="F109" i="30" s="1"/>
  <c r="F14" i="31" s="1"/>
  <c r="F49" i="31" s="1"/>
  <c r="F83" i="31" s="1"/>
  <c r="F118" i="31" s="1"/>
  <c r="F153" i="31" s="1"/>
  <c r="F188" i="31" s="1"/>
  <c r="F14" i="32" s="1"/>
  <c r="F49" i="32" s="1"/>
  <c r="F14" i="33" s="1"/>
  <c r="F50" i="33" s="1"/>
  <c r="F86" i="33" s="1"/>
  <c r="F122" i="33" s="1"/>
  <c r="F158" i="33" s="1"/>
  <c r="F194" i="33" s="1"/>
  <c r="F230" i="33" s="1"/>
  <c r="F266" i="33" s="1"/>
  <c r="F302" i="33" s="1"/>
  <c r="F338" i="33" s="1"/>
  <c r="F373" i="33" s="1"/>
  <c r="F408" i="33" s="1"/>
  <c r="F14" i="34" s="1"/>
  <c r="F48" i="34" s="1"/>
  <c r="F82" i="34" s="1"/>
  <c r="F116" i="34" s="1"/>
  <c r="F150" i="34" s="1"/>
  <c r="F184" i="34" s="1"/>
  <c r="F14" i="35" s="1"/>
  <c r="F47" i="35" s="1"/>
  <c r="F80" i="35" s="1"/>
  <c r="L102" i="3"/>
  <c r="L131" i="3"/>
  <c r="E102" i="3"/>
  <c r="E131" i="3"/>
  <c r="H102" i="3"/>
  <c r="H130" i="3"/>
  <c r="G102" i="3"/>
  <c r="G130" i="3"/>
  <c r="K102" i="3"/>
  <c r="K131" i="3"/>
  <c r="K162" i="3" s="1"/>
  <c r="K10" i="30" s="1"/>
  <c r="K41" i="30" s="1"/>
  <c r="K73" i="30" s="1"/>
  <c r="M102" i="3"/>
  <c r="M131" i="3"/>
  <c r="N102" i="3"/>
  <c r="N130" i="3"/>
  <c r="F102" i="3"/>
  <c r="F130" i="3"/>
  <c r="J102" i="3"/>
  <c r="J131" i="3"/>
  <c r="J162" i="3" s="1"/>
  <c r="J10" i="30" s="1"/>
  <c r="J41" i="30" s="1"/>
  <c r="C131" i="3"/>
  <c r="J161" i="3"/>
  <c r="D102" i="3"/>
  <c r="D131" i="3"/>
  <c r="I102" i="3"/>
  <c r="I130" i="3"/>
  <c r="E50" i="3"/>
  <c r="L172" i="3"/>
  <c r="D172" i="3"/>
  <c r="H172" i="3"/>
  <c r="I172" i="3"/>
  <c r="J172" i="3"/>
  <c r="K172" i="3"/>
  <c r="E172" i="3"/>
  <c r="M172" i="3"/>
  <c r="H110" i="3"/>
  <c r="J110" i="3"/>
  <c r="I110" i="3"/>
  <c r="K110" i="3"/>
  <c r="D110" i="3"/>
  <c r="L110" i="3"/>
  <c r="E110" i="3"/>
  <c r="M110" i="3"/>
  <c r="H72" i="3"/>
  <c r="G72" i="3"/>
  <c r="M72" i="3"/>
  <c r="H42" i="3"/>
  <c r="L42" i="3"/>
  <c r="D42" i="3"/>
  <c r="J42" i="3"/>
  <c r="N72" i="3"/>
  <c r="F72" i="3"/>
  <c r="D72" i="3"/>
  <c r="L72" i="3"/>
  <c r="N42" i="3"/>
  <c r="K72" i="3"/>
  <c r="I72" i="3"/>
  <c r="E72" i="3"/>
  <c r="F42" i="3"/>
  <c r="J72" i="3"/>
  <c r="M42" i="3"/>
  <c r="E42" i="3"/>
  <c r="I42" i="3"/>
  <c r="K42" i="3"/>
  <c r="C42" i="3"/>
  <c r="I10" i="28"/>
  <c r="J10" i="28" s="1"/>
  <c r="N10" i="28" s="1"/>
  <c r="O10" i="28" s="1"/>
  <c r="I11" i="28"/>
  <c r="J11" i="28" s="1"/>
  <c r="M11" i="28" s="1"/>
  <c r="N5" i="28"/>
  <c r="I13" i="28"/>
  <c r="J12" i="28"/>
  <c r="M12" i="28" s="1"/>
  <c r="K40" i="27"/>
  <c r="K39" i="27"/>
  <c r="K38" i="27"/>
  <c r="K37" i="27"/>
  <c r="K36" i="27"/>
  <c r="K35" i="27"/>
  <c r="K34" i="27"/>
  <c r="K33" i="27"/>
  <c r="L32" i="27"/>
  <c r="K32" i="27"/>
  <c r="L31" i="27"/>
  <c r="K31" i="27"/>
  <c r="L30" i="27"/>
  <c r="K30" i="27"/>
  <c r="L29" i="27"/>
  <c r="K29" i="27"/>
  <c r="L28" i="27"/>
  <c r="K28" i="27"/>
  <c r="L27" i="27"/>
  <c r="K27" i="27"/>
  <c r="L26" i="27"/>
  <c r="K26" i="27"/>
  <c r="L25" i="27"/>
  <c r="K25" i="27"/>
  <c r="L24" i="27"/>
  <c r="K24" i="27"/>
  <c r="L23" i="27"/>
  <c r="K23" i="27"/>
  <c r="L22" i="27"/>
  <c r="K22" i="27"/>
  <c r="L21" i="27"/>
  <c r="K21" i="27"/>
  <c r="L20" i="27"/>
  <c r="K20" i="27"/>
  <c r="L19" i="27"/>
  <c r="K19" i="27"/>
  <c r="L18" i="27"/>
  <c r="K18" i="27"/>
  <c r="L17" i="27"/>
  <c r="K17" i="27"/>
  <c r="L16" i="27"/>
  <c r="K16" i="27"/>
  <c r="L15" i="27"/>
  <c r="K15" i="27"/>
  <c r="L14" i="27"/>
  <c r="K14" i="27"/>
  <c r="L13" i="27"/>
  <c r="K13" i="27"/>
  <c r="L12" i="27"/>
  <c r="K12" i="27"/>
  <c r="I12" i="27"/>
  <c r="E12" i="36" s="1"/>
  <c r="B12" i="27"/>
  <c r="L11" i="27"/>
  <c r="K11" i="27"/>
  <c r="I11" i="27"/>
  <c r="L10" i="27"/>
  <c r="K10" i="27"/>
  <c r="I10" i="27"/>
  <c r="J10" i="27" s="1"/>
  <c r="K9" i="27"/>
  <c r="J9" i="27"/>
  <c r="M9" i="27" s="1"/>
  <c r="I9" i="27"/>
  <c r="K8" i="27"/>
  <c r="K7" i="27"/>
  <c r="I7" i="27"/>
  <c r="E7" i="36" s="1"/>
  <c r="K6" i="27"/>
  <c r="K5" i="27"/>
  <c r="I5" i="27"/>
  <c r="K4" i="27"/>
  <c r="K3" i="27"/>
  <c r="I3" i="27"/>
  <c r="E3" i="36" s="1"/>
  <c r="G3" i="27"/>
  <c r="G4" i="27" s="1"/>
  <c r="G5" i="27" s="1"/>
  <c r="G6" i="27" s="1"/>
  <c r="G7" i="27" s="1"/>
  <c r="G8" i="27" s="1"/>
  <c r="G9" i="27" s="1"/>
  <c r="G10" i="27" s="1"/>
  <c r="G11" i="27" s="1"/>
  <c r="G12" i="27" s="1"/>
  <c r="G13" i="27" s="1"/>
  <c r="G14" i="27" s="1"/>
  <c r="G15" i="27" s="1"/>
  <c r="G16" i="27" s="1"/>
  <c r="G17" i="27" s="1"/>
  <c r="G18" i="27" s="1"/>
  <c r="G19" i="27" s="1"/>
  <c r="G20" i="27" s="1"/>
  <c r="G21" i="27" s="1"/>
  <c r="G22" i="27" s="1"/>
  <c r="G23" i="27" s="1"/>
  <c r="G24" i="27" s="1"/>
  <c r="G25" i="27" s="1"/>
  <c r="G26" i="27" s="1"/>
  <c r="G27" i="27" s="1"/>
  <c r="G28" i="27" s="1"/>
  <c r="G29" i="27" s="1"/>
  <c r="G30" i="27" s="1"/>
  <c r="G31" i="27" s="1"/>
  <c r="G32" i="27" s="1"/>
  <c r="G33" i="27" s="1"/>
  <c r="G34" i="27" s="1"/>
  <c r="G35" i="27" s="1"/>
  <c r="G36" i="27" s="1"/>
  <c r="G37" i="27" s="1"/>
  <c r="G38" i="27" s="1"/>
  <c r="G39" i="27" s="1"/>
  <c r="G40" i="27" s="1"/>
  <c r="F3" i="27"/>
  <c r="F4" i="27" s="1"/>
  <c r="F5" i="27" s="1"/>
  <c r="F6" i="27" s="1"/>
  <c r="F7" i="27" s="1"/>
  <c r="F8" i="27" s="1"/>
  <c r="F9" i="27" s="1"/>
  <c r="F10" i="27" s="1"/>
  <c r="F11" i="27" s="1"/>
  <c r="F12" i="27" s="1"/>
  <c r="F13" i="27" s="1"/>
  <c r="F14" i="27" s="1"/>
  <c r="F15" i="27" s="1"/>
  <c r="F16" i="27" s="1"/>
  <c r="F17" i="27" s="1"/>
  <c r="F18" i="27" s="1"/>
  <c r="F19" i="27" s="1"/>
  <c r="F20" i="27" s="1"/>
  <c r="F21" i="27" s="1"/>
  <c r="F22" i="27" s="1"/>
  <c r="F23" i="27" s="1"/>
  <c r="F24" i="27" s="1"/>
  <c r="F25" i="27" s="1"/>
  <c r="F26" i="27" s="1"/>
  <c r="F27" i="27" s="1"/>
  <c r="F28" i="27" s="1"/>
  <c r="F29" i="27" s="1"/>
  <c r="F30" i="27" s="1"/>
  <c r="F31" i="27" s="1"/>
  <c r="F32" i="27" s="1"/>
  <c r="F33" i="27" s="1"/>
  <c r="F34" i="27" s="1"/>
  <c r="F35" i="27" s="1"/>
  <c r="F36" i="27" s="1"/>
  <c r="F37" i="27" s="1"/>
  <c r="F38" i="27" s="1"/>
  <c r="F39" i="27" s="1"/>
  <c r="F40" i="27" s="1"/>
  <c r="E3" i="27"/>
  <c r="E4" i="27" s="1"/>
  <c r="E5" i="27" s="1"/>
  <c r="E6" i="27" s="1"/>
  <c r="E7" i="27" s="1"/>
  <c r="E8" i="27" s="1"/>
  <c r="E9" i="27" s="1"/>
  <c r="E10" i="27" s="1"/>
  <c r="E11" i="27" s="1"/>
  <c r="E12" i="27" s="1"/>
  <c r="E13" i="27" s="1"/>
  <c r="E14" i="27" s="1"/>
  <c r="E15" i="27" s="1"/>
  <c r="E16" i="27" s="1"/>
  <c r="E17" i="27" s="1"/>
  <c r="E18" i="27" s="1"/>
  <c r="E19" i="27" s="1"/>
  <c r="E20" i="27" s="1"/>
  <c r="E21" i="27" s="1"/>
  <c r="E22" i="27" s="1"/>
  <c r="E23" i="27" s="1"/>
  <c r="E24" i="27" s="1"/>
  <c r="E25" i="27" s="1"/>
  <c r="E26" i="27" s="1"/>
  <c r="E27" i="27" s="1"/>
  <c r="E28" i="27" s="1"/>
  <c r="E29" i="27" s="1"/>
  <c r="E30" i="27" s="1"/>
  <c r="E31" i="27" s="1"/>
  <c r="E32" i="27" s="1"/>
  <c r="E33" i="27" s="1"/>
  <c r="E34" i="27" s="1"/>
  <c r="E35" i="27" s="1"/>
  <c r="E36" i="27" s="1"/>
  <c r="E37" i="27" s="1"/>
  <c r="E38" i="27" s="1"/>
  <c r="E39" i="27" s="1"/>
  <c r="E40" i="27" s="1"/>
  <c r="L2" i="27"/>
  <c r="K2" i="27"/>
  <c r="H2" i="27"/>
  <c r="Q32" i="62" l="1"/>
  <c r="D33" i="62" s="1"/>
  <c r="N33" i="62" s="1" a="1"/>
  <c r="N33" i="62" s="1"/>
  <c r="K33" i="63" a="1"/>
  <c r="K33" i="63" s="1"/>
  <c r="F33" i="63" a="1"/>
  <c r="F33" i="63" s="1"/>
  <c r="N33" i="63" a="1"/>
  <c r="N33" i="63" s="1"/>
  <c r="I33" i="63" a="1"/>
  <c r="I33" i="63" s="1"/>
  <c r="B1" i="44"/>
  <c r="B1" i="42"/>
  <c r="H4" i="27"/>
  <c r="H13" i="27"/>
  <c r="H8" i="27"/>
  <c r="F2" i="36"/>
  <c r="F2" i="38"/>
  <c r="H6" i="27"/>
  <c r="I2" i="27"/>
  <c r="E2" i="36" s="1"/>
  <c r="G5" i="42"/>
  <c r="H5" i="42" s="1"/>
  <c r="J5" i="42" s="1"/>
  <c r="N10" i="27"/>
  <c r="O10" i="27" s="1"/>
  <c r="P10" i="27" s="1"/>
  <c r="E10" i="36"/>
  <c r="J11" i="27"/>
  <c r="E11" i="36"/>
  <c r="J12" i="36" s="1"/>
  <c r="J5" i="27"/>
  <c r="E5" i="36"/>
  <c r="N9" i="27"/>
  <c r="O9" i="27" s="1"/>
  <c r="P9" i="27" s="1"/>
  <c r="E9" i="36"/>
  <c r="Q28" i="51"/>
  <c r="O26" i="31"/>
  <c r="F6" i="41"/>
  <c r="G6" i="41" s="1"/>
  <c r="H6" i="41" s="1"/>
  <c r="G7" i="40"/>
  <c r="H7" i="40" s="1"/>
  <c r="O131" i="31"/>
  <c r="C166" i="31"/>
  <c r="I40" i="42"/>
  <c r="M50" i="35"/>
  <c r="M83" i="35" s="1"/>
  <c r="M116" i="35" s="1"/>
  <c r="M149" i="35" s="1"/>
  <c r="M181" i="35" s="1"/>
  <c r="M213" i="35" s="1"/>
  <c r="M245" i="35" s="1"/>
  <c r="M277" i="35" s="1"/>
  <c r="M309" i="35" s="1"/>
  <c r="M341" i="35" s="1"/>
  <c r="M373" i="35" s="1"/>
  <c r="M405" i="35" s="1"/>
  <c r="M437" i="35" s="1"/>
  <c r="M469" i="35" s="1"/>
  <c r="M501" i="35" s="1"/>
  <c r="M533" i="35" s="1"/>
  <c r="M565" i="35" s="1"/>
  <c r="M597" i="35" s="1"/>
  <c r="M629" i="35" s="1"/>
  <c r="M661" i="35" s="1"/>
  <c r="M693" i="35" s="1"/>
  <c r="M725" i="35" s="1"/>
  <c r="M757" i="35" s="1"/>
  <c r="M789" i="35" s="1"/>
  <c r="M821" i="35" s="1"/>
  <c r="M853" i="35" s="1"/>
  <c r="I50" i="35"/>
  <c r="I83" i="35" s="1"/>
  <c r="I116" i="35" s="1"/>
  <c r="I149" i="35" s="1"/>
  <c r="I181" i="35" s="1"/>
  <c r="I213" i="35" s="1"/>
  <c r="I245" i="35" s="1"/>
  <c r="I277" i="35" s="1"/>
  <c r="I309" i="35" s="1"/>
  <c r="I341" i="35" s="1"/>
  <c r="I373" i="35" s="1"/>
  <c r="I405" i="35" s="1"/>
  <c r="I437" i="35" s="1"/>
  <c r="I469" i="35" s="1"/>
  <c r="I501" i="35" s="1"/>
  <c r="I533" i="35" s="1"/>
  <c r="I565" i="35" s="1"/>
  <c r="I597" i="35" s="1"/>
  <c r="I629" i="35" s="1"/>
  <c r="I661" i="35" s="1"/>
  <c r="I693" i="35" s="1"/>
  <c r="I725" i="35" s="1"/>
  <c r="I757" i="35" s="1"/>
  <c r="I789" i="35" s="1"/>
  <c r="I821" i="35" s="1"/>
  <c r="I853" i="35" s="1"/>
  <c r="G50" i="35"/>
  <c r="G83" i="35" s="1"/>
  <c r="G116" i="35" s="1"/>
  <c r="G149" i="35" s="1"/>
  <c r="G181" i="35" s="1"/>
  <c r="G213" i="35" s="1"/>
  <c r="G245" i="35" s="1"/>
  <c r="G277" i="35" s="1"/>
  <c r="G309" i="35" s="1"/>
  <c r="G341" i="35" s="1"/>
  <c r="G373" i="35" s="1"/>
  <c r="G405" i="35" s="1"/>
  <c r="G437" i="35" s="1"/>
  <c r="G469" i="35" s="1"/>
  <c r="G501" i="35" s="1"/>
  <c r="G533" i="35" s="1"/>
  <c r="G565" i="35" s="1"/>
  <c r="G597" i="35" s="1"/>
  <c r="G629" i="35" s="1"/>
  <c r="G661" i="35" s="1"/>
  <c r="G693" i="35" s="1"/>
  <c r="G725" i="35" s="1"/>
  <c r="G757" i="35" s="1"/>
  <c r="G789" i="35" s="1"/>
  <c r="G821" i="35" s="1"/>
  <c r="G853" i="35" s="1"/>
  <c r="G276" i="35"/>
  <c r="G308" i="35" s="1"/>
  <c r="G340" i="35" s="1"/>
  <c r="G372" i="35" s="1"/>
  <c r="G404" i="35" s="1"/>
  <c r="G436" i="35" s="1"/>
  <c r="G468" i="35" s="1"/>
  <c r="G500" i="35" s="1"/>
  <c r="G532" i="35" s="1"/>
  <c r="G564" i="35" s="1"/>
  <c r="G596" i="35" s="1"/>
  <c r="G628" i="35" s="1"/>
  <c r="G660" i="35" s="1"/>
  <c r="G692" i="35" s="1"/>
  <c r="G724" i="35" s="1"/>
  <c r="G756" i="35" s="1"/>
  <c r="G788" i="35" s="1"/>
  <c r="G820" i="35" s="1"/>
  <c r="G852" i="35" s="1"/>
  <c r="D276" i="35"/>
  <c r="D308" i="35" s="1"/>
  <c r="D340" i="35" s="1"/>
  <c r="D372" i="35" s="1"/>
  <c r="D404" i="35" s="1"/>
  <c r="D436" i="35" s="1"/>
  <c r="D468" i="35" s="1"/>
  <c r="D500" i="35" s="1"/>
  <c r="D532" i="35" s="1"/>
  <c r="D564" i="35" s="1"/>
  <c r="D596" i="35" s="1"/>
  <c r="D628" i="35" s="1"/>
  <c r="D660" i="35" s="1"/>
  <c r="D692" i="35" s="1"/>
  <c r="D724" i="35" s="1"/>
  <c r="D756" i="35" s="1"/>
  <c r="D788" i="35" s="1"/>
  <c r="D820" i="35" s="1"/>
  <c r="D852" i="35" s="1"/>
  <c r="O89" i="33"/>
  <c r="C125" i="33"/>
  <c r="F341" i="33"/>
  <c r="F376" i="33" s="1"/>
  <c r="F411" i="33" s="1"/>
  <c r="F17" i="34" s="1"/>
  <c r="F51" i="34" s="1"/>
  <c r="F85" i="34" s="1"/>
  <c r="F119" i="34" s="1"/>
  <c r="F153" i="34" s="1"/>
  <c r="I51" i="30"/>
  <c r="M111" i="3"/>
  <c r="G172" i="3"/>
  <c r="J133" i="3"/>
  <c r="K12" i="30"/>
  <c r="F51" i="30"/>
  <c r="N146" i="35"/>
  <c r="D86" i="31"/>
  <c r="O83" i="31"/>
  <c r="C150" i="31"/>
  <c r="K43" i="30"/>
  <c r="K52" i="30" s="1"/>
  <c r="L55" i="34"/>
  <c r="L58" i="33"/>
  <c r="L94" i="33" s="1"/>
  <c r="L130" i="33" s="1"/>
  <c r="L166" i="33" s="1"/>
  <c r="L202" i="33" s="1"/>
  <c r="L238" i="33" s="1"/>
  <c r="L274" i="33" s="1"/>
  <c r="L310" i="33" s="1"/>
  <c r="L345" i="33" s="1"/>
  <c r="L380" i="33" s="1"/>
  <c r="L415" i="33" s="1"/>
  <c r="L21" i="34" s="1"/>
  <c r="O55" i="31"/>
  <c r="E90" i="31"/>
  <c r="E125" i="31" s="1"/>
  <c r="E160" i="31" s="1"/>
  <c r="E195" i="31" s="1"/>
  <c r="E21" i="32" s="1"/>
  <c r="E56" i="32" s="1"/>
  <c r="E22" i="33" s="1"/>
  <c r="L189" i="34"/>
  <c r="L19" i="35" s="1"/>
  <c r="L52" i="35" s="1"/>
  <c r="L85" i="35" s="1"/>
  <c r="L118" i="35" s="1"/>
  <c r="L151" i="35" s="1"/>
  <c r="L183" i="35" s="1"/>
  <c r="L215" i="35" s="1"/>
  <c r="L247" i="35" s="1"/>
  <c r="L279" i="35" s="1"/>
  <c r="L311" i="35" s="1"/>
  <c r="L343" i="35" s="1"/>
  <c r="L375" i="35" s="1"/>
  <c r="L407" i="35" s="1"/>
  <c r="L439" i="35" s="1"/>
  <c r="L471" i="35" s="1"/>
  <c r="L503" i="35" s="1"/>
  <c r="L535" i="35" s="1"/>
  <c r="L567" i="35" s="1"/>
  <c r="L599" i="35" s="1"/>
  <c r="L631" i="35" s="1"/>
  <c r="L663" i="35" s="1"/>
  <c r="L695" i="35" s="1"/>
  <c r="L727" i="35" s="1"/>
  <c r="L759" i="35" s="1"/>
  <c r="L791" i="35" s="1"/>
  <c r="L823" i="35" s="1"/>
  <c r="L855" i="35" s="1"/>
  <c r="L198" i="33"/>
  <c r="L234" i="33" s="1"/>
  <c r="L270" i="33" s="1"/>
  <c r="L306" i="33" s="1"/>
  <c r="L342" i="33" s="1"/>
  <c r="L377" i="33" s="1"/>
  <c r="L412" i="33" s="1"/>
  <c r="L18" i="34" s="1"/>
  <c r="L52" i="34" s="1"/>
  <c r="L86" i="34" s="1"/>
  <c r="L120" i="34" s="1"/>
  <c r="L154" i="34" s="1"/>
  <c r="L187" i="34" s="1"/>
  <c r="L17" i="35" s="1"/>
  <c r="O153" i="31"/>
  <c r="E20" i="33"/>
  <c r="D55" i="34"/>
  <c r="D58" i="33"/>
  <c r="D94" i="33" s="1"/>
  <c r="D130" i="33" s="1"/>
  <c r="D166" i="33" s="1"/>
  <c r="D202" i="33" s="1"/>
  <c r="D238" i="33" s="1"/>
  <c r="D274" i="33" s="1"/>
  <c r="D310" i="33" s="1"/>
  <c r="D345" i="33" s="1"/>
  <c r="D380" i="33" s="1"/>
  <c r="D415" i="33" s="1"/>
  <c r="D21" i="34" s="1"/>
  <c r="O20" i="31"/>
  <c r="H89" i="34"/>
  <c r="H92" i="33"/>
  <c r="H128" i="33" s="1"/>
  <c r="H164" i="33" s="1"/>
  <c r="H200" i="33" s="1"/>
  <c r="H236" i="33" s="1"/>
  <c r="H272" i="33" s="1"/>
  <c r="H308" i="33" s="1"/>
  <c r="H344" i="33" s="1"/>
  <c r="H379" i="33" s="1"/>
  <c r="H414" i="33" s="1"/>
  <c r="H20" i="34" s="1"/>
  <c r="O118" i="31"/>
  <c r="K89" i="34"/>
  <c r="K92" i="33"/>
  <c r="K128" i="33" s="1"/>
  <c r="K164" i="33" s="1"/>
  <c r="K200" i="33" s="1"/>
  <c r="K236" i="33" s="1"/>
  <c r="K272" i="33" s="1"/>
  <c r="K308" i="33" s="1"/>
  <c r="K344" i="33" s="1"/>
  <c r="K379" i="33" s="1"/>
  <c r="K414" i="33" s="1"/>
  <c r="K20" i="34" s="1"/>
  <c r="K118" i="35"/>
  <c r="K151" i="35" s="1"/>
  <c r="K183" i="35" s="1"/>
  <c r="K215" i="35" s="1"/>
  <c r="K247" i="35" s="1"/>
  <c r="K279" i="35" s="1"/>
  <c r="K311" i="35" s="1"/>
  <c r="K343" i="35" s="1"/>
  <c r="K375" i="35" s="1"/>
  <c r="K407" i="35" s="1"/>
  <c r="K439" i="35" s="1"/>
  <c r="K471" i="35" s="1"/>
  <c r="K503" i="35" s="1"/>
  <c r="K535" i="35" s="1"/>
  <c r="K567" i="35" s="1"/>
  <c r="K599" i="35" s="1"/>
  <c r="K631" i="35" s="1"/>
  <c r="K663" i="35" s="1"/>
  <c r="K695" i="35" s="1"/>
  <c r="K727" i="35" s="1"/>
  <c r="K759" i="35" s="1"/>
  <c r="K791" i="35" s="1"/>
  <c r="K823" i="35" s="1"/>
  <c r="K855" i="35" s="1"/>
  <c r="O188" i="31"/>
  <c r="C14" i="32"/>
  <c r="C160" i="31"/>
  <c r="G11" i="33"/>
  <c r="J164" i="3"/>
  <c r="J173" i="3" s="1"/>
  <c r="J9" i="30"/>
  <c r="M55" i="34"/>
  <c r="M58" i="33"/>
  <c r="M94" i="33" s="1"/>
  <c r="M130" i="33" s="1"/>
  <c r="M166" i="33" s="1"/>
  <c r="M202" i="33" s="1"/>
  <c r="M238" i="33" s="1"/>
  <c r="M274" i="33" s="1"/>
  <c r="M310" i="33" s="1"/>
  <c r="M345" i="33" s="1"/>
  <c r="M380" i="33" s="1"/>
  <c r="M415" i="33" s="1"/>
  <c r="M21" i="34" s="1"/>
  <c r="K55" i="34"/>
  <c r="K58" i="33"/>
  <c r="K94" i="33" s="1"/>
  <c r="K130" i="33" s="1"/>
  <c r="K166" i="33" s="1"/>
  <c r="K202" i="33" s="1"/>
  <c r="K238" i="33" s="1"/>
  <c r="K274" i="33" s="1"/>
  <c r="K310" i="33" s="1"/>
  <c r="K345" i="33" s="1"/>
  <c r="K380" i="33" s="1"/>
  <c r="K415" i="33" s="1"/>
  <c r="K21" i="34" s="1"/>
  <c r="N55" i="34"/>
  <c r="N58" i="33"/>
  <c r="N94" i="33" s="1"/>
  <c r="N130" i="33" s="1"/>
  <c r="N166" i="33" s="1"/>
  <c r="N202" i="33" s="1"/>
  <c r="N238" i="33" s="1"/>
  <c r="N274" i="33" s="1"/>
  <c r="N310" i="33" s="1"/>
  <c r="N345" i="33" s="1"/>
  <c r="N380" i="33" s="1"/>
  <c r="N415" i="33" s="1"/>
  <c r="N21" i="34" s="1"/>
  <c r="I55" i="34"/>
  <c r="I58" i="33"/>
  <c r="I94" i="33" s="1"/>
  <c r="I130" i="33" s="1"/>
  <c r="I166" i="33" s="1"/>
  <c r="I202" i="33" s="1"/>
  <c r="I238" i="33" s="1"/>
  <c r="I274" i="33" s="1"/>
  <c r="I310" i="33" s="1"/>
  <c r="I345" i="33" s="1"/>
  <c r="I380" i="33" s="1"/>
  <c r="I415" i="33" s="1"/>
  <c r="I21" i="34" s="1"/>
  <c r="E113" i="34"/>
  <c r="K110" i="35"/>
  <c r="G194" i="31"/>
  <c r="G19" i="32" s="1"/>
  <c r="G54" i="32" s="1"/>
  <c r="G20" i="33" s="1"/>
  <c r="L89" i="34"/>
  <c r="L92" i="33"/>
  <c r="L128" i="33" s="1"/>
  <c r="L164" i="33" s="1"/>
  <c r="L200" i="33" s="1"/>
  <c r="L236" i="33" s="1"/>
  <c r="L272" i="33" s="1"/>
  <c r="L308" i="33" s="1"/>
  <c r="L344" i="33" s="1"/>
  <c r="L379" i="33" s="1"/>
  <c r="L414" i="33" s="1"/>
  <c r="L20" i="34" s="1"/>
  <c r="M147" i="34"/>
  <c r="E270" i="33"/>
  <c r="E306" i="33" s="1"/>
  <c r="E342" i="33" s="1"/>
  <c r="E377" i="33" s="1"/>
  <c r="E412" i="33" s="1"/>
  <c r="E18" i="34" s="1"/>
  <c r="E52" i="34" s="1"/>
  <c r="E86" i="34" s="1"/>
  <c r="E120" i="34" s="1"/>
  <c r="E154" i="34" s="1"/>
  <c r="E187" i="34" s="1"/>
  <c r="E17" i="35" s="1"/>
  <c r="D54" i="34"/>
  <c r="D88" i="34" s="1"/>
  <c r="D56" i="33"/>
  <c r="G55" i="34"/>
  <c r="G58" i="33"/>
  <c r="G94" i="33" s="1"/>
  <c r="G130" i="33" s="1"/>
  <c r="G166" i="33" s="1"/>
  <c r="G202" i="33" s="1"/>
  <c r="G238" i="33" s="1"/>
  <c r="G274" i="33" s="1"/>
  <c r="G310" i="33" s="1"/>
  <c r="G345" i="33" s="1"/>
  <c r="G380" i="33" s="1"/>
  <c r="G415" i="33" s="1"/>
  <c r="G21" i="34" s="1"/>
  <c r="O14" i="30"/>
  <c r="O77" i="30"/>
  <c r="O49" i="31"/>
  <c r="E786" i="35"/>
  <c r="E818" i="35" s="1"/>
  <c r="E19" i="35"/>
  <c r="E52" i="35" s="1"/>
  <c r="E85" i="35" s="1"/>
  <c r="E118" i="35" s="1"/>
  <c r="E151" i="35" s="1"/>
  <c r="G215" i="35"/>
  <c r="G247" i="35" s="1"/>
  <c r="G279" i="35" s="1"/>
  <c r="C155" i="31"/>
  <c r="O45" i="30"/>
  <c r="J89" i="34"/>
  <c r="J92" i="33"/>
  <c r="J128" i="33" s="1"/>
  <c r="J164" i="33" s="1"/>
  <c r="J200" i="33" s="1"/>
  <c r="J236" i="33" s="1"/>
  <c r="J272" i="33" s="1"/>
  <c r="J308" i="33" s="1"/>
  <c r="J344" i="33" s="1"/>
  <c r="J379" i="33" s="1"/>
  <c r="J414" i="33" s="1"/>
  <c r="J20" i="34" s="1"/>
  <c r="C154" i="31"/>
  <c r="C156" i="31"/>
  <c r="I115" i="35"/>
  <c r="N51" i="30"/>
  <c r="N110" i="3"/>
  <c r="N111" i="3" s="1"/>
  <c r="G51" i="30"/>
  <c r="N54" i="34"/>
  <c r="N88" i="34" s="1"/>
  <c r="N56" i="33"/>
  <c r="O14" i="31"/>
  <c r="H77" i="35"/>
  <c r="H110" i="35" s="1"/>
  <c r="H143" i="35" s="1"/>
  <c r="H175" i="35" s="1"/>
  <c r="H207" i="35" s="1"/>
  <c r="H239" i="35" s="1"/>
  <c r="H271" i="35" s="1"/>
  <c r="H303" i="35" s="1"/>
  <c r="H335" i="35" s="1"/>
  <c r="H367" i="35" s="1"/>
  <c r="H399" i="35" s="1"/>
  <c r="H431" i="35" s="1"/>
  <c r="H463" i="35" s="1"/>
  <c r="F113" i="35"/>
  <c r="C19" i="32"/>
  <c r="M89" i="34"/>
  <c r="M92" i="33"/>
  <c r="M128" i="33" s="1"/>
  <c r="M164" i="33" s="1"/>
  <c r="M200" i="33" s="1"/>
  <c r="M236" i="33" s="1"/>
  <c r="M272" i="33" s="1"/>
  <c r="M308" i="33" s="1"/>
  <c r="M344" i="33" s="1"/>
  <c r="M379" i="33" s="1"/>
  <c r="M414" i="33" s="1"/>
  <c r="M20" i="34" s="1"/>
  <c r="M45" i="28"/>
  <c r="N45" i="28"/>
  <c r="O45" i="28" s="1"/>
  <c r="P45" i="28" s="1"/>
  <c r="M44" i="28"/>
  <c r="N44" i="28"/>
  <c r="O44" i="28" s="1"/>
  <c r="P44" i="28" s="1"/>
  <c r="M43" i="28"/>
  <c r="N43" i="28"/>
  <c r="O43" i="28" s="1"/>
  <c r="P43" i="28" s="1"/>
  <c r="M42" i="28"/>
  <c r="N42" i="28"/>
  <c r="O42" i="28" s="1"/>
  <c r="P42" i="28" s="1"/>
  <c r="M41" i="28"/>
  <c r="N41" i="28"/>
  <c r="O41" i="28" s="1"/>
  <c r="P41" i="28" s="1"/>
  <c r="H105" i="35"/>
  <c r="I71" i="35"/>
  <c r="G105" i="35"/>
  <c r="J71" i="35"/>
  <c r="N105" i="35"/>
  <c r="F105" i="35"/>
  <c r="K71" i="35"/>
  <c r="M105" i="35"/>
  <c r="E105" i="35"/>
  <c r="D71" i="35"/>
  <c r="L71" i="35"/>
  <c r="L105" i="35"/>
  <c r="D105" i="35"/>
  <c r="E71" i="35"/>
  <c r="M71" i="35"/>
  <c r="K105" i="35"/>
  <c r="C105" i="35"/>
  <c r="F71" i="35"/>
  <c r="N71" i="35"/>
  <c r="C71" i="35"/>
  <c r="J105" i="35"/>
  <c r="I105" i="35"/>
  <c r="G71" i="35"/>
  <c r="H71" i="35"/>
  <c r="K38" i="35"/>
  <c r="G38" i="35"/>
  <c r="D38" i="35"/>
  <c r="L38" i="35"/>
  <c r="N38" i="35"/>
  <c r="E38" i="35"/>
  <c r="M38" i="35"/>
  <c r="F38" i="35"/>
  <c r="H38" i="35"/>
  <c r="C38" i="35"/>
  <c r="I38" i="35"/>
  <c r="J38" i="35"/>
  <c r="M8" i="28"/>
  <c r="O854" i="35"/>
  <c r="O822" i="35"/>
  <c r="O790" i="35"/>
  <c r="O726" i="35"/>
  <c r="O694" i="35"/>
  <c r="O662" i="35"/>
  <c r="O630" i="35"/>
  <c r="O598" i="35"/>
  <c r="O566" i="35"/>
  <c r="O534" i="35"/>
  <c r="O502" i="35"/>
  <c r="O470" i="35"/>
  <c r="O438" i="35"/>
  <c r="O406" i="35"/>
  <c r="O374" i="35"/>
  <c r="O342" i="35"/>
  <c r="O310" i="35"/>
  <c r="O278" i="35"/>
  <c r="O246" i="35"/>
  <c r="O150" i="35"/>
  <c r="O117" i="35"/>
  <c r="F105" i="30"/>
  <c r="F10" i="31" s="1"/>
  <c r="H112" i="30"/>
  <c r="H17" i="31" s="1"/>
  <c r="H52" i="31" s="1"/>
  <c r="H86" i="31" s="1"/>
  <c r="H121" i="31" s="1"/>
  <c r="H156" i="31" s="1"/>
  <c r="H191" i="31" s="1"/>
  <c r="H17" i="32" s="1"/>
  <c r="H52" i="32" s="1"/>
  <c r="H18" i="33" s="1"/>
  <c r="H54" i="33" s="1"/>
  <c r="H90" i="33" s="1"/>
  <c r="H126" i="33" s="1"/>
  <c r="H162" i="33" s="1"/>
  <c r="N105" i="30"/>
  <c r="N10" i="31" s="1"/>
  <c r="G105" i="30"/>
  <c r="G10" i="31" s="1"/>
  <c r="F114" i="30"/>
  <c r="F19" i="31" s="1"/>
  <c r="J106" i="30"/>
  <c r="J11" i="31" s="1"/>
  <c r="J46" i="31" s="1"/>
  <c r="J112" i="30"/>
  <c r="J17" i="31" s="1"/>
  <c r="J52" i="31" s="1"/>
  <c r="J86" i="31" s="1"/>
  <c r="J121" i="31" s="1"/>
  <c r="J156" i="31" s="1"/>
  <c r="J191" i="31" s="1"/>
  <c r="J17" i="32" s="1"/>
  <c r="J52" i="32" s="1"/>
  <c r="J18" i="33" s="1"/>
  <c r="J54" i="33" s="1"/>
  <c r="J90" i="33" s="1"/>
  <c r="J126" i="33" s="1"/>
  <c r="J162" i="33" s="1"/>
  <c r="F110" i="30"/>
  <c r="F15" i="31" s="1"/>
  <c r="F50" i="31" s="1"/>
  <c r="F84" i="31" s="1"/>
  <c r="F119" i="31" s="1"/>
  <c r="F154" i="31" s="1"/>
  <c r="F189" i="31" s="1"/>
  <c r="F15" i="32" s="1"/>
  <c r="F50" i="32" s="1"/>
  <c r="F15" i="33" s="1"/>
  <c r="F51" i="33" s="1"/>
  <c r="F87" i="33" s="1"/>
  <c r="F123" i="33" s="1"/>
  <c r="F159" i="33" s="1"/>
  <c r="F195" i="33" s="1"/>
  <c r="F231" i="33" s="1"/>
  <c r="F267" i="33" s="1"/>
  <c r="F303" i="33" s="1"/>
  <c r="F339" i="33" s="1"/>
  <c r="F374" i="33" s="1"/>
  <c r="F409" i="33" s="1"/>
  <c r="F15" i="34" s="1"/>
  <c r="F49" i="34" s="1"/>
  <c r="F83" i="34" s="1"/>
  <c r="F117" i="34" s="1"/>
  <c r="F151" i="34" s="1"/>
  <c r="F185" i="34" s="1"/>
  <c r="F15" i="35" s="1"/>
  <c r="F48" i="35" s="1"/>
  <c r="F81" i="35" s="1"/>
  <c r="F114" i="35" s="1"/>
  <c r="F147" i="35" s="1"/>
  <c r="F179" i="35" s="1"/>
  <c r="F211" i="35" s="1"/>
  <c r="F243" i="35" s="1"/>
  <c r="F275" i="35" s="1"/>
  <c r="F307" i="35" s="1"/>
  <c r="F339" i="35" s="1"/>
  <c r="F371" i="35" s="1"/>
  <c r="F403" i="35" s="1"/>
  <c r="F435" i="35" s="1"/>
  <c r="F467" i="35" s="1"/>
  <c r="F499" i="35" s="1"/>
  <c r="F531" i="35" s="1"/>
  <c r="F563" i="35" s="1"/>
  <c r="F595" i="35" s="1"/>
  <c r="F627" i="35" s="1"/>
  <c r="F659" i="35" s="1"/>
  <c r="F691" i="35" s="1"/>
  <c r="F723" i="35" s="1"/>
  <c r="F755" i="35" s="1"/>
  <c r="F787" i="35" s="1"/>
  <c r="F819" i="35" s="1"/>
  <c r="F851" i="35" s="1"/>
  <c r="H105" i="30"/>
  <c r="N112" i="30"/>
  <c r="N17" i="31" s="1"/>
  <c r="N52" i="31" s="1"/>
  <c r="N86" i="31" s="1"/>
  <c r="N121" i="31" s="1"/>
  <c r="N156" i="31" s="1"/>
  <c r="N191" i="31" s="1"/>
  <c r="N17" i="32" s="1"/>
  <c r="N52" i="32" s="1"/>
  <c r="N18" i="33" s="1"/>
  <c r="N54" i="33" s="1"/>
  <c r="N90" i="33" s="1"/>
  <c r="N126" i="33" s="1"/>
  <c r="N162" i="33" s="1"/>
  <c r="F112" i="30"/>
  <c r="F17" i="31" s="1"/>
  <c r="F52" i="31" s="1"/>
  <c r="F86" i="31" s="1"/>
  <c r="F121" i="31" s="1"/>
  <c r="F156" i="31" s="1"/>
  <c r="F191" i="31" s="1"/>
  <c r="F17" i="32" s="1"/>
  <c r="F52" i="32" s="1"/>
  <c r="F18" i="33" s="1"/>
  <c r="F54" i="33" s="1"/>
  <c r="F90" i="33" s="1"/>
  <c r="F126" i="33" s="1"/>
  <c r="F162" i="33" s="1"/>
  <c r="K75" i="30"/>
  <c r="K105" i="30"/>
  <c r="K10" i="31" s="1"/>
  <c r="L106" i="30"/>
  <c r="E110" i="30"/>
  <c r="E15" i="31" s="1"/>
  <c r="I106" i="30"/>
  <c r="I11" i="31" s="1"/>
  <c r="I46" i="31" s="1"/>
  <c r="I80" i="31" s="1"/>
  <c r="I115" i="31" s="1"/>
  <c r="K111" i="30"/>
  <c r="K16" i="31" s="1"/>
  <c r="K51" i="31" s="1"/>
  <c r="K85" i="31" s="1"/>
  <c r="K120" i="31" s="1"/>
  <c r="K155" i="31" s="1"/>
  <c r="K190" i="31" s="1"/>
  <c r="K16" i="32" s="1"/>
  <c r="K51" i="32" s="1"/>
  <c r="K16" i="33" s="1"/>
  <c r="K52" i="33" s="1"/>
  <c r="K88" i="33" s="1"/>
  <c r="K124" i="33" s="1"/>
  <c r="K160" i="33" s="1"/>
  <c r="K196" i="33" s="1"/>
  <c r="K232" i="33" s="1"/>
  <c r="K268" i="33" s="1"/>
  <c r="K304" i="33" s="1"/>
  <c r="K340" i="33" s="1"/>
  <c r="K375" i="33" s="1"/>
  <c r="K410" i="33" s="1"/>
  <c r="K16" i="34" s="1"/>
  <c r="K50" i="34" s="1"/>
  <c r="K84" i="34" s="1"/>
  <c r="K118" i="34" s="1"/>
  <c r="K152" i="34" s="1"/>
  <c r="K186" i="34" s="1"/>
  <c r="K16" i="35" s="1"/>
  <c r="K49" i="35" s="1"/>
  <c r="K82" i="35" s="1"/>
  <c r="K115" i="35" s="1"/>
  <c r="K148" i="35" s="1"/>
  <c r="I114" i="30"/>
  <c r="I19" i="31" s="1"/>
  <c r="I54" i="31" s="1"/>
  <c r="I89" i="31" s="1"/>
  <c r="I124" i="31" s="1"/>
  <c r="I159" i="31" s="1"/>
  <c r="I194" i="31" s="1"/>
  <c r="I19" i="32" s="1"/>
  <c r="I54" i="32" s="1"/>
  <c r="I20" i="33" s="1"/>
  <c r="H111" i="30"/>
  <c r="H16" i="31" s="1"/>
  <c r="M110" i="30"/>
  <c r="M15" i="31" s="1"/>
  <c r="M50" i="31" s="1"/>
  <c r="M84" i="31" s="1"/>
  <c r="M119" i="31" s="1"/>
  <c r="M154" i="31" s="1"/>
  <c r="M189" i="31" s="1"/>
  <c r="M15" i="32" s="1"/>
  <c r="M50" i="32" s="1"/>
  <c r="M15" i="33" s="1"/>
  <c r="M51" i="33" s="1"/>
  <c r="M87" i="33" s="1"/>
  <c r="M123" i="33" s="1"/>
  <c r="M159" i="33" s="1"/>
  <c r="M195" i="33" s="1"/>
  <c r="M231" i="33" s="1"/>
  <c r="M267" i="33" s="1"/>
  <c r="M303" i="33" s="1"/>
  <c r="M339" i="33" s="1"/>
  <c r="M374" i="33" s="1"/>
  <c r="M409" i="33" s="1"/>
  <c r="M15" i="34" s="1"/>
  <c r="M49" i="34" s="1"/>
  <c r="M83" i="34" s="1"/>
  <c r="M117" i="34" s="1"/>
  <c r="M151" i="34" s="1"/>
  <c r="M185" i="34" s="1"/>
  <c r="M15" i="35" s="1"/>
  <c r="M48" i="35" s="1"/>
  <c r="M81" i="35" s="1"/>
  <c r="M114" i="35" s="1"/>
  <c r="I105" i="30"/>
  <c r="I10" i="31" s="1"/>
  <c r="M83" i="30"/>
  <c r="O80" i="30"/>
  <c r="H83" i="30"/>
  <c r="G83" i="30"/>
  <c r="O82" i="30"/>
  <c r="L83" i="30"/>
  <c r="N83" i="30"/>
  <c r="O78" i="30"/>
  <c r="I83" i="30"/>
  <c r="O81" i="30"/>
  <c r="O79" i="30"/>
  <c r="D83" i="30"/>
  <c r="E83" i="30"/>
  <c r="J73" i="30"/>
  <c r="F83" i="30"/>
  <c r="D74" i="30"/>
  <c r="D106" i="30" s="1"/>
  <c r="D11" i="31" s="1"/>
  <c r="K83" i="30"/>
  <c r="J83" i="30"/>
  <c r="O42" i="30"/>
  <c r="O130" i="3"/>
  <c r="O166" i="3"/>
  <c r="G110" i="3"/>
  <c r="G111" i="3" s="1"/>
  <c r="N172" i="3"/>
  <c r="O42" i="3"/>
  <c r="F110" i="3"/>
  <c r="F111" i="3" s="1"/>
  <c r="E111" i="3"/>
  <c r="I111" i="3"/>
  <c r="H111" i="3"/>
  <c r="C98" i="3"/>
  <c r="O68" i="3"/>
  <c r="J111" i="3"/>
  <c r="O72" i="3"/>
  <c r="C162" i="3"/>
  <c r="C10" i="30" s="1"/>
  <c r="O131" i="3"/>
  <c r="L111" i="3"/>
  <c r="O135" i="3"/>
  <c r="K111" i="3"/>
  <c r="C172" i="3"/>
  <c r="O104" i="3"/>
  <c r="N11" i="28"/>
  <c r="O11" i="28" s="1"/>
  <c r="P11" i="28" s="1"/>
  <c r="C51" i="30"/>
  <c r="F172" i="3"/>
  <c r="D111" i="3"/>
  <c r="N133" i="3"/>
  <c r="N161" i="3"/>
  <c r="H133" i="3"/>
  <c r="H161" i="3"/>
  <c r="I133" i="3"/>
  <c r="I161" i="3"/>
  <c r="L133" i="3"/>
  <c r="L162" i="3"/>
  <c r="K164" i="3"/>
  <c r="K173" i="3" s="1"/>
  <c r="E133" i="3"/>
  <c r="E162" i="3"/>
  <c r="K133" i="3"/>
  <c r="D133" i="3"/>
  <c r="D162" i="3"/>
  <c r="F133" i="3"/>
  <c r="F161" i="3"/>
  <c r="F9" i="30" s="1"/>
  <c r="G133" i="3"/>
  <c r="G161" i="3"/>
  <c r="M133" i="3"/>
  <c r="M162" i="3"/>
  <c r="N3" i="28"/>
  <c r="N6" i="28"/>
  <c r="N4" i="28"/>
  <c r="M10" i="28"/>
  <c r="P10" i="28"/>
  <c r="J13" i="28"/>
  <c r="N13" i="28" s="1"/>
  <c r="O13" i="28" s="1"/>
  <c r="P13" i="28" s="1"/>
  <c r="I14" i="28"/>
  <c r="N12" i="28"/>
  <c r="O12" i="28" s="1"/>
  <c r="P12" i="28" s="1"/>
  <c r="M5" i="27"/>
  <c r="M11" i="27"/>
  <c r="J2" i="27"/>
  <c r="N2" i="27" s="1"/>
  <c r="J3" i="27"/>
  <c r="N5" i="27"/>
  <c r="O5" i="27" s="1"/>
  <c r="P5" i="27" s="1"/>
  <c r="N11" i="27"/>
  <c r="O11" i="27" s="1"/>
  <c r="P11" i="27" s="1"/>
  <c r="J12" i="27"/>
  <c r="J7" i="27"/>
  <c r="N7" i="27" s="1"/>
  <c r="O7" i="27" s="1"/>
  <c r="M10" i="27"/>
  <c r="N12" i="27"/>
  <c r="O12" i="27" s="1"/>
  <c r="F33" i="62" l="1" a="1"/>
  <c r="F33" i="62" s="1"/>
  <c r="I33" i="62" a="1"/>
  <c r="I33" i="62" s="1"/>
  <c r="E33" i="62" a="1"/>
  <c r="E33" i="62" s="1"/>
  <c r="K33" i="62" a="1"/>
  <c r="K33" i="62" s="1"/>
  <c r="Q33" i="63"/>
  <c r="D34" i="63" s="1"/>
  <c r="F34" i="63" s="1" a="1"/>
  <c r="F34" i="63" s="1"/>
  <c r="D35" i="30"/>
  <c r="D36" i="30" s="1"/>
  <c r="L35" i="30"/>
  <c r="L36" i="30" s="1"/>
  <c r="E35" i="30"/>
  <c r="E36" i="30" s="1"/>
  <c r="M35" i="30"/>
  <c r="M36" i="30" s="1"/>
  <c r="F35" i="30"/>
  <c r="F36" i="30" s="1"/>
  <c r="N35" i="30"/>
  <c r="N36" i="30" s="1"/>
  <c r="G35" i="30"/>
  <c r="G36" i="30" s="1"/>
  <c r="C35" i="30"/>
  <c r="C36" i="30" s="1"/>
  <c r="O36" i="30" s="1"/>
  <c r="J35" i="30"/>
  <c r="J36" i="30" s="1"/>
  <c r="K35" i="30"/>
  <c r="K36" i="30" s="1"/>
  <c r="H35" i="30"/>
  <c r="H36" i="30" s="1"/>
  <c r="I35" i="30"/>
  <c r="I36" i="30" s="1"/>
  <c r="J10" i="36"/>
  <c r="J2" i="36"/>
  <c r="J8" i="36"/>
  <c r="P12" i="27"/>
  <c r="G11" i="42"/>
  <c r="H11" i="42" s="1"/>
  <c r="I8" i="27"/>
  <c r="J67" i="30"/>
  <c r="J68" i="30" s="1"/>
  <c r="J88" i="30" s="1"/>
  <c r="G67" i="30"/>
  <c r="G68" i="30" s="1"/>
  <c r="G88" i="30" s="1"/>
  <c r="C67" i="30"/>
  <c r="C68" i="30" s="1"/>
  <c r="K67" i="30"/>
  <c r="K68" i="30" s="1"/>
  <c r="K88" i="30" s="1"/>
  <c r="D67" i="30"/>
  <c r="D68" i="30" s="1"/>
  <c r="D88" i="30" s="1"/>
  <c r="L67" i="30"/>
  <c r="L68" i="30" s="1"/>
  <c r="L88" i="30" s="1"/>
  <c r="H67" i="30"/>
  <c r="H68" i="30" s="1"/>
  <c r="H88" i="30" s="1"/>
  <c r="I67" i="30"/>
  <c r="I68" i="30" s="1"/>
  <c r="I88" i="30" s="1"/>
  <c r="E67" i="30"/>
  <c r="E68" i="30" s="1"/>
  <c r="E88" i="30" s="1"/>
  <c r="M67" i="30"/>
  <c r="M68" i="30" s="1"/>
  <c r="M88" i="30" s="1"/>
  <c r="F67" i="30"/>
  <c r="F68" i="30" s="1"/>
  <c r="F88" i="30" s="1"/>
  <c r="N67" i="30"/>
  <c r="N68" i="30" s="1"/>
  <c r="N88" i="30" s="1"/>
  <c r="G7" i="42"/>
  <c r="H7" i="42" s="1"/>
  <c r="I4" i="27"/>
  <c r="F94" i="3"/>
  <c r="F95" i="3" s="1"/>
  <c r="N94" i="3"/>
  <c r="N95" i="3" s="1"/>
  <c r="M94" i="3"/>
  <c r="M95" i="3" s="1"/>
  <c r="G94" i="3"/>
  <c r="G95" i="3" s="1"/>
  <c r="C94" i="3"/>
  <c r="C95" i="3" s="1"/>
  <c r="D94" i="3"/>
  <c r="D95" i="3" s="1"/>
  <c r="H94" i="3"/>
  <c r="H95" i="3" s="1"/>
  <c r="E94" i="3"/>
  <c r="E95" i="3" s="1"/>
  <c r="I94" i="3"/>
  <c r="I95" i="3" s="1"/>
  <c r="J94" i="3"/>
  <c r="J95" i="3" s="1"/>
  <c r="K94" i="3"/>
  <c r="K95" i="3" s="1"/>
  <c r="L94" i="3"/>
  <c r="L95" i="3" s="1"/>
  <c r="J3" i="36"/>
  <c r="G99" i="30"/>
  <c r="C99" i="30"/>
  <c r="N99" i="30"/>
  <c r="H99" i="30"/>
  <c r="F99" i="30"/>
  <c r="I99" i="30"/>
  <c r="L99" i="30"/>
  <c r="J99" i="30"/>
  <c r="D99" i="30"/>
  <c r="E99" i="30"/>
  <c r="K99" i="30"/>
  <c r="M99" i="30"/>
  <c r="J11" i="36"/>
  <c r="J6" i="36"/>
  <c r="G9" i="42"/>
  <c r="H9" i="42" s="1"/>
  <c r="I6" i="27"/>
  <c r="J13" i="36"/>
  <c r="P2" i="27"/>
  <c r="G16" i="42"/>
  <c r="H16" i="42" s="1"/>
  <c r="H14" i="27"/>
  <c r="I13" i="27"/>
  <c r="E13" i="36" s="1"/>
  <c r="J14" i="36" s="1"/>
  <c r="M12" i="27"/>
  <c r="J21" i="38"/>
  <c r="J38" i="38"/>
  <c r="J18" i="38"/>
  <c r="J30" i="38"/>
  <c r="J14" i="38"/>
  <c r="J34" i="38"/>
  <c r="J22" i="38"/>
  <c r="J20" i="38"/>
  <c r="J29" i="38"/>
  <c r="J10" i="38"/>
  <c r="J6" i="38"/>
  <c r="J7" i="38"/>
  <c r="J4" i="38"/>
  <c r="J9" i="38"/>
  <c r="J15" i="38"/>
  <c r="J12" i="38"/>
  <c r="J5" i="38"/>
  <c r="J19" i="38"/>
  <c r="J31" i="38"/>
  <c r="J37" i="38"/>
  <c r="J28" i="38"/>
  <c r="J26" i="38"/>
  <c r="J2" i="38"/>
  <c r="J25" i="38"/>
  <c r="J13" i="38"/>
  <c r="J27" i="38"/>
  <c r="J11" i="38"/>
  <c r="J39" i="38"/>
  <c r="J40" i="38"/>
  <c r="J23" i="38"/>
  <c r="J8" i="38"/>
  <c r="J36" i="38"/>
  <c r="J24" i="38"/>
  <c r="J32" i="38"/>
  <c r="J33" i="38"/>
  <c r="J35" i="38"/>
  <c r="J17" i="38"/>
  <c r="J3" i="38"/>
  <c r="J16" i="38"/>
  <c r="J4" i="36"/>
  <c r="F7" i="41"/>
  <c r="G7" i="41" s="1"/>
  <c r="H7" i="41" s="1"/>
  <c r="G8" i="40"/>
  <c r="H8" i="40" s="1"/>
  <c r="O12" i="44"/>
  <c r="G297" i="35"/>
  <c r="H297" i="35"/>
  <c r="I297" i="35"/>
  <c r="J297" i="35"/>
  <c r="K297" i="35"/>
  <c r="E297" i="35"/>
  <c r="M297" i="35"/>
  <c r="F297" i="35"/>
  <c r="N297" i="35"/>
  <c r="D297" i="35"/>
  <c r="L297" i="35"/>
  <c r="O166" i="31"/>
  <c r="C201" i="31"/>
  <c r="I39" i="42"/>
  <c r="E50" i="35"/>
  <c r="E83" i="35" s="1"/>
  <c r="E116" i="35" s="1"/>
  <c r="E149" i="35" s="1"/>
  <c r="E181" i="35" s="1"/>
  <c r="E213" i="35" s="1"/>
  <c r="E245" i="35" s="1"/>
  <c r="E277" i="35" s="1"/>
  <c r="E309" i="35" s="1"/>
  <c r="E341" i="35" s="1"/>
  <c r="E373" i="35" s="1"/>
  <c r="E405" i="35" s="1"/>
  <c r="E437" i="35" s="1"/>
  <c r="E469" i="35" s="1"/>
  <c r="E501" i="35" s="1"/>
  <c r="E533" i="35" s="1"/>
  <c r="E565" i="35" s="1"/>
  <c r="E597" i="35" s="1"/>
  <c r="E629" i="35" s="1"/>
  <c r="E661" i="35" s="1"/>
  <c r="E693" i="35" s="1"/>
  <c r="E725" i="35" s="1"/>
  <c r="E757" i="35" s="1"/>
  <c r="E789" i="35" s="1"/>
  <c r="E821" i="35" s="1"/>
  <c r="E853" i="35" s="1"/>
  <c r="L50" i="35"/>
  <c r="L83" i="35" s="1"/>
  <c r="L116" i="35" s="1"/>
  <c r="L149" i="35" s="1"/>
  <c r="L181" i="35" s="1"/>
  <c r="L213" i="35" s="1"/>
  <c r="L245" i="35" s="1"/>
  <c r="L277" i="35" s="1"/>
  <c r="L309" i="35" s="1"/>
  <c r="L341" i="35" s="1"/>
  <c r="L373" i="35" s="1"/>
  <c r="L405" i="35" s="1"/>
  <c r="L437" i="35" s="1"/>
  <c r="L469" i="35" s="1"/>
  <c r="L501" i="35" s="1"/>
  <c r="L533" i="35" s="1"/>
  <c r="L565" i="35" s="1"/>
  <c r="L597" i="35" s="1"/>
  <c r="L629" i="35" s="1"/>
  <c r="L661" i="35" s="1"/>
  <c r="L693" i="35" s="1"/>
  <c r="L725" i="35" s="1"/>
  <c r="L757" i="35" s="1"/>
  <c r="L789" i="35" s="1"/>
  <c r="L821" i="35" s="1"/>
  <c r="L853" i="35" s="1"/>
  <c r="O125" i="33"/>
  <c r="C161" i="33"/>
  <c r="I148" i="35"/>
  <c r="C190" i="31"/>
  <c r="E55" i="34"/>
  <c r="E58" i="33"/>
  <c r="E94" i="33" s="1"/>
  <c r="E130" i="33" s="1"/>
  <c r="E166" i="33" s="1"/>
  <c r="E202" i="33" s="1"/>
  <c r="E238" i="33" s="1"/>
  <c r="E274" i="33" s="1"/>
  <c r="E310" i="33" s="1"/>
  <c r="E345" i="33" s="1"/>
  <c r="E380" i="33" s="1"/>
  <c r="E415" i="33" s="1"/>
  <c r="E21" i="34" s="1"/>
  <c r="I150" i="31"/>
  <c r="I185" i="31" s="1"/>
  <c r="I11" i="32" s="1"/>
  <c r="N189" i="34"/>
  <c r="N19" i="35" s="1"/>
  <c r="N52" i="35" s="1"/>
  <c r="N85" i="35" s="1"/>
  <c r="N118" i="35" s="1"/>
  <c r="N151" i="35" s="1"/>
  <c r="N183" i="35" s="1"/>
  <c r="N215" i="35" s="1"/>
  <c r="N247" i="35" s="1"/>
  <c r="N279" i="35" s="1"/>
  <c r="N311" i="35" s="1"/>
  <c r="N343" i="35" s="1"/>
  <c r="N375" i="35" s="1"/>
  <c r="N407" i="35" s="1"/>
  <c r="N439" i="35" s="1"/>
  <c r="N471" i="35" s="1"/>
  <c r="N503" i="35" s="1"/>
  <c r="N535" i="35" s="1"/>
  <c r="N567" i="35" s="1"/>
  <c r="N599" i="35" s="1"/>
  <c r="N631" i="35" s="1"/>
  <c r="N663" i="35" s="1"/>
  <c r="N695" i="35" s="1"/>
  <c r="N727" i="35" s="1"/>
  <c r="N759" i="35" s="1"/>
  <c r="N791" i="35" s="1"/>
  <c r="N823" i="35" s="1"/>
  <c r="N855" i="35" s="1"/>
  <c r="N198" i="33"/>
  <c r="N234" i="33" s="1"/>
  <c r="N270" i="33" s="1"/>
  <c r="N306" i="33" s="1"/>
  <c r="N342" i="33" s="1"/>
  <c r="N377" i="33" s="1"/>
  <c r="N412" i="33" s="1"/>
  <c r="N18" i="34" s="1"/>
  <c r="N52" i="34" s="1"/>
  <c r="N86" i="34" s="1"/>
  <c r="N120" i="34" s="1"/>
  <c r="N154" i="34" s="1"/>
  <c r="N187" i="34" s="1"/>
  <c r="N17" i="35" s="1"/>
  <c r="F45" i="31"/>
  <c r="F12" i="31"/>
  <c r="M181" i="34"/>
  <c r="M11" i="35" s="1"/>
  <c r="M44" i="35" s="1"/>
  <c r="M77" i="35" s="1"/>
  <c r="M110" i="35" s="1"/>
  <c r="M143" i="35" s="1"/>
  <c r="M175" i="35" s="1"/>
  <c r="M207" i="35" s="1"/>
  <c r="M239" i="35" s="1"/>
  <c r="M271" i="35" s="1"/>
  <c r="M303" i="35" s="1"/>
  <c r="M335" i="35" s="1"/>
  <c r="M367" i="35" s="1"/>
  <c r="M399" i="35" s="1"/>
  <c r="M431" i="35" s="1"/>
  <c r="M463" i="35" s="1"/>
  <c r="M495" i="35" s="1"/>
  <c r="M527" i="35" s="1"/>
  <c r="M559" i="35" s="1"/>
  <c r="M591" i="35" s="1"/>
  <c r="M623" i="35" s="1"/>
  <c r="M655" i="35" s="1"/>
  <c r="M687" i="35" s="1"/>
  <c r="M719" i="35" s="1"/>
  <c r="M751" i="35" s="1"/>
  <c r="M783" i="35" s="1"/>
  <c r="M815" i="35" s="1"/>
  <c r="M847" i="35" s="1"/>
  <c r="G47" i="33"/>
  <c r="G83" i="33" s="1"/>
  <c r="G119" i="33" s="1"/>
  <c r="G155" i="33" s="1"/>
  <c r="G191" i="33" s="1"/>
  <c r="G227" i="33" s="1"/>
  <c r="G263" i="33" s="1"/>
  <c r="G299" i="33" s="1"/>
  <c r="G335" i="33" s="1"/>
  <c r="G370" i="33" s="1"/>
  <c r="G405" i="33" s="1"/>
  <c r="G11" i="34" s="1"/>
  <c r="G45" i="34" s="1"/>
  <c r="G79" i="34" s="1"/>
  <c r="D121" i="31"/>
  <c r="O86" i="31"/>
  <c r="O160" i="31"/>
  <c r="C195" i="31"/>
  <c r="D164" i="3"/>
  <c r="D173" i="3" s="1"/>
  <c r="D10" i="30"/>
  <c r="I164" i="3"/>
  <c r="I173" i="3" s="1"/>
  <c r="I9" i="30"/>
  <c r="H107" i="30"/>
  <c r="H10" i="31"/>
  <c r="O52" i="31"/>
  <c r="E164" i="3"/>
  <c r="E173" i="3" s="1"/>
  <c r="E10" i="30"/>
  <c r="L11" i="31"/>
  <c r="L46" i="31" s="1"/>
  <c r="L80" i="31" s="1"/>
  <c r="L115" i="31" s="1"/>
  <c r="L150" i="31" s="1"/>
  <c r="L185" i="31" s="1"/>
  <c r="L11" i="32" s="1"/>
  <c r="L46" i="32" s="1"/>
  <c r="L11" i="33" s="1"/>
  <c r="L47" i="33" s="1"/>
  <c r="L83" i="33" s="1"/>
  <c r="L119" i="33" s="1"/>
  <c r="L155" i="33" s="1"/>
  <c r="L191" i="33" s="1"/>
  <c r="L227" i="33" s="1"/>
  <c r="L263" i="33" s="1"/>
  <c r="L299" i="33" s="1"/>
  <c r="C54" i="32"/>
  <c r="F146" i="35"/>
  <c r="N92" i="33"/>
  <c r="N128" i="33" s="1"/>
  <c r="N164" i="33" s="1"/>
  <c r="N200" i="33" s="1"/>
  <c r="N236" i="33" s="1"/>
  <c r="N272" i="33" s="1"/>
  <c r="N308" i="33" s="1"/>
  <c r="N344" i="33" s="1"/>
  <c r="N379" i="33" s="1"/>
  <c r="N414" i="33" s="1"/>
  <c r="N20" i="34" s="1"/>
  <c r="N89" i="34"/>
  <c r="G164" i="3"/>
  <c r="G173" i="3" s="1"/>
  <c r="G9" i="30"/>
  <c r="O111" i="30"/>
  <c r="I45" i="31"/>
  <c r="I12" i="31"/>
  <c r="C189" i="31"/>
  <c r="G311" i="35"/>
  <c r="G343" i="35" s="1"/>
  <c r="G375" i="35" s="1"/>
  <c r="G407" i="35" s="1"/>
  <c r="G439" i="35" s="1"/>
  <c r="G471" i="35" s="1"/>
  <c r="G503" i="35" s="1"/>
  <c r="G535" i="35" s="1"/>
  <c r="G567" i="35" s="1"/>
  <c r="G599" i="35" s="1"/>
  <c r="G631" i="35" s="1"/>
  <c r="G663" i="35" s="1"/>
  <c r="G695" i="35" s="1"/>
  <c r="G727" i="35" s="1"/>
  <c r="E850" i="35"/>
  <c r="E147" i="34"/>
  <c r="O125" i="31"/>
  <c r="C191" i="31"/>
  <c r="K143" i="35"/>
  <c r="K175" i="35" s="1"/>
  <c r="K207" i="35" s="1"/>
  <c r="K239" i="35" s="1"/>
  <c r="K271" i="35" s="1"/>
  <c r="K303" i="35" s="1"/>
  <c r="H164" i="3"/>
  <c r="H173" i="3" s="1"/>
  <c r="H9" i="30"/>
  <c r="G12" i="31"/>
  <c r="G45" i="31"/>
  <c r="N164" i="3"/>
  <c r="N173" i="3" s="1"/>
  <c r="N9" i="30"/>
  <c r="K45" i="31"/>
  <c r="K12" i="31"/>
  <c r="D89" i="34"/>
  <c r="D92" i="33"/>
  <c r="D128" i="33" s="1"/>
  <c r="D164" i="33" s="1"/>
  <c r="D200" i="33" s="1"/>
  <c r="D236" i="33" s="1"/>
  <c r="D272" i="33" s="1"/>
  <c r="D308" i="33" s="1"/>
  <c r="D344" i="33" s="1"/>
  <c r="D379" i="33" s="1"/>
  <c r="D414" i="33" s="1"/>
  <c r="D20" i="34" s="1"/>
  <c r="G54" i="34"/>
  <c r="G88" i="34" s="1"/>
  <c r="G56" i="33"/>
  <c r="C49" i="32"/>
  <c r="O14" i="32"/>
  <c r="E54" i="34"/>
  <c r="E88" i="34" s="1"/>
  <c r="E56" i="33"/>
  <c r="C185" i="31"/>
  <c r="H189" i="34"/>
  <c r="H19" i="35" s="1"/>
  <c r="H52" i="35" s="1"/>
  <c r="H85" i="35" s="1"/>
  <c r="H118" i="35" s="1"/>
  <c r="H151" i="35" s="1"/>
  <c r="H183" i="35" s="1"/>
  <c r="H215" i="35" s="1"/>
  <c r="H247" i="35" s="1"/>
  <c r="H279" i="35" s="1"/>
  <c r="H311" i="35" s="1"/>
  <c r="H343" i="35" s="1"/>
  <c r="H375" i="35" s="1"/>
  <c r="H407" i="35" s="1"/>
  <c r="H439" i="35" s="1"/>
  <c r="H471" i="35" s="1"/>
  <c r="H503" i="35" s="1"/>
  <c r="H535" i="35" s="1"/>
  <c r="H567" i="35" s="1"/>
  <c r="H599" i="35" s="1"/>
  <c r="H631" i="35" s="1"/>
  <c r="H663" i="35" s="1"/>
  <c r="H695" i="35" s="1"/>
  <c r="H727" i="35" s="1"/>
  <c r="H759" i="35" s="1"/>
  <c r="H791" i="35" s="1"/>
  <c r="H823" i="35" s="1"/>
  <c r="H855" i="35" s="1"/>
  <c r="H198" i="33"/>
  <c r="H234" i="33" s="1"/>
  <c r="H270" i="33" s="1"/>
  <c r="H306" i="33" s="1"/>
  <c r="H342" i="33" s="1"/>
  <c r="H377" i="33" s="1"/>
  <c r="H412" i="33" s="1"/>
  <c r="H18" i="34" s="1"/>
  <c r="H52" i="34" s="1"/>
  <c r="H86" i="34" s="1"/>
  <c r="H120" i="34" s="1"/>
  <c r="H154" i="34" s="1"/>
  <c r="H187" i="34" s="1"/>
  <c r="H17" i="35" s="1"/>
  <c r="M164" i="3"/>
  <c r="M173" i="3" s="1"/>
  <c r="M10" i="30"/>
  <c r="E50" i="31"/>
  <c r="O15" i="31"/>
  <c r="F40" i="30"/>
  <c r="F12" i="30"/>
  <c r="L164" i="3"/>
  <c r="L173" i="3" s="1"/>
  <c r="L10" i="30"/>
  <c r="D46" i="31"/>
  <c r="H51" i="31"/>
  <c r="O16" i="31"/>
  <c r="J189" i="34"/>
  <c r="J19" i="35" s="1"/>
  <c r="J52" i="35" s="1"/>
  <c r="J85" i="35" s="1"/>
  <c r="J118" i="35" s="1"/>
  <c r="J151" i="35" s="1"/>
  <c r="J183" i="35" s="1"/>
  <c r="J215" i="35" s="1"/>
  <c r="J247" i="35" s="1"/>
  <c r="J279" i="35" s="1"/>
  <c r="J311" i="35" s="1"/>
  <c r="J343" i="35" s="1"/>
  <c r="J375" i="35" s="1"/>
  <c r="J407" i="35" s="1"/>
  <c r="J439" i="35" s="1"/>
  <c r="J471" i="35" s="1"/>
  <c r="J503" i="35" s="1"/>
  <c r="J535" i="35" s="1"/>
  <c r="J567" i="35" s="1"/>
  <c r="J599" i="35" s="1"/>
  <c r="J631" i="35" s="1"/>
  <c r="J663" i="35" s="1"/>
  <c r="J695" i="35" s="1"/>
  <c r="J727" i="35" s="1"/>
  <c r="J759" i="35" s="1"/>
  <c r="J791" i="35" s="1"/>
  <c r="J823" i="35" s="1"/>
  <c r="J855" i="35" s="1"/>
  <c r="J198" i="33"/>
  <c r="J234" i="33" s="1"/>
  <c r="J270" i="33" s="1"/>
  <c r="J306" i="33" s="1"/>
  <c r="J342" i="33" s="1"/>
  <c r="J377" i="33" s="1"/>
  <c r="J412" i="33" s="1"/>
  <c r="J18" i="34" s="1"/>
  <c r="J52" i="34" s="1"/>
  <c r="J86" i="34" s="1"/>
  <c r="J120" i="34" s="1"/>
  <c r="J154" i="34" s="1"/>
  <c r="J187" i="34" s="1"/>
  <c r="J17" i="35" s="1"/>
  <c r="E183" i="35"/>
  <c r="E215" i="35" s="1"/>
  <c r="O17" i="31"/>
  <c r="N178" i="35"/>
  <c r="K180" i="35"/>
  <c r="F54" i="31"/>
  <c r="O19" i="31"/>
  <c r="M147" i="35"/>
  <c r="N45" i="31"/>
  <c r="N12" i="31"/>
  <c r="C41" i="30"/>
  <c r="I54" i="34"/>
  <c r="I88" i="34" s="1"/>
  <c r="I56" i="33"/>
  <c r="F189" i="34"/>
  <c r="F19" i="35" s="1"/>
  <c r="F52" i="35" s="1"/>
  <c r="F85" i="35" s="1"/>
  <c r="F118" i="35" s="1"/>
  <c r="F151" i="35" s="1"/>
  <c r="F183" i="35" s="1"/>
  <c r="F215" i="35" s="1"/>
  <c r="F247" i="35" s="1"/>
  <c r="F279" i="35" s="1"/>
  <c r="F311" i="35" s="1"/>
  <c r="F343" i="35" s="1"/>
  <c r="F375" i="35" s="1"/>
  <c r="F407" i="35" s="1"/>
  <c r="F439" i="35" s="1"/>
  <c r="F471" i="35" s="1"/>
  <c r="F503" i="35" s="1"/>
  <c r="F535" i="35" s="1"/>
  <c r="F567" i="35" s="1"/>
  <c r="F599" i="35" s="1"/>
  <c r="F631" i="35" s="1"/>
  <c r="F663" i="35" s="1"/>
  <c r="F695" i="35" s="1"/>
  <c r="F727" i="35" s="1"/>
  <c r="F759" i="35" s="1"/>
  <c r="F791" i="35" s="1"/>
  <c r="F823" i="35" s="1"/>
  <c r="F855" i="35" s="1"/>
  <c r="F198" i="33"/>
  <c r="F234" i="33" s="1"/>
  <c r="F270" i="33" s="1"/>
  <c r="F306" i="33" s="1"/>
  <c r="F342" i="33" s="1"/>
  <c r="F377" i="33" s="1"/>
  <c r="F412" i="33" s="1"/>
  <c r="F18" i="34" s="1"/>
  <c r="F52" i="34" s="1"/>
  <c r="F86" i="34" s="1"/>
  <c r="F120" i="34" s="1"/>
  <c r="F154" i="34" s="1"/>
  <c r="F187" i="34" s="1"/>
  <c r="F17" i="35" s="1"/>
  <c r="J80" i="31"/>
  <c r="J115" i="31" s="1"/>
  <c r="J150" i="31" s="1"/>
  <c r="J185" i="31" s="1"/>
  <c r="J11" i="32" s="1"/>
  <c r="J46" i="32" s="1"/>
  <c r="J11" i="33" s="1"/>
  <c r="J47" i="33" s="1"/>
  <c r="J83" i="33" s="1"/>
  <c r="J119" i="33" s="1"/>
  <c r="J155" i="33" s="1"/>
  <c r="J191" i="33" s="1"/>
  <c r="J227" i="33" s="1"/>
  <c r="J263" i="33" s="1"/>
  <c r="J299" i="33" s="1"/>
  <c r="J335" i="33" s="1"/>
  <c r="J370" i="33" s="1"/>
  <c r="J405" i="33" s="1"/>
  <c r="J11" i="34" s="1"/>
  <c r="J45" i="34" s="1"/>
  <c r="J79" i="34" s="1"/>
  <c r="J113" i="34" s="1"/>
  <c r="J147" i="34" s="1"/>
  <c r="J181" i="34" s="1"/>
  <c r="J11" i="35" s="1"/>
  <c r="J44" i="35" s="1"/>
  <c r="J77" i="35" s="1"/>
  <c r="J110" i="35" s="1"/>
  <c r="H495" i="35"/>
  <c r="H527" i="35" s="1"/>
  <c r="H559" i="35" s="1"/>
  <c r="H591" i="35" s="1"/>
  <c r="H623" i="35" s="1"/>
  <c r="H655" i="35" s="1"/>
  <c r="H687" i="35" s="1"/>
  <c r="H719" i="35" s="1"/>
  <c r="H751" i="35" s="1"/>
  <c r="H783" i="35" s="1"/>
  <c r="H815" i="35" s="1"/>
  <c r="H847" i="35" s="1"/>
  <c r="J40" i="30"/>
  <c r="J12" i="30"/>
  <c r="O90" i="31"/>
  <c r="O105" i="35"/>
  <c r="D100" i="30"/>
  <c r="D101" i="30" s="1"/>
  <c r="E100" i="30"/>
  <c r="M100" i="30"/>
  <c r="M101" i="30" s="1"/>
  <c r="F100" i="30"/>
  <c r="F101" i="30" s="1"/>
  <c r="N100" i="30"/>
  <c r="N101" i="30" s="1"/>
  <c r="G100" i="30"/>
  <c r="C100" i="30"/>
  <c r="H100" i="30"/>
  <c r="H101" i="30" s="1"/>
  <c r="I100" i="30"/>
  <c r="I101" i="30" s="1"/>
  <c r="L100" i="30"/>
  <c r="L101" i="30" s="1"/>
  <c r="J100" i="30"/>
  <c r="K100" i="30"/>
  <c r="K101" i="30" s="1"/>
  <c r="O110" i="30"/>
  <c r="J105" i="30"/>
  <c r="J10" i="31" s="1"/>
  <c r="K84" i="30"/>
  <c r="K107" i="30"/>
  <c r="F107" i="30"/>
  <c r="O83" i="30"/>
  <c r="O114" i="30"/>
  <c r="N107" i="30"/>
  <c r="O112" i="30"/>
  <c r="O74" i="30"/>
  <c r="O110" i="3"/>
  <c r="F164" i="3"/>
  <c r="F173" i="3" s="1"/>
  <c r="O161" i="3"/>
  <c r="C129" i="3"/>
  <c r="C102" i="3"/>
  <c r="C111" i="3" s="1"/>
  <c r="O98" i="3"/>
  <c r="O172" i="3"/>
  <c r="C50" i="3"/>
  <c r="O162" i="3"/>
  <c r="G107" i="30"/>
  <c r="O51" i="30"/>
  <c r="O109" i="30"/>
  <c r="O115" i="30"/>
  <c r="K20" i="3"/>
  <c r="K21" i="3" s="1"/>
  <c r="C20" i="3"/>
  <c r="E20" i="3"/>
  <c r="E21" i="3" s="1"/>
  <c r="J20" i="3"/>
  <c r="J21" i="3" s="1"/>
  <c r="H20" i="3"/>
  <c r="H21" i="3" s="1"/>
  <c r="D20" i="3"/>
  <c r="D21" i="3" s="1"/>
  <c r="F20" i="3"/>
  <c r="F21" i="3" s="1"/>
  <c r="L20" i="3"/>
  <c r="L21" i="3" s="1"/>
  <c r="N20" i="3"/>
  <c r="N21" i="3" s="1"/>
  <c r="M20" i="3"/>
  <c r="M21" i="3" s="1"/>
  <c r="G20" i="3"/>
  <c r="G21" i="3" s="1"/>
  <c r="I20" i="3"/>
  <c r="I21" i="3" s="1"/>
  <c r="M13" i="28"/>
  <c r="J14" i="28"/>
  <c r="I15" i="28"/>
  <c r="N3" i="27"/>
  <c r="O3" i="27" s="1"/>
  <c r="P3" i="27" s="1"/>
  <c r="M3" i="27"/>
  <c r="M2" i="27"/>
  <c r="P7" i="27"/>
  <c r="M7" i="27"/>
  <c r="J13" i="27"/>
  <c r="M13" i="27" s="1"/>
  <c r="Q33" i="62" l="1"/>
  <c r="D34" i="62" s="1"/>
  <c r="N34" i="62" s="1" a="1"/>
  <c r="N34" i="62" s="1"/>
  <c r="I34" i="63" a="1"/>
  <c r="I34" i="63" s="1"/>
  <c r="E34" i="63" a="1"/>
  <c r="E34" i="63" s="1"/>
  <c r="N34" i="63" a="1"/>
  <c r="N34" i="63" s="1"/>
  <c r="K34" i="63" a="1"/>
  <c r="K34" i="63" s="1"/>
  <c r="E4" i="36"/>
  <c r="J5" i="36" s="1"/>
  <c r="J4" i="27"/>
  <c r="M4" i="27" s="1"/>
  <c r="G101" i="30"/>
  <c r="O95" i="3"/>
  <c r="O68" i="30"/>
  <c r="C88" i="30"/>
  <c r="C101" i="30"/>
  <c r="C113" i="30" s="1"/>
  <c r="C116" i="30" s="1"/>
  <c r="C117" i="30" s="1"/>
  <c r="N13" i="27"/>
  <c r="O13" i="27" s="1"/>
  <c r="P13" i="27" s="1"/>
  <c r="J41" i="38"/>
  <c r="K4" i="31"/>
  <c r="K6" i="31" s="1"/>
  <c r="K18" i="31" s="1"/>
  <c r="K21" i="31" s="1"/>
  <c r="I4" i="31"/>
  <c r="I6" i="31" s="1"/>
  <c r="I18" i="31" s="1"/>
  <c r="I21" i="31" s="1"/>
  <c r="D4" i="31"/>
  <c r="D6" i="31" s="1"/>
  <c r="D18" i="31" s="1"/>
  <c r="D21" i="31" s="1"/>
  <c r="L4" i="31"/>
  <c r="L6" i="31" s="1"/>
  <c r="L18" i="31" s="1"/>
  <c r="L21" i="31" s="1"/>
  <c r="E4" i="31"/>
  <c r="E6" i="31" s="1"/>
  <c r="E18" i="31" s="1"/>
  <c r="E21" i="31" s="1"/>
  <c r="M4" i="31"/>
  <c r="M6" i="31" s="1"/>
  <c r="M18" i="31" s="1"/>
  <c r="M21" i="31" s="1"/>
  <c r="J4" i="31"/>
  <c r="J6" i="31" s="1"/>
  <c r="J18" i="31" s="1"/>
  <c r="J21" i="31" s="1"/>
  <c r="F4" i="31"/>
  <c r="F6" i="31" s="1"/>
  <c r="F18" i="31" s="1"/>
  <c r="F21" i="31" s="1"/>
  <c r="N4" i="31"/>
  <c r="N6" i="31" s="1"/>
  <c r="N18" i="31" s="1"/>
  <c r="N21" i="31" s="1"/>
  <c r="G4" i="31"/>
  <c r="G6" i="31" s="1"/>
  <c r="G18" i="31" s="1"/>
  <c r="G21" i="31" s="1"/>
  <c r="C4" i="31"/>
  <c r="C6" i="31" s="1"/>
  <c r="H4" i="31"/>
  <c r="H6" i="31" s="1"/>
  <c r="H18" i="31" s="1"/>
  <c r="H21" i="31" s="1"/>
  <c r="E6" i="36"/>
  <c r="J7" i="36" s="1"/>
  <c r="J6" i="27"/>
  <c r="M6" i="27" s="1"/>
  <c r="E34" i="3"/>
  <c r="E35" i="3" s="1"/>
  <c r="M34" i="3"/>
  <c r="M35" i="3" s="1"/>
  <c r="N34" i="3"/>
  <c r="N35" i="3" s="1"/>
  <c r="G34" i="3"/>
  <c r="G35" i="3" s="1"/>
  <c r="C34" i="3"/>
  <c r="C35" i="3" s="1"/>
  <c r="J34" i="3"/>
  <c r="J35" i="3" s="1"/>
  <c r="L34" i="3"/>
  <c r="L35" i="3" s="1"/>
  <c r="F34" i="3"/>
  <c r="F35" i="3" s="1"/>
  <c r="I34" i="3"/>
  <c r="I35" i="3" s="1"/>
  <c r="H34" i="3"/>
  <c r="H35" i="3" s="1"/>
  <c r="D34" i="3"/>
  <c r="D35" i="3" s="1"/>
  <c r="K34" i="3"/>
  <c r="K35" i="3" s="1"/>
  <c r="G22" i="31"/>
  <c r="H15" i="27"/>
  <c r="G17" i="42"/>
  <c r="H17" i="42" s="1"/>
  <c r="I14" i="27"/>
  <c r="N4" i="27"/>
  <c r="O4" i="27" s="1"/>
  <c r="P4" i="27" s="1"/>
  <c r="J101" i="30"/>
  <c r="E8" i="36"/>
  <c r="J9" i="36" s="1"/>
  <c r="J8" i="27"/>
  <c r="I156" i="3"/>
  <c r="I157" i="3" s="1"/>
  <c r="J156" i="3"/>
  <c r="J157" i="3" s="1"/>
  <c r="K156" i="3"/>
  <c r="K157" i="3" s="1"/>
  <c r="C156" i="3"/>
  <c r="C157" i="3" s="1"/>
  <c r="O157" i="3" s="1"/>
  <c r="F156" i="3"/>
  <c r="F157" i="3" s="1"/>
  <c r="H156" i="3"/>
  <c r="H157" i="3" s="1"/>
  <c r="D156" i="3"/>
  <c r="D157" i="3" s="1"/>
  <c r="L156" i="3"/>
  <c r="L157" i="3" s="1"/>
  <c r="N156" i="3"/>
  <c r="N157" i="3" s="1"/>
  <c r="G156" i="3"/>
  <c r="G157" i="3" s="1"/>
  <c r="E156" i="3"/>
  <c r="E157" i="3" s="1"/>
  <c r="M156" i="3"/>
  <c r="M157" i="3" s="1"/>
  <c r="E101" i="30"/>
  <c r="K4" i="3"/>
  <c r="K5" i="3" s="1"/>
  <c r="D4" i="3"/>
  <c r="D5" i="3" s="1"/>
  <c r="E4" i="3"/>
  <c r="E5" i="3" s="1"/>
  <c r="M4" i="3"/>
  <c r="M5" i="3" s="1"/>
  <c r="L4" i="3"/>
  <c r="L5" i="3" s="1"/>
  <c r="H4" i="3"/>
  <c r="H5" i="3" s="1"/>
  <c r="I4" i="3"/>
  <c r="I5" i="3" s="1"/>
  <c r="C4" i="3"/>
  <c r="C5" i="3" s="1"/>
  <c r="F4" i="3"/>
  <c r="F5" i="3" s="1"/>
  <c r="N4" i="3"/>
  <c r="N5" i="3" s="1"/>
  <c r="G4" i="3"/>
  <c r="G5" i="3" s="1"/>
  <c r="J4" i="3"/>
  <c r="J5" i="3" s="1"/>
  <c r="F8" i="41"/>
  <c r="G8" i="41" s="1"/>
  <c r="H8" i="41" s="1"/>
  <c r="G9" i="40"/>
  <c r="H9" i="40" s="1"/>
  <c r="O201" i="31"/>
  <c r="C27" i="32"/>
  <c r="I38" i="42"/>
  <c r="N50" i="35"/>
  <c r="N83" i="35" s="1"/>
  <c r="N116" i="35" s="1"/>
  <c r="N149" i="35" s="1"/>
  <c r="N181" i="35" s="1"/>
  <c r="N213" i="35" s="1"/>
  <c r="N245" i="35" s="1"/>
  <c r="N277" i="35" s="1"/>
  <c r="N309" i="35" s="1"/>
  <c r="N341" i="35" s="1"/>
  <c r="N373" i="35" s="1"/>
  <c r="N405" i="35" s="1"/>
  <c r="N437" i="35" s="1"/>
  <c r="N469" i="35" s="1"/>
  <c r="N501" i="35" s="1"/>
  <c r="N533" i="35" s="1"/>
  <c r="N565" i="35" s="1"/>
  <c r="N597" i="35" s="1"/>
  <c r="N629" i="35" s="1"/>
  <c r="N661" i="35" s="1"/>
  <c r="N693" i="35" s="1"/>
  <c r="N725" i="35" s="1"/>
  <c r="N757" i="35" s="1"/>
  <c r="N789" i="35" s="1"/>
  <c r="N821" i="35" s="1"/>
  <c r="N853" i="35" s="1"/>
  <c r="H50" i="35"/>
  <c r="H83" i="35" s="1"/>
  <c r="H116" i="35" s="1"/>
  <c r="H149" i="35" s="1"/>
  <c r="H181" i="35" s="1"/>
  <c r="H213" i="35" s="1"/>
  <c r="H245" i="35" s="1"/>
  <c r="H277" i="35" s="1"/>
  <c r="H309" i="35" s="1"/>
  <c r="H341" i="35" s="1"/>
  <c r="H373" i="35" s="1"/>
  <c r="H405" i="35" s="1"/>
  <c r="H437" i="35" s="1"/>
  <c r="H469" i="35" s="1"/>
  <c r="H501" i="35" s="1"/>
  <c r="H533" i="35" s="1"/>
  <c r="H565" i="35" s="1"/>
  <c r="H597" i="35" s="1"/>
  <c r="H629" i="35" s="1"/>
  <c r="H661" i="35" s="1"/>
  <c r="H693" i="35" s="1"/>
  <c r="H725" i="35" s="1"/>
  <c r="H757" i="35" s="1"/>
  <c r="H789" i="35" s="1"/>
  <c r="H821" i="35" s="1"/>
  <c r="H853" i="35" s="1"/>
  <c r="J50" i="35"/>
  <c r="J83" i="35" s="1"/>
  <c r="J116" i="35" s="1"/>
  <c r="J149" i="35" s="1"/>
  <c r="J181" i="35" s="1"/>
  <c r="J213" i="35" s="1"/>
  <c r="J245" i="35" s="1"/>
  <c r="J277" i="35" s="1"/>
  <c r="J309" i="35" s="1"/>
  <c r="J341" i="35" s="1"/>
  <c r="J373" i="35" s="1"/>
  <c r="J405" i="35" s="1"/>
  <c r="J437" i="35" s="1"/>
  <c r="J469" i="35" s="1"/>
  <c r="J501" i="35" s="1"/>
  <c r="J533" i="35" s="1"/>
  <c r="J565" i="35" s="1"/>
  <c r="J597" i="35" s="1"/>
  <c r="J629" i="35" s="1"/>
  <c r="J661" i="35" s="1"/>
  <c r="J693" i="35" s="1"/>
  <c r="J725" i="35" s="1"/>
  <c r="J757" i="35" s="1"/>
  <c r="J789" i="35" s="1"/>
  <c r="J821" i="35" s="1"/>
  <c r="J853" i="35" s="1"/>
  <c r="F50" i="35"/>
  <c r="F83" i="35" s="1"/>
  <c r="F116" i="35" s="1"/>
  <c r="F149" i="35" s="1"/>
  <c r="F181" i="35" s="1"/>
  <c r="F213" i="35" s="1"/>
  <c r="F245" i="35" s="1"/>
  <c r="F277" i="35" s="1"/>
  <c r="F309" i="35" s="1"/>
  <c r="F341" i="35" s="1"/>
  <c r="F373" i="35" s="1"/>
  <c r="F405" i="35" s="1"/>
  <c r="F437" i="35" s="1"/>
  <c r="F469" i="35" s="1"/>
  <c r="F501" i="35" s="1"/>
  <c r="F533" i="35" s="1"/>
  <c r="F565" i="35" s="1"/>
  <c r="F597" i="35" s="1"/>
  <c r="F629" i="35" s="1"/>
  <c r="F661" i="35" s="1"/>
  <c r="F693" i="35" s="1"/>
  <c r="F725" i="35" s="1"/>
  <c r="F757" i="35" s="1"/>
  <c r="F789" i="35" s="1"/>
  <c r="F821" i="35" s="1"/>
  <c r="F853" i="35" s="1"/>
  <c r="K20" i="30"/>
  <c r="K21" i="30" s="1"/>
  <c r="J20" i="30"/>
  <c r="J21" i="30" s="1"/>
  <c r="E20" i="30"/>
  <c r="F20" i="30"/>
  <c r="F21" i="30" s="1"/>
  <c r="M20" i="30"/>
  <c r="I20" i="30"/>
  <c r="L20" i="30"/>
  <c r="N20" i="30"/>
  <c r="D20" i="30"/>
  <c r="H20" i="30"/>
  <c r="G20" i="30"/>
  <c r="G141" i="3"/>
  <c r="G142" i="3" s="1"/>
  <c r="N141" i="3"/>
  <c r="N142" i="3" s="1"/>
  <c r="J141" i="3"/>
  <c r="J142" i="3" s="1"/>
  <c r="M141" i="3"/>
  <c r="M142" i="3" s="1"/>
  <c r="E141" i="3"/>
  <c r="E142" i="3" s="1"/>
  <c r="L141" i="3"/>
  <c r="L142" i="3" s="1"/>
  <c r="F141" i="3"/>
  <c r="F142" i="3" s="1"/>
  <c r="I141" i="3"/>
  <c r="I142" i="3" s="1"/>
  <c r="H141" i="3"/>
  <c r="H142" i="3" s="1"/>
  <c r="D141" i="3"/>
  <c r="D142" i="3" s="1"/>
  <c r="K141" i="3"/>
  <c r="K142" i="3" s="1"/>
  <c r="I22" i="31"/>
  <c r="O161" i="33"/>
  <c r="C197" i="33"/>
  <c r="F22" i="31"/>
  <c r="O10" i="30"/>
  <c r="K22" i="31"/>
  <c r="M41" i="30"/>
  <c r="M12" i="30"/>
  <c r="I12" i="30"/>
  <c r="I40" i="30"/>
  <c r="I46" i="32"/>
  <c r="I11" i="33" s="1"/>
  <c r="I47" i="33" s="1"/>
  <c r="I83" i="33" s="1"/>
  <c r="I119" i="33" s="1"/>
  <c r="I155" i="33" s="1"/>
  <c r="I191" i="33" s="1"/>
  <c r="I227" i="33" s="1"/>
  <c r="I263" i="33" s="1"/>
  <c r="I299" i="33" s="1"/>
  <c r="I335" i="33" s="1"/>
  <c r="I370" i="33" s="1"/>
  <c r="I405" i="33" s="1"/>
  <c r="I11" i="34" s="1"/>
  <c r="I45" i="34" s="1"/>
  <c r="I79" i="34" s="1"/>
  <c r="I113" i="34" s="1"/>
  <c r="I147" i="34" s="1"/>
  <c r="I181" i="34" s="1"/>
  <c r="I11" i="35" s="1"/>
  <c r="I44" i="35" s="1"/>
  <c r="I77" i="35" s="1"/>
  <c r="I110" i="35" s="1"/>
  <c r="J45" i="31"/>
  <c r="J12" i="31"/>
  <c r="F89" i="31"/>
  <c r="O54" i="31"/>
  <c r="H85" i="31"/>
  <c r="O51" i="31"/>
  <c r="F72" i="30"/>
  <c r="F43" i="30"/>
  <c r="F52" i="30" s="1"/>
  <c r="G79" i="31"/>
  <c r="G47" i="31"/>
  <c r="C17" i="32"/>
  <c r="G759" i="35"/>
  <c r="G791" i="35" s="1"/>
  <c r="G823" i="35" s="1"/>
  <c r="I47" i="31"/>
  <c r="I79" i="31"/>
  <c r="E41" i="30"/>
  <c r="E12" i="30"/>
  <c r="D156" i="31"/>
  <c r="O121" i="31"/>
  <c r="D41" i="30"/>
  <c r="D12" i="30"/>
  <c r="I89" i="34"/>
  <c r="I92" i="33"/>
  <c r="I128" i="33" s="1"/>
  <c r="I164" i="33" s="1"/>
  <c r="I200" i="33" s="1"/>
  <c r="I236" i="33" s="1"/>
  <c r="I272" i="33" s="1"/>
  <c r="I308" i="33" s="1"/>
  <c r="I344" i="33" s="1"/>
  <c r="I379" i="33" s="1"/>
  <c r="I414" i="33" s="1"/>
  <c r="I20" i="34" s="1"/>
  <c r="K212" i="35"/>
  <c r="O11" i="31"/>
  <c r="G89" i="34"/>
  <c r="G92" i="33"/>
  <c r="G128" i="33" s="1"/>
  <c r="G164" i="33" s="1"/>
  <c r="G200" i="33" s="1"/>
  <c r="G236" i="33" s="1"/>
  <c r="G272" i="33" s="1"/>
  <c r="G308" i="33" s="1"/>
  <c r="G344" i="33" s="1"/>
  <c r="G379" i="33" s="1"/>
  <c r="G414" i="33" s="1"/>
  <c r="G20" i="34" s="1"/>
  <c r="C15" i="32"/>
  <c r="G40" i="30"/>
  <c r="G12" i="30"/>
  <c r="N47" i="31"/>
  <c r="N79" i="31"/>
  <c r="E247" i="35"/>
  <c r="O46" i="31"/>
  <c r="D80" i="31"/>
  <c r="C20" i="33"/>
  <c r="O195" i="31"/>
  <c r="C21" i="32"/>
  <c r="C16" i="32"/>
  <c r="C14" i="33"/>
  <c r="O49" i="32"/>
  <c r="F178" i="35"/>
  <c r="G113" i="34"/>
  <c r="H40" i="30"/>
  <c r="H12" i="30"/>
  <c r="J72" i="30"/>
  <c r="J75" i="30" s="1"/>
  <c r="J84" i="30" s="1"/>
  <c r="J43" i="30"/>
  <c r="J52" i="30" s="1"/>
  <c r="N210" i="35"/>
  <c r="N22" i="31"/>
  <c r="L41" i="30"/>
  <c r="L12" i="30"/>
  <c r="C11" i="32"/>
  <c r="C46" i="32" s="1"/>
  <c r="K335" i="35"/>
  <c r="K367" i="35" s="1"/>
  <c r="K399" i="35" s="1"/>
  <c r="K431" i="35" s="1"/>
  <c r="K463" i="35" s="1"/>
  <c r="K495" i="35" s="1"/>
  <c r="E181" i="34"/>
  <c r="E11" i="35" s="1"/>
  <c r="E44" i="35" s="1"/>
  <c r="E77" i="35" s="1"/>
  <c r="E110" i="35" s="1"/>
  <c r="E143" i="35" s="1"/>
  <c r="E175" i="35" s="1"/>
  <c r="E207" i="35" s="1"/>
  <c r="E239" i="35" s="1"/>
  <c r="E271" i="35" s="1"/>
  <c r="E303" i="35" s="1"/>
  <c r="E335" i="35" s="1"/>
  <c r="E367" i="35" s="1"/>
  <c r="E399" i="35" s="1"/>
  <c r="E431" i="35" s="1"/>
  <c r="E463" i="35" s="1"/>
  <c r="E495" i="35" s="1"/>
  <c r="E527" i="35" s="1"/>
  <c r="E559" i="35" s="1"/>
  <c r="E591" i="35" s="1"/>
  <c r="E623" i="35" s="1"/>
  <c r="E655" i="35" s="1"/>
  <c r="E687" i="35" s="1"/>
  <c r="E719" i="35" s="1"/>
  <c r="E751" i="35" s="1"/>
  <c r="E783" i="35" s="1"/>
  <c r="E815" i="35" s="1"/>
  <c r="E847" i="35" s="1"/>
  <c r="F47" i="31"/>
  <c r="F79" i="31"/>
  <c r="M179" i="35"/>
  <c r="K79" i="31"/>
  <c r="K47" i="31"/>
  <c r="L335" i="33"/>
  <c r="L370" i="33" s="1"/>
  <c r="L405" i="33" s="1"/>
  <c r="L11" i="34" s="1"/>
  <c r="L45" i="34" s="1"/>
  <c r="L79" i="34" s="1"/>
  <c r="L113" i="34" s="1"/>
  <c r="L147" i="34" s="1"/>
  <c r="L181" i="34" s="1"/>
  <c r="L11" i="35" s="1"/>
  <c r="L44" i="35" s="1"/>
  <c r="L77" i="35" s="1"/>
  <c r="H12" i="31"/>
  <c r="H22" i="31" s="1"/>
  <c r="H45" i="31"/>
  <c r="J143" i="35"/>
  <c r="J175" i="35" s="1"/>
  <c r="J207" i="35" s="1"/>
  <c r="J239" i="35" s="1"/>
  <c r="J271" i="35" s="1"/>
  <c r="J303" i="35" s="1"/>
  <c r="J335" i="35" s="1"/>
  <c r="J367" i="35" s="1"/>
  <c r="J399" i="35" s="1"/>
  <c r="J431" i="35" s="1"/>
  <c r="J463" i="35" s="1"/>
  <c r="J495" i="35" s="1"/>
  <c r="J527" i="35" s="1"/>
  <c r="J559" i="35" s="1"/>
  <c r="J591" i="35" s="1"/>
  <c r="J623" i="35" s="1"/>
  <c r="J655" i="35" s="1"/>
  <c r="J687" i="35" s="1"/>
  <c r="J719" i="35" s="1"/>
  <c r="J751" i="35" s="1"/>
  <c r="C73" i="30"/>
  <c r="O9" i="30"/>
  <c r="E84" i="31"/>
  <c r="O50" i="31"/>
  <c r="E89" i="34"/>
  <c r="E92" i="33"/>
  <c r="E128" i="33" s="1"/>
  <c r="E164" i="33" s="1"/>
  <c r="N40" i="30"/>
  <c r="N12" i="30"/>
  <c r="I180" i="35"/>
  <c r="I64" i="3"/>
  <c r="I65" i="3" s="1"/>
  <c r="I80" i="3" s="1"/>
  <c r="I81" i="3" s="1"/>
  <c r="J64" i="3"/>
  <c r="J65" i="3" s="1"/>
  <c r="K64" i="3"/>
  <c r="K65" i="3" s="1"/>
  <c r="K80" i="3" s="1"/>
  <c r="K81" i="3" s="1"/>
  <c r="D64" i="3"/>
  <c r="D65" i="3" s="1"/>
  <c r="D80" i="3" s="1"/>
  <c r="D81" i="3" s="1"/>
  <c r="L64" i="3"/>
  <c r="L65" i="3" s="1"/>
  <c r="L80" i="3" s="1"/>
  <c r="L81" i="3" s="1"/>
  <c r="E64" i="3"/>
  <c r="E65" i="3" s="1"/>
  <c r="E80" i="3" s="1"/>
  <c r="E81" i="3" s="1"/>
  <c r="M64" i="3"/>
  <c r="M65" i="3" s="1"/>
  <c r="M80" i="3" s="1"/>
  <c r="M81" i="3" s="1"/>
  <c r="F64" i="3"/>
  <c r="F65" i="3" s="1"/>
  <c r="F80" i="3" s="1"/>
  <c r="F81" i="3" s="1"/>
  <c r="N64" i="3"/>
  <c r="N65" i="3" s="1"/>
  <c r="N80" i="3" s="1"/>
  <c r="N81" i="3" s="1"/>
  <c r="G64" i="3"/>
  <c r="G65" i="3" s="1"/>
  <c r="G80" i="3" s="1"/>
  <c r="G81" i="3" s="1"/>
  <c r="C64" i="3"/>
  <c r="C65" i="3" s="1"/>
  <c r="H64" i="3"/>
  <c r="H65" i="3" s="1"/>
  <c r="G113" i="30"/>
  <c r="G116" i="30" s="1"/>
  <c r="G117" i="30" s="1"/>
  <c r="N113" i="30"/>
  <c r="K113" i="30"/>
  <c r="F113" i="30"/>
  <c r="J113" i="30"/>
  <c r="M113" i="30"/>
  <c r="L113" i="30"/>
  <c r="L116" i="30" s="1"/>
  <c r="E113" i="30"/>
  <c r="I113" i="30"/>
  <c r="I116" i="30" s="1"/>
  <c r="D113" i="30"/>
  <c r="H113" i="30"/>
  <c r="H116" i="30" s="1"/>
  <c r="H117" i="30" s="1"/>
  <c r="J107" i="30"/>
  <c r="I107" i="30"/>
  <c r="O106" i="30"/>
  <c r="O102" i="3"/>
  <c r="C160" i="3"/>
  <c r="O129" i="3"/>
  <c r="C133" i="3"/>
  <c r="C21" i="3"/>
  <c r="O20" i="3"/>
  <c r="J50" i="3"/>
  <c r="J51" i="3" s="1"/>
  <c r="F50" i="3"/>
  <c r="F51" i="3" s="1"/>
  <c r="D51" i="3"/>
  <c r="I50" i="3"/>
  <c r="I51" i="3" s="1"/>
  <c r="G50" i="3"/>
  <c r="G51" i="3" s="1"/>
  <c r="M50" i="3"/>
  <c r="M51" i="3" s="1"/>
  <c r="N50" i="3"/>
  <c r="N51" i="3" s="1"/>
  <c r="H50" i="3"/>
  <c r="H51" i="3" s="1"/>
  <c r="K50" i="3"/>
  <c r="K51" i="3" s="1"/>
  <c r="L50" i="3"/>
  <c r="L51" i="3" s="1"/>
  <c r="E51" i="3"/>
  <c r="C51" i="3"/>
  <c r="I16" i="28"/>
  <c r="M14" i="28"/>
  <c r="J15" i="28"/>
  <c r="N15" i="28" s="1"/>
  <c r="O15" i="28" s="1"/>
  <c r="N14" i="28"/>
  <c r="O14" i="28" s="1"/>
  <c r="P14" i="28" s="1"/>
  <c r="I34" i="62" l="1" a="1"/>
  <c r="I34" i="62" s="1"/>
  <c r="K34" i="62" a="1"/>
  <c r="K34" i="62" s="1"/>
  <c r="E34" i="62" a="1"/>
  <c r="E34" i="62" s="1"/>
  <c r="F34" i="62" a="1"/>
  <c r="F34" i="62" s="1"/>
  <c r="Q34" i="63"/>
  <c r="D35" i="63" s="1"/>
  <c r="F35" i="63" s="1" a="1"/>
  <c r="F35" i="63" s="1"/>
  <c r="O101" i="30"/>
  <c r="O35" i="3"/>
  <c r="H16" i="27"/>
  <c r="G18" i="42"/>
  <c r="H18" i="42" s="1"/>
  <c r="I15" i="27"/>
  <c r="N8" i="27"/>
  <c r="O8" i="27" s="1"/>
  <c r="P8" i="27" s="1"/>
  <c r="M8" i="27"/>
  <c r="C18" i="31"/>
  <c r="O6" i="31"/>
  <c r="E14" i="36"/>
  <c r="J15" i="36" s="1"/>
  <c r="J14" i="27"/>
  <c r="M14" i="27" s="1"/>
  <c r="N14" i="27"/>
  <c r="O14" i="27" s="1"/>
  <c r="P14" i="27" s="1"/>
  <c r="J22" i="31"/>
  <c r="N6" i="27"/>
  <c r="O6" i="27" s="1"/>
  <c r="P6" i="27" s="1"/>
  <c r="O5" i="3"/>
  <c r="F9" i="41"/>
  <c r="G9" i="41" s="1"/>
  <c r="H9" i="41" s="1"/>
  <c r="G10" i="40"/>
  <c r="H10" i="40" s="1"/>
  <c r="O27" i="32"/>
  <c r="C62" i="32"/>
  <c r="I37" i="42"/>
  <c r="E21" i="30"/>
  <c r="G21" i="30"/>
  <c r="H21" i="30"/>
  <c r="D21" i="30"/>
  <c r="L21" i="30"/>
  <c r="I21" i="30"/>
  <c r="M21" i="30"/>
  <c r="N21" i="30"/>
  <c r="J80" i="3"/>
  <c r="J81" i="3" s="1"/>
  <c r="H80" i="3"/>
  <c r="H81" i="3" s="1"/>
  <c r="C233" i="33"/>
  <c r="O197" i="33"/>
  <c r="E116" i="30"/>
  <c r="J79" i="31"/>
  <c r="J47" i="31"/>
  <c r="L73" i="30"/>
  <c r="L43" i="30"/>
  <c r="L52" i="30" s="1"/>
  <c r="C50" i="33"/>
  <c r="O14" i="33"/>
  <c r="C54" i="34"/>
  <c r="C88" i="34" s="1"/>
  <c r="C56" i="33"/>
  <c r="K244" i="35"/>
  <c r="K276" i="35" s="1"/>
  <c r="G855" i="35"/>
  <c r="F75" i="30"/>
  <c r="F84" i="30" s="1"/>
  <c r="I143" i="35"/>
  <c r="I175" i="35" s="1"/>
  <c r="I207" i="35" s="1"/>
  <c r="I239" i="35" s="1"/>
  <c r="I271" i="35" s="1"/>
  <c r="I303" i="35" s="1"/>
  <c r="I335" i="35" s="1"/>
  <c r="I367" i="35" s="1"/>
  <c r="I399" i="35" s="1"/>
  <c r="I431" i="35" s="1"/>
  <c r="I463" i="35" s="1"/>
  <c r="I495" i="35" s="1"/>
  <c r="I527" i="35" s="1"/>
  <c r="I559" i="35" s="1"/>
  <c r="I591" i="35" s="1"/>
  <c r="I623" i="35" s="1"/>
  <c r="I655" i="35" s="1"/>
  <c r="I687" i="35" s="1"/>
  <c r="I719" i="35" s="1"/>
  <c r="I751" i="35" s="1"/>
  <c r="I783" i="35" s="1"/>
  <c r="I815" i="35" s="1"/>
  <c r="I847" i="35" s="1"/>
  <c r="M73" i="30"/>
  <c r="M43" i="30"/>
  <c r="M52" i="30" s="1"/>
  <c r="K81" i="31"/>
  <c r="K114" i="31"/>
  <c r="D115" i="31"/>
  <c r="O80" i="31"/>
  <c r="C50" i="32"/>
  <c r="C52" i="32"/>
  <c r="H120" i="31"/>
  <c r="O85" i="31"/>
  <c r="L110" i="35"/>
  <c r="L143" i="35" s="1"/>
  <c r="L175" i="35" s="1"/>
  <c r="L207" i="35" s="1"/>
  <c r="L239" i="35" s="1"/>
  <c r="L271" i="35" s="1"/>
  <c r="L303" i="35" s="1"/>
  <c r="L335" i="35" s="1"/>
  <c r="L367" i="35" s="1"/>
  <c r="L399" i="35" s="1"/>
  <c r="L431" i="35" s="1"/>
  <c r="L463" i="35" s="1"/>
  <c r="D191" i="31"/>
  <c r="O156" i="31"/>
  <c r="E200" i="33"/>
  <c r="E236" i="33" s="1"/>
  <c r="E272" i="33" s="1"/>
  <c r="C105" i="30"/>
  <c r="K527" i="35"/>
  <c r="K559" i="35" s="1"/>
  <c r="K591" i="35" s="1"/>
  <c r="K623" i="35" s="1"/>
  <c r="K655" i="35" s="1"/>
  <c r="K687" i="35" s="1"/>
  <c r="K719" i="35" s="1"/>
  <c r="K751" i="35" s="1"/>
  <c r="K783" i="35" s="1"/>
  <c r="K815" i="35" s="1"/>
  <c r="K847" i="35" s="1"/>
  <c r="N242" i="35"/>
  <c r="G147" i="34"/>
  <c r="C51" i="32"/>
  <c r="E279" i="35"/>
  <c r="E311" i="35" s="1"/>
  <c r="H72" i="30"/>
  <c r="H75" i="30" s="1"/>
  <c r="H84" i="30" s="1"/>
  <c r="H43" i="30"/>
  <c r="H52" i="30" s="1"/>
  <c r="G72" i="30"/>
  <c r="G75" i="30" s="1"/>
  <c r="G84" i="30" s="1"/>
  <c r="G43" i="30"/>
  <c r="G52" i="30" s="1"/>
  <c r="N72" i="30"/>
  <c r="N75" i="30" s="1"/>
  <c r="N84" i="30" s="1"/>
  <c r="N43" i="30"/>
  <c r="N52" i="30" s="1"/>
  <c r="O41" i="30"/>
  <c r="J783" i="35"/>
  <c r="J815" i="35" s="1"/>
  <c r="J847" i="35" s="1"/>
  <c r="M211" i="35"/>
  <c r="D73" i="30"/>
  <c r="D43" i="30"/>
  <c r="D52" i="30" s="1"/>
  <c r="E43" i="30"/>
  <c r="E52" i="30" s="1"/>
  <c r="E73" i="30"/>
  <c r="I43" i="30"/>
  <c r="I52" i="30" s="1"/>
  <c r="I72" i="30"/>
  <c r="I75" i="30" s="1"/>
  <c r="I84" i="30" s="1"/>
  <c r="F81" i="31"/>
  <c r="F114" i="31"/>
  <c r="C56" i="32"/>
  <c r="O21" i="32"/>
  <c r="N81" i="31"/>
  <c r="N114" i="31"/>
  <c r="G81" i="31"/>
  <c r="G114" i="31"/>
  <c r="F124" i="31"/>
  <c r="O89" i="31"/>
  <c r="H79" i="31"/>
  <c r="H47" i="31"/>
  <c r="I212" i="35"/>
  <c r="E119" i="31"/>
  <c r="O84" i="31"/>
  <c r="C11" i="33"/>
  <c r="F210" i="35"/>
  <c r="I81" i="31"/>
  <c r="I114" i="31"/>
  <c r="O40" i="30"/>
  <c r="G39" i="31"/>
  <c r="G41" i="31" s="1"/>
  <c r="C39" i="31"/>
  <c r="C41" i="31" s="1"/>
  <c r="H39" i="31"/>
  <c r="H41" i="31" s="1"/>
  <c r="I39" i="31"/>
  <c r="I41" i="31" s="1"/>
  <c r="J39" i="31"/>
  <c r="J41" i="31" s="1"/>
  <c r="K39" i="31"/>
  <c r="K41" i="31" s="1"/>
  <c r="D39" i="31"/>
  <c r="D41" i="31" s="1"/>
  <c r="L39" i="31"/>
  <c r="L41" i="31" s="1"/>
  <c r="E39" i="31"/>
  <c r="E41" i="31" s="1"/>
  <c r="M39" i="31"/>
  <c r="M41" i="31" s="1"/>
  <c r="F39" i="31"/>
  <c r="F41" i="31" s="1"/>
  <c r="N39" i="31"/>
  <c r="N41" i="31" s="1"/>
  <c r="C20" i="30"/>
  <c r="O20" i="30" s="1"/>
  <c r="C141" i="3"/>
  <c r="O141" i="3" s="1"/>
  <c r="O65" i="3"/>
  <c r="K116" i="30"/>
  <c r="K117" i="30" s="1"/>
  <c r="O113" i="30"/>
  <c r="J116" i="30"/>
  <c r="J117" i="30" s="1"/>
  <c r="F116" i="30"/>
  <c r="F117" i="30" s="1"/>
  <c r="I117" i="30"/>
  <c r="D116" i="30"/>
  <c r="M116" i="30"/>
  <c r="N116" i="30"/>
  <c r="N117" i="30" s="1"/>
  <c r="O21" i="3"/>
  <c r="O51" i="3"/>
  <c r="O133" i="3"/>
  <c r="C8" i="30"/>
  <c r="C39" i="30" s="1"/>
  <c r="C71" i="30" s="1"/>
  <c r="C104" i="30" s="1"/>
  <c r="C164" i="3"/>
  <c r="O160" i="3"/>
  <c r="O111" i="3"/>
  <c r="C113" i="3" s="1"/>
  <c r="C114" i="3" s="1"/>
  <c r="O50" i="3"/>
  <c r="M15" i="28"/>
  <c r="P15" i="28"/>
  <c r="J16" i="28"/>
  <c r="I17" i="28"/>
  <c r="Q34" i="62" l="1"/>
  <c r="D35" i="62" s="1"/>
  <c r="K35" i="62" s="1" a="1"/>
  <c r="K35" i="62" s="1"/>
  <c r="N35" i="63" a="1"/>
  <c r="N35" i="63" s="1"/>
  <c r="I35" i="63" a="1"/>
  <c r="I35" i="63" s="1"/>
  <c r="E35" i="63" a="1"/>
  <c r="E35" i="63" s="1"/>
  <c r="K35" i="63" a="1"/>
  <c r="K35" i="63" s="1"/>
  <c r="C21" i="31"/>
  <c r="O21" i="31" s="1"/>
  <c r="O18" i="31"/>
  <c r="F73" i="31"/>
  <c r="F75" i="31" s="1"/>
  <c r="F87" i="31" s="1"/>
  <c r="E73" i="31"/>
  <c r="E75" i="31" s="1"/>
  <c r="E87" i="31" s="1"/>
  <c r="E91" i="31" s="1"/>
  <c r="I73" i="31"/>
  <c r="I75" i="31" s="1"/>
  <c r="I87" i="31" s="1"/>
  <c r="N73" i="31"/>
  <c r="N75" i="31" s="1"/>
  <c r="N87" i="31" s="1"/>
  <c r="N91" i="31" s="1"/>
  <c r="N92" i="31" s="1"/>
  <c r="M73" i="31"/>
  <c r="M75" i="31" s="1"/>
  <c r="M87" i="31" s="1"/>
  <c r="M91" i="31" s="1"/>
  <c r="J73" i="31"/>
  <c r="J75" i="31" s="1"/>
  <c r="J87" i="31" s="1"/>
  <c r="J91" i="31" s="1"/>
  <c r="G73" i="31"/>
  <c r="G75" i="31" s="1"/>
  <c r="G87" i="31" s="1"/>
  <c r="K73" i="31"/>
  <c r="K75" i="31" s="1"/>
  <c r="K87" i="31" s="1"/>
  <c r="H73" i="31"/>
  <c r="H75" i="31" s="1"/>
  <c r="H87" i="31" s="1"/>
  <c r="L73" i="31"/>
  <c r="L75" i="31" s="1"/>
  <c r="L87" i="31" s="1"/>
  <c r="D73" i="31"/>
  <c r="D75" i="31" s="1"/>
  <c r="D87" i="31" s="1"/>
  <c r="C73" i="31"/>
  <c r="C75" i="31" s="1"/>
  <c r="E15" i="36"/>
  <c r="J16" i="36" s="1"/>
  <c r="J15" i="27"/>
  <c r="H17" i="27"/>
  <c r="G19" i="42"/>
  <c r="H19" i="42" s="1"/>
  <c r="I16" i="27"/>
  <c r="E4" i="30"/>
  <c r="E5" i="30" s="1"/>
  <c r="J4" i="30"/>
  <c r="J5" i="30" s="1"/>
  <c r="M4" i="30"/>
  <c r="M5" i="30" s="1"/>
  <c r="K4" i="30"/>
  <c r="K5" i="30" s="1"/>
  <c r="F4" i="30"/>
  <c r="F5" i="30" s="1"/>
  <c r="D4" i="30"/>
  <c r="D5" i="30" s="1"/>
  <c r="H4" i="30"/>
  <c r="H5" i="30" s="1"/>
  <c r="I4" i="30"/>
  <c r="I5" i="30" s="1"/>
  <c r="N4" i="30"/>
  <c r="N5" i="30" s="1"/>
  <c r="L4" i="30"/>
  <c r="L5" i="30" s="1"/>
  <c r="G4" i="30"/>
  <c r="G5" i="30" s="1"/>
  <c r="C4" i="30"/>
  <c r="C5" i="30" s="1"/>
  <c r="D125" i="3"/>
  <c r="D126" i="3" s="1"/>
  <c r="L125" i="3"/>
  <c r="L126" i="3" s="1"/>
  <c r="E125" i="3"/>
  <c r="E126" i="3" s="1"/>
  <c r="N125" i="3"/>
  <c r="N126" i="3" s="1"/>
  <c r="G125" i="3"/>
  <c r="G126" i="3" s="1"/>
  <c r="H125" i="3"/>
  <c r="H126" i="3" s="1"/>
  <c r="M125" i="3"/>
  <c r="M126" i="3" s="1"/>
  <c r="J125" i="3"/>
  <c r="J126" i="3" s="1"/>
  <c r="I125" i="3"/>
  <c r="I126" i="3" s="1"/>
  <c r="F125" i="3"/>
  <c r="F126" i="3" s="1"/>
  <c r="C125" i="3"/>
  <c r="C126" i="3" s="1"/>
  <c r="K125" i="3"/>
  <c r="K126" i="3" s="1"/>
  <c r="F10" i="41"/>
  <c r="G10" i="41" s="1"/>
  <c r="H10" i="41" s="1"/>
  <c r="G11" i="40"/>
  <c r="H11" i="40" s="1"/>
  <c r="C28" i="33"/>
  <c r="O62" i="32"/>
  <c r="I36" i="42"/>
  <c r="J52" i="3"/>
  <c r="I52" i="3"/>
  <c r="H52" i="3"/>
  <c r="H53" i="3" s="1"/>
  <c r="G52" i="3"/>
  <c r="C52" i="3"/>
  <c r="C53" i="3" s="1"/>
  <c r="N52" i="3"/>
  <c r="N53" i="3" s="1"/>
  <c r="F52" i="3"/>
  <c r="F53" i="3" s="1"/>
  <c r="L52" i="3"/>
  <c r="L53" i="3" s="1"/>
  <c r="D52" i="3"/>
  <c r="M52" i="3"/>
  <c r="E52" i="3"/>
  <c r="E53" i="3" s="1"/>
  <c r="K52" i="3"/>
  <c r="K53" i="3" s="1"/>
  <c r="D22" i="3"/>
  <c r="D23" i="3" s="1"/>
  <c r="L22" i="3"/>
  <c r="L23" i="3" s="1"/>
  <c r="E22" i="3"/>
  <c r="E23" i="3" s="1"/>
  <c r="M22" i="3"/>
  <c r="M23" i="3" s="1"/>
  <c r="F22" i="3"/>
  <c r="F23" i="3" s="1"/>
  <c r="N22" i="3"/>
  <c r="G22" i="3"/>
  <c r="G23" i="3" s="1"/>
  <c r="C22" i="3"/>
  <c r="C23" i="3" s="1"/>
  <c r="H22" i="3"/>
  <c r="H23" i="3" s="1"/>
  <c r="I22" i="3"/>
  <c r="I23" i="3" s="1"/>
  <c r="J22" i="3"/>
  <c r="J23" i="3" s="1"/>
  <c r="K22" i="3"/>
  <c r="K23" i="3" s="1"/>
  <c r="K113" i="3"/>
  <c r="K114" i="3" s="1"/>
  <c r="J113" i="3"/>
  <c r="J114" i="3" s="1"/>
  <c r="I113" i="3"/>
  <c r="I114" i="3" s="1"/>
  <c r="H113" i="3"/>
  <c r="H114" i="3" s="1"/>
  <c r="G113" i="3"/>
  <c r="G114" i="3" s="1"/>
  <c r="N113" i="3"/>
  <c r="N114" i="3" s="1"/>
  <c r="F113" i="3"/>
  <c r="F114" i="3" s="1"/>
  <c r="M113" i="3"/>
  <c r="M114" i="3" s="1"/>
  <c r="E113" i="3"/>
  <c r="E114" i="3" s="1"/>
  <c r="L113" i="3"/>
  <c r="L114" i="3" s="1"/>
  <c r="D113" i="3"/>
  <c r="D114" i="3" s="1"/>
  <c r="D53" i="3"/>
  <c r="J53" i="3"/>
  <c r="I53" i="3"/>
  <c r="M53" i="3"/>
  <c r="N23" i="3"/>
  <c r="C269" i="33"/>
  <c r="O233" i="33"/>
  <c r="D91" i="31"/>
  <c r="O73" i="30"/>
  <c r="C142" i="3"/>
  <c r="C86" i="33"/>
  <c r="O50" i="33"/>
  <c r="C107" i="30"/>
  <c r="C9" i="31"/>
  <c r="F242" i="35"/>
  <c r="G116" i="31"/>
  <c r="G149" i="31"/>
  <c r="F116" i="31"/>
  <c r="F149" i="31"/>
  <c r="E105" i="30"/>
  <c r="E75" i="30"/>
  <c r="E84" i="30" s="1"/>
  <c r="O116" i="30"/>
  <c r="C16" i="33"/>
  <c r="C10" i="31"/>
  <c r="L495" i="35"/>
  <c r="K116" i="31"/>
  <c r="K149" i="31"/>
  <c r="M105" i="30"/>
  <c r="M75" i="30"/>
  <c r="M84" i="30" s="1"/>
  <c r="D105" i="30"/>
  <c r="D75" i="30"/>
  <c r="D84" i="30" s="1"/>
  <c r="G181" i="34"/>
  <c r="E308" i="33"/>
  <c r="E344" i="33" s="1"/>
  <c r="E379" i="33" s="1"/>
  <c r="E414" i="33" s="1"/>
  <c r="E20" i="34" s="1"/>
  <c r="C18" i="33"/>
  <c r="F159" i="31"/>
  <c r="O124" i="31"/>
  <c r="D150" i="31"/>
  <c r="O115" i="31"/>
  <c r="L105" i="30"/>
  <c r="L75" i="30"/>
  <c r="L84" i="30" s="1"/>
  <c r="C89" i="34"/>
  <c r="C92" i="33"/>
  <c r="E343" i="35"/>
  <c r="H155" i="31"/>
  <c r="O120" i="31"/>
  <c r="I244" i="35"/>
  <c r="I276" i="35" s="1"/>
  <c r="N116" i="31"/>
  <c r="N149" i="31"/>
  <c r="I149" i="31"/>
  <c r="I116" i="31"/>
  <c r="H81" i="31"/>
  <c r="H114" i="31"/>
  <c r="M243" i="35"/>
  <c r="C15" i="33"/>
  <c r="O72" i="30"/>
  <c r="D17" i="32"/>
  <c r="O191" i="31"/>
  <c r="C47" i="33"/>
  <c r="E154" i="31"/>
  <c r="O119" i="31"/>
  <c r="C22" i="33"/>
  <c r="O56" i="32"/>
  <c r="N274" i="35"/>
  <c r="J81" i="31"/>
  <c r="J114" i="31"/>
  <c r="L91" i="31"/>
  <c r="L53" i="31"/>
  <c r="H91" i="31"/>
  <c r="I91" i="31"/>
  <c r="I92" i="31" s="1"/>
  <c r="D53" i="31"/>
  <c r="D56" i="31" s="1"/>
  <c r="E53" i="31"/>
  <c r="K53" i="31"/>
  <c r="F91" i="31"/>
  <c r="F92" i="31" s="1"/>
  <c r="K91" i="31"/>
  <c r="K92" i="31" s="1"/>
  <c r="M53" i="31"/>
  <c r="G53" i="31"/>
  <c r="J53" i="31"/>
  <c r="N53" i="31"/>
  <c r="N56" i="31" s="1"/>
  <c r="N57" i="31" s="1"/>
  <c r="I53" i="31"/>
  <c r="C53" i="31"/>
  <c r="C56" i="31" s="1"/>
  <c r="O41" i="31"/>
  <c r="F53" i="31"/>
  <c r="H53" i="31"/>
  <c r="H56" i="31" s="1"/>
  <c r="H57" i="31" s="1"/>
  <c r="G91" i="31"/>
  <c r="G92" i="31" s="1"/>
  <c r="C80" i="3"/>
  <c r="E109" i="31"/>
  <c r="M109" i="31"/>
  <c r="D109" i="31"/>
  <c r="F109" i="31"/>
  <c r="N109" i="31"/>
  <c r="G109" i="31"/>
  <c r="H109" i="31"/>
  <c r="I109" i="31"/>
  <c r="L109" i="31"/>
  <c r="J109" i="31"/>
  <c r="C109" i="31"/>
  <c r="K109" i="31"/>
  <c r="O71" i="30"/>
  <c r="C75" i="30"/>
  <c r="C173" i="3"/>
  <c r="O164" i="3"/>
  <c r="O8" i="30"/>
  <c r="C12" i="30"/>
  <c r="J17" i="28"/>
  <c r="N17" i="28" s="1"/>
  <c r="O17" i="28" s="1"/>
  <c r="I18" i="28"/>
  <c r="N16" i="28"/>
  <c r="O16" i="28" s="1"/>
  <c r="P16" i="28" s="1"/>
  <c r="M16" i="28"/>
  <c r="E35" i="62" l="1" a="1"/>
  <c r="E35" i="62" s="1"/>
  <c r="I35" i="62" a="1"/>
  <c r="I35" i="62" s="1"/>
  <c r="N35" i="62" a="1"/>
  <c r="N35" i="62" s="1"/>
  <c r="F35" i="62" a="1"/>
  <c r="F35" i="62" s="1"/>
  <c r="Q35" i="63"/>
  <c r="D36" i="63" s="1"/>
  <c r="I36" i="63" s="1" a="1"/>
  <c r="I36" i="63" s="1"/>
  <c r="E16" i="36"/>
  <c r="J17" i="36" s="1"/>
  <c r="J16" i="27"/>
  <c r="O5" i="30"/>
  <c r="C87" i="31"/>
  <c r="O75" i="31"/>
  <c r="O126" i="3"/>
  <c r="P15" i="27"/>
  <c r="M15" i="27"/>
  <c r="N24" i="3"/>
  <c r="G20" i="42"/>
  <c r="H20" i="42" s="1"/>
  <c r="H18" i="27"/>
  <c r="I17" i="27"/>
  <c r="N15" i="27"/>
  <c r="O15" i="27" s="1"/>
  <c r="F11" i="41"/>
  <c r="G11" i="41" s="1"/>
  <c r="H11" i="41"/>
  <c r="G12" i="40"/>
  <c r="H12" i="40" s="1"/>
  <c r="O28" i="33"/>
  <c r="C64" i="33"/>
  <c r="I35" i="42"/>
  <c r="O52" i="3"/>
  <c r="G53" i="3"/>
  <c r="O113" i="3"/>
  <c r="O53" i="3"/>
  <c r="O142" i="3"/>
  <c r="O23" i="3"/>
  <c r="O22" i="3"/>
  <c r="C305" i="33"/>
  <c r="O269" i="33"/>
  <c r="M56" i="31"/>
  <c r="I56" i="31"/>
  <c r="I57" i="31" s="1"/>
  <c r="F56" i="31"/>
  <c r="F57" i="31" s="1"/>
  <c r="J56" i="31"/>
  <c r="J57" i="31" s="1"/>
  <c r="E56" i="31"/>
  <c r="J92" i="31"/>
  <c r="O105" i="30"/>
  <c r="F151" i="31"/>
  <c r="F184" i="31"/>
  <c r="G11" i="35"/>
  <c r="G44" i="35" s="1"/>
  <c r="G77" i="35" s="1"/>
  <c r="G110" i="35" s="1"/>
  <c r="G143" i="35" s="1"/>
  <c r="G175" i="35" s="1"/>
  <c r="G207" i="35" s="1"/>
  <c r="G239" i="35" s="1"/>
  <c r="G271" i="35" s="1"/>
  <c r="G303" i="35" s="1"/>
  <c r="G335" i="35" s="1"/>
  <c r="G367" i="35" s="1"/>
  <c r="G399" i="35" s="1"/>
  <c r="G431" i="35" s="1"/>
  <c r="G463" i="35" s="1"/>
  <c r="G495" i="35" s="1"/>
  <c r="G527" i="35" s="1"/>
  <c r="G559" i="35" s="1"/>
  <c r="G591" i="35" s="1"/>
  <c r="G623" i="35" s="1"/>
  <c r="G655" i="35" s="1"/>
  <c r="G687" i="35" s="1"/>
  <c r="G719" i="35" s="1"/>
  <c r="G751" i="35" s="1"/>
  <c r="G783" i="35" s="1"/>
  <c r="G815" i="35" s="1"/>
  <c r="G847" i="35" s="1"/>
  <c r="H190" i="31"/>
  <c r="O155" i="31"/>
  <c r="C52" i="33"/>
  <c r="N151" i="31"/>
  <c r="N184" i="31"/>
  <c r="L10" i="31"/>
  <c r="L107" i="30"/>
  <c r="L117" i="30" s="1"/>
  <c r="D10" i="31"/>
  <c r="D107" i="30"/>
  <c r="D117" i="30" s="1"/>
  <c r="M10" i="31"/>
  <c r="M107" i="30"/>
  <c r="M117" i="30" s="1"/>
  <c r="O86" i="33"/>
  <c r="C122" i="33"/>
  <c r="N306" i="35"/>
  <c r="C44" i="31"/>
  <c r="O9" i="31"/>
  <c r="C12" i="31"/>
  <c r="D52" i="32"/>
  <c r="O17" i="32"/>
  <c r="C55" i="34"/>
  <c r="O55" i="34" s="1"/>
  <c r="C58" i="33"/>
  <c r="O22" i="33"/>
  <c r="J116" i="31"/>
  <c r="J149" i="31"/>
  <c r="E375" i="35"/>
  <c r="E407" i="35" s="1"/>
  <c r="K151" i="31"/>
  <c r="K184" i="31"/>
  <c r="G151" i="31"/>
  <c r="G184" i="31"/>
  <c r="F194" i="31"/>
  <c r="O159" i="31"/>
  <c r="K308" i="35"/>
  <c r="I151" i="31"/>
  <c r="I184" i="31"/>
  <c r="H92" i="31"/>
  <c r="E189" i="31"/>
  <c r="O154" i="31"/>
  <c r="M275" i="35"/>
  <c r="C54" i="33"/>
  <c r="D185" i="31"/>
  <c r="O150" i="31"/>
  <c r="E107" i="30"/>
  <c r="E117" i="30" s="1"/>
  <c r="E10" i="31"/>
  <c r="L527" i="35"/>
  <c r="L559" i="35" s="1"/>
  <c r="L591" i="35" s="1"/>
  <c r="L623" i="35" s="1"/>
  <c r="L655" i="35" s="1"/>
  <c r="L687" i="35" s="1"/>
  <c r="L719" i="35" s="1"/>
  <c r="L751" i="35" s="1"/>
  <c r="L783" i="35" s="1"/>
  <c r="L815" i="35" s="1"/>
  <c r="L847" i="35" s="1"/>
  <c r="C128" i="33"/>
  <c r="C45" i="31"/>
  <c r="C79" i="31" s="1"/>
  <c r="C83" i="33"/>
  <c r="C51" i="33"/>
  <c r="H116" i="31"/>
  <c r="H149" i="31"/>
  <c r="F274" i="35"/>
  <c r="G56" i="31"/>
  <c r="G57" i="31" s="1"/>
  <c r="O53" i="31"/>
  <c r="K56" i="31"/>
  <c r="K57" i="31" s="1"/>
  <c r="L56" i="31"/>
  <c r="O80" i="3"/>
  <c r="C81" i="3"/>
  <c r="J144" i="31"/>
  <c r="K144" i="31"/>
  <c r="D144" i="31"/>
  <c r="L144" i="31"/>
  <c r="I144" i="31"/>
  <c r="E144" i="31"/>
  <c r="M144" i="31"/>
  <c r="F144" i="31"/>
  <c r="N144" i="31"/>
  <c r="G144" i="31"/>
  <c r="C144" i="31"/>
  <c r="H144" i="31"/>
  <c r="O75" i="30"/>
  <c r="C84" i="30"/>
  <c r="O12" i="30"/>
  <c r="C21" i="30"/>
  <c r="O39" i="30"/>
  <c r="C43" i="30"/>
  <c r="C52" i="30" s="1"/>
  <c r="O173" i="3"/>
  <c r="I19" i="28"/>
  <c r="P17" i="28"/>
  <c r="J18" i="28"/>
  <c r="M18" i="28" s="1"/>
  <c r="M17" i="28"/>
  <c r="Q35" i="62" l="1"/>
  <c r="D36" i="62" s="1"/>
  <c r="F36" i="62" s="1" a="1"/>
  <c r="F36" i="62" s="1"/>
  <c r="E36" i="63" a="1"/>
  <c r="E36" i="63" s="1"/>
  <c r="K36" i="63" a="1"/>
  <c r="K36" i="63" s="1"/>
  <c r="F36" i="63" a="1"/>
  <c r="F36" i="63" s="1"/>
  <c r="N36" i="63" a="1"/>
  <c r="N36" i="63" s="1"/>
  <c r="J108" i="31"/>
  <c r="J110" i="31" s="1"/>
  <c r="H108" i="31"/>
  <c r="H110" i="31" s="1"/>
  <c r="K108" i="31"/>
  <c r="K110" i="31" s="1"/>
  <c r="I108" i="31"/>
  <c r="I110" i="31" s="1"/>
  <c r="F108" i="31"/>
  <c r="F110" i="31" s="1"/>
  <c r="D108" i="31"/>
  <c r="D110" i="31" s="1"/>
  <c r="D122" i="31" s="1"/>
  <c r="D126" i="31" s="1"/>
  <c r="C108" i="31"/>
  <c r="C110" i="31" s="1"/>
  <c r="C122" i="31" s="1"/>
  <c r="C126" i="31" s="1"/>
  <c r="N108" i="31"/>
  <c r="N110" i="31" s="1"/>
  <c r="N122" i="31" s="1"/>
  <c r="N126" i="31" s="1"/>
  <c r="N127" i="31" s="1"/>
  <c r="L108" i="31"/>
  <c r="L110" i="31" s="1"/>
  <c r="G108" i="31"/>
  <c r="G110" i="31" s="1"/>
  <c r="E108" i="31"/>
  <c r="E110" i="31" s="1"/>
  <c r="M108" i="31"/>
  <c r="M110" i="31" s="1"/>
  <c r="E17" i="36"/>
  <c r="J18" i="36" s="1"/>
  <c r="J17" i="27"/>
  <c r="M17" i="27" s="1"/>
  <c r="G21" i="42"/>
  <c r="H21" i="42" s="1"/>
  <c r="H19" i="27"/>
  <c r="I18" i="27"/>
  <c r="N16" i="27"/>
  <c r="O16" i="27" s="1"/>
  <c r="P16" i="27" s="1"/>
  <c r="M16" i="27"/>
  <c r="C91" i="31"/>
  <c r="O91" i="31" s="1"/>
  <c r="O87" i="31"/>
  <c r="N54" i="3"/>
  <c r="F12" i="41"/>
  <c r="G12" i="41" s="1"/>
  <c r="H12" i="41" s="1"/>
  <c r="G13" i="40"/>
  <c r="H13" i="40" s="1"/>
  <c r="C100" i="33"/>
  <c r="O64" i="33"/>
  <c r="I34" i="42"/>
  <c r="G122" i="31"/>
  <c r="G126" i="31" s="1"/>
  <c r="G127" i="31" s="1"/>
  <c r="E122" i="31"/>
  <c r="E126" i="31" s="1"/>
  <c r="F122" i="31"/>
  <c r="F126" i="31" s="1"/>
  <c r="F127" i="31" s="1"/>
  <c r="K122" i="31"/>
  <c r="K126" i="31" s="1"/>
  <c r="K127" i="31" s="1"/>
  <c r="L122" i="31"/>
  <c r="L126" i="31" s="1"/>
  <c r="M122" i="31"/>
  <c r="M126" i="31" s="1"/>
  <c r="O114" i="3"/>
  <c r="G175" i="3"/>
  <c r="G176" i="3" s="1"/>
  <c r="N175" i="3"/>
  <c r="N176" i="3" s="1"/>
  <c r="F175" i="3"/>
  <c r="F176" i="3" s="1"/>
  <c r="M175" i="3"/>
  <c r="M176" i="3" s="1"/>
  <c r="E175" i="3"/>
  <c r="E176" i="3" s="1"/>
  <c r="L175" i="3"/>
  <c r="L176" i="3" s="1"/>
  <c r="D175" i="3"/>
  <c r="D176" i="3" s="1"/>
  <c r="K175" i="3"/>
  <c r="K176" i="3" s="1"/>
  <c r="C175" i="3"/>
  <c r="C176" i="3" s="1"/>
  <c r="J175" i="3"/>
  <c r="J176" i="3" s="1"/>
  <c r="I175" i="3"/>
  <c r="I176" i="3" s="1"/>
  <c r="H175" i="3"/>
  <c r="H176" i="3" s="1"/>
  <c r="G144" i="3"/>
  <c r="G145" i="3" s="1"/>
  <c r="N144" i="3"/>
  <c r="N145" i="3" s="1"/>
  <c r="F144" i="3"/>
  <c r="F145" i="3" s="1"/>
  <c r="M144" i="3"/>
  <c r="M145" i="3" s="1"/>
  <c r="E144" i="3"/>
  <c r="E145" i="3" s="1"/>
  <c r="K144" i="3"/>
  <c r="K145" i="3" s="1"/>
  <c r="L144" i="3"/>
  <c r="L145" i="3" s="1"/>
  <c r="D144" i="3"/>
  <c r="D145" i="3" s="1"/>
  <c r="J144" i="3"/>
  <c r="J145" i="3" s="1"/>
  <c r="I144" i="3"/>
  <c r="I145" i="3" s="1"/>
  <c r="H144" i="3"/>
  <c r="H145" i="3" s="1"/>
  <c r="C144" i="3"/>
  <c r="C145" i="3" s="1"/>
  <c r="J122" i="31"/>
  <c r="J126" i="31" s="1"/>
  <c r="J127" i="31" s="1"/>
  <c r="C341" i="33"/>
  <c r="O305" i="33"/>
  <c r="I122" i="31"/>
  <c r="I126" i="31" s="1"/>
  <c r="I127" i="31" s="1"/>
  <c r="O10" i="31"/>
  <c r="F306" i="35"/>
  <c r="H151" i="31"/>
  <c r="H184" i="31"/>
  <c r="C88" i="33"/>
  <c r="I186" i="31"/>
  <c r="I10" i="32"/>
  <c r="K186" i="31"/>
  <c r="K10" i="32"/>
  <c r="C94" i="33"/>
  <c r="O58" i="33"/>
  <c r="N338" i="35"/>
  <c r="C78" i="31"/>
  <c r="C47" i="31"/>
  <c r="C57" i="31" s="1"/>
  <c r="O44" i="31"/>
  <c r="O122" i="33"/>
  <c r="C158" i="33"/>
  <c r="H16" i="32"/>
  <c r="O190" i="31"/>
  <c r="I308" i="35"/>
  <c r="L45" i="31"/>
  <c r="L12" i="31"/>
  <c r="L22" i="31" s="1"/>
  <c r="D45" i="31"/>
  <c r="D12" i="31"/>
  <c r="D22" i="31" s="1"/>
  <c r="C90" i="33"/>
  <c r="C87" i="33"/>
  <c r="D11" i="32"/>
  <c r="O185" i="31"/>
  <c r="M307" i="35"/>
  <c r="K340" i="35"/>
  <c r="E439" i="35"/>
  <c r="D18" i="33"/>
  <c r="O52" i="32"/>
  <c r="N186" i="31"/>
  <c r="N10" i="32"/>
  <c r="C119" i="33"/>
  <c r="E45" i="31"/>
  <c r="E12" i="31"/>
  <c r="E22" i="31" s="1"/>
  <c r="C22" i="31"/>
  <c r="M12" i="31"/>
  <c r="M22" i="31" s="1"/>
  <c r="M45" i="31"/>
  <c r="F186" i="31"/>
  <c r="F10" i="32"/>
  <c r="G186" i="31"/>
  <c r="G10" i="32"/>
  <c r="C114" i="31"/>
  <c r="C164" i="33"/>
  <c r="E15" i="32"/>
  <c r="O189" i="31"/>
  <c r="F19" i="32"/>
  <c r="O194" i="31"/>
  <c r="J151" i="31"/>
  <c r="J184" i="31"/>
  <c r="H122" i="31"/>
  <c r="O56" i="31"/>
  <c r="O81" i="3"/>
  <c r="L179" i="31"/>
  <c r="E179" i="31"/>
  <c r="M179" i="31"/>
  <c r="F179" i="31"/>
  <c r="N179" i="31"/>
  <c r="G179" i="31"/>
  <c r="C179" i="31"/>
  <c r="H179" i="31"/>
  <c r="I179" i="31"/>
  <c r="J179" i="31"/>
  <c r="D179" i="31"/>
  <c r="K179" i="31"/>
  <c r="O84" i="30"/>
  <c r="O21" i="30"/>
  <c r="O43" i="30"/>
  <c r="N18" i="28"/>
  <c r="O18" i="28" s="1"/>
  <c r="P18" i="28" s="1"/>
  <c r="J19" i="28"/>
  <c r="M19" i="28" s="1"/>
  <c r="I20" i="28"/>
  <c r="K36" i="62" l="1" a="1"/>
  <c r="K36" i="62" s="1"/>
  <c r="E36" i="62" a="1"/>
  <c r="E36" i="62" s="1"/>
  <c r="I36" i="62" a="1"/>
  <c r="I36" i="62" s="1"/>
  <c r="N36" i="62" a="1"/>
  <c r="N36" i="62" s="1"/>
  <c r="Q36" i="63"/>
  <c r="D37" i="63" s="1"/>
  <c r="E37" i="63" s="1" a="1"/>
  <c r="E37" i="63" s="1"/>
  <c r="O110" i="31"/>
  <c r="E143" i="31"/>
  <c r="E145" i="31" s="1"/>
  <c r="N143" i="31"/>
  <c r="N145" i="31" s="1"/>
  <c r="N157" i="31" s="1"/>
  <c r="N161" i="31" s="1"/>
  <c r="N162" i="31" s="1"/>
  <c r="L143" i="31"/>
  <c r="L145" i="31" s="1"/>
  <c r="M143" i="31"/>
  <c r="M145" i="31" s="1"/>
  <c r="H143" i="31"/>
  <c r="H145" i="31" s="1"/>
  <c r="H157" i="31" s="1"/>
  <c r="H161" i="31" s="1"/>
  <c r="H162" i="31" s="1"/>
  <c r="F143" i="31"/>
  <c r="F145" i="31" s="1"/>
  <c r="O145" i="31" s="1"/>
  <c r="I143" i="31"/>
  <c r="I145" i="31" s="1"/>
  <c r="C143" i="31"/>
  <c r="C145" i="31" s="1"/>
  <c r="D143" i="31"/>
  <c r="D145" i="31" s="1"/>
  <c r="J143" i="31"/>
  <c r="J145" i="31" s="1"/>
  <c r="J157" i="31" s="1"/>
  <c r="J161" i="31" s="1"/>
  <c r="J162" i="31" s="1"/>
  <c r="G143" i="31"/>
  <c r="G145" i="31" s="1"/>
  <c r="K143" i="31"/>
  <c r="K145" i="31" s="1"/>
  <c r="G22" i="42"/>
  <c r="H22" i="42" s="1"/>
  <c r="H20" i="27"/>
  <c r="I19" i="27"/>
  <c r="N17" i="27"/>
  <c r="O17" i="27" s="1"/>
  <c r="P17" i="27" s="1"/>
  <c r="E18" i="36"/>
  <c r="J19" i="36" s="1"/>
  <c r="J18" i="27"/>
  <c r="F13" i="41"/>
  <c r="G13" i="41" s="1"/>
  <c r="H13" i="41" s="1"/>
  <c r="G14" i="40"/>
  <c r="H14" i="40" s="1"/>
  <c r="O100" i="33"/>
  <c r="C136" i="33"/>
  <c r="I33" i="42"/>
  <c r="O176" i="3"/>
  <c r="I157" i="31"/>
  <c r="I161" i="31" s="1"/>
  <c r="I162" i="31" s="1"/>
  <c r="L157" i="31"/>
  <c r="L161" i="31" s="1"/>
  <c r="M157" i="31"/>
  <c r="M161" i="31" s="1"/>
  <c r="K157" i="31"/>
  <c r="K161" i="31" s="1"/>
  <c r="K162" i="31" s="1"/>
  <c r="E157" i="31"/>
  <c r="G157" i="31"/>
  <c r="G161" i="31" s="1"/>
  <c r="G162" i="31" s="1"/>
  <c r="O145" i="3"/>
  <c r="N82" i="3"/>
  <c r="F82" i="3"/>
  <c r="M82" i="3"/>
  <c r="M83" i="3" s="1"/>
  <c r="E82" i="3"/>
  <c r="E83" i="3" s="1"/>
  <c r="L82" i="3"/>
  <c r="L83" i="3" s="1"/>
  <c r="D82" i="3"/>
  <c r="K82" i="3"/>
  <c r="K83" i="3" s="1"/>
  <c r="C82" i="3"/>
  <c r="J82" i="3"/>
  <c r="G82" i="3"/>
  <c r="I82" i="3"/>
  <c r="I83" i="3" s="1"/>
  <c r="H82" i="3"/>
  <c r="H83" i="3" s="1"/>
  <c r="J87" i="30"/>
  <c r="I87" i="30"/>
  <c r="H87" i="30"/>
  <c r="L87" i="30"/>
  <c r="G87" i="30"/>
  <c r="K87" i="30"/>
  <c r="N87" i="30"/>
  <c r="F87" i="30"/>
  <c r="M87" i="30"/>
  <c r="E87" i="30"/>
  <c r="D87" i="30"/>
  <c r="C87" i="30"/>
  <c r="O175" i="3"/>
  <c r="O144" i="3"/>
  <c r="J23" i="30"/>
  <c r="J24" i="30" s="1"/>
  <c r="K23" i="30"/>
  <c r="K24" i="30" s="1"/>
  <c r="I23" i="30"/>
  <c r="I24" i="30" s="1"/>
  <c r="D23" i="30"/>
  <c r="D24" i="30" s="1"/>
  <c r="L23" i="30"/>
  <c r="L24" i="30" s="1"/>
  <c r="E23" i="30"/>
  <c r="E24" i="30" s="1"/>
  <c r="M23" i="30"/>
  <c r="M24" i="30" s="1"/>
  <c r="F23" i="30"/>
  <c r="F24" i="30" s="1"/>
  <c r="N23" i="30"/>
  <c r="N24" i="30" s="1"/>
  <c r="G23" i="30"/>
  <c r="G24" i="30" s="1"/>
  <c r="C23" i="30"/>
  <c r="C24" i="30" s="1"/>
  <c r="H23" i="30"/>
  <c r="H24" i="30" s="1"/>
  <c r="N83" i="3"/>
  <c r="F83" i="3"/>
  <c r="J83" i="3"/>
  <c r="G83" i="3"/>
  <c r="O341" i="33"/>
  <c r="C376" i="33"/>
  <c r="O122" i="31"/>
  <c r="C157" i="31"/>
  <c r="C161" i="31" s="1"/>
  <c r="H126" i="31"/>
  <c r="H127" i="31" s="1"/>
  <c r="D54" i="33"/>
  <c r="O18" i="33"/>
  <c r="D47" i="31"/>
  <c r="D57" i="31" s="1"/>
  <c r="D79" i="31"/>
  <c r="E50" i="32"/>
  <c r="O15" i="32"/>
  <c r="C149" i="31"/>
  <c r="C184" i="31" s="1"/>
  <c r="F12" i="32"/>
  <c r="F45" i="32"/>
  <c r="E471" i="35"/>
  <c r="E503" i="35" s="1"/>
  <c r="O158" i="33"/>
  <c r="C194" i="33"/>
  <c r="K45" i="32"/>
  <c r="K12" i="32"/>
  <c r="O45" i="31"/>
  <c r="E79" i="31"/>
  <c r="E47" i="31"/>
  <c r="E57" i="31" s="1"/>
  <c r="O78" i="31"/>
  <c r="C113" i="31"/>
  <c r="C81" i="31"/>
  <c r="L79" i="31"/>
  <c r="L47" i="31"/>
  <c r="L57" i="31" s="1"/>
  <c r="C124" i="33"/>
  <c r="F54" i="32"/>
  <c r="O19" i="32"/>
  <c r="M47" i="31"/>
  <c r="M57" i="31" s="1"/>
  <c r="M79" i="31"/>
  <c r="C123" i="33"/>
  <c r="I45" i="32"/>
  <c r="I12" i="32"/>
  <c r="H186" i="31"/>
  <c r="H10" i="32"/>
  <c r="O94" i="33"/>
  <c r="C130" i="33"/>
  <c r="J10" i="32"/>
  <c r="J186" i="31"/>
  <c r="K372" i="35"/>
  <c r="G12" i="32"/>
  <c r="G45" i="32"/>
  <c r="D46" i="32"/>
  <c r="O11" i="32"/>
  <c r="C200" i="33"/>
  <c r="O22" i="31"/>
  <c r="N12" i="32"/>
  <c r="N45" i="32"/>
  <c r="C126" i="33"/>
  <c r="H51" i="32"/>
  <c r="O16" i="32"/>
  <c r="C155" i="33"/>
  <c r="O12" i="31"/>
  <c r="M339" i="35"/>
  <c r="I340" i="35"/>
  <c r="N370" i="35"/>
  <c r="F338" i="35"/>
  <c r="D157" i="31"/>
  <c r="D161" i="31" s="1"/>
  <c r="N19" i="28"/>
  <c r="O19" i="28" s="1"/>
  <c r="P19" i="28" s="1"/>
  <c r="K5" i="32"/>
  <c r="D5" i="32"/>
  <c r="L5" i="32"/>
  <c r="E5" i="32"/>
  <c r="M5" i="32"/>
  <c r="J5" i="32"/>
  <c r="F5" i="32"/>
  <c r="N5" i="32"/>
  <c r="G5" i="32"/>
  <c r="C5" i="32"/>
  <c r="H5" i="32"/>
  <c r="I5" i="32"/>
  <c r="O52" i="30"/>
  <c r="C55" i="30" s="1"/>
  <c r="C56" i="30" s="1"/>
  <c r="O104" i="30"/>
  <c r="J20" i="28"/>
  <c r="I21" i="28"/>
  <c r="Q36" i="62" l="1"/>
  <c r="D37" i="62" s="1"/>
  <c r="N37" i="62" s="1" a="1"/>
  <c r="N37" i="62" s="1"/>
  <c r="I37" i="63" a="1"/>
  <c r="I37" i="63" s="1"/>
  <c r="N37" i="63" a="1"/>
  <c r="N37" i="63" s="1"/>
  <c r="F37" i="63" a="1"/>
  <c r="F37" i="63" s="1"/>
  <c r="K37" i="63" a="1"/>
  <c r="K37" i="63" s="1"/>
  <c r="G23" i="42"/>
  <c r="H23" i="42" s="1"/>
  <c r="H21" i="27"/>
  <c r="I20" i="27"/>
  <c r="F157" i="31"/>
  <c r="F161" i="31" s="1"/>
  <c r="F162" i="31" s="1"/>
  <c r="N18" i="27"/>
  <c r="O18" i="27" s="1"/>
  <c r="P18" i="27" s="1"/>
  <c r="M18" i="27"/>
  <c r="J178" i="31"/>
  <c r="J180" i="31" s="1"/>
  <c r="J192" i="31" s="1"/>
  <c r="J196" i="31" s="1"/>
  <c r="J197" i="31" s="1"/>
  <c r="G178" i="31"/>
  <c r="G180" i="31" s="1"/>
  <c r="G192" i="31" s="1"/>
  <c r="G196" i="31" s="1"/>
  <c r="G197" i="31" s="1"/>
  <c r="I178" i="31"/>
  <c r="I180" i="31" s="1"/>
  <c r="N178" i="31"/>
  <c r="N180" i="31" s="1"/>
  <c r="K178" i="31"/>
  <c r="K180" i="31" s="1"/>
  <c r="C178" i="31"/>
  <c r="C180" i="31" s="1"/>
  <c r="M178" i="31"/>
  <c r="M180" i="31" s="1"/>
  <c r="D178" i="31"/>
  <c r="D180" i="31" s="1"/>
  <c r="O180" i="31" s="1"/>
  <c r="H178" i="31"/>
  <c r="H180" i="31" s="1"/>
  <c r="H192" i="31" s="1"/>
  <c r="H196" i="31" s="1"/>
  <c r="H197" i="31" s="1"/>
  <c r="L178" i="31"/>
  <c r="L180" i="31" s="1"/>
  <c r="L192" i="31" s="1"/>
  <c r="L196" i="31" s="1"/>
  <c r="F178" i="31"/>
  <c r="F180" i="31" s="1"/>
  <c r="E178" i="31"/>
  <c r="E180" i="31" s="1"/>
  <c r="E19" i="36"/>
  <c r="J20" i="36" s="1"/>
  <c r="J19" i="27"/>
  <c r="F14" i="41"/>
  <c r="G14" i="41" s="1"/>
  <c r="H14" i="41" s="1"/>
  <c r="G15" i="40"/>
  <c r="H15" i="40" s="1"/>
  <c r="O136" i="33"/>
  <c r="C172" i="33"/>
  <c r="I192" i="31"/>
  <c r="I196" i="31" s="1"/>
  <c r="I197" i="31" s="1"/>
  <c r="M192" i="31"/>
  <c r="M196" i="31" s="1"/>
  <c r="K192" i="31"/>
  <c r="K196" i="31" s="1"/>
  <c r="K197" i="31" s="1"/>
  <c r="C192" i="31"/>
  <c r="C196" i="31" s="1"/>
  <c r="N192" i="31"/>
  <c r="N196" i="31" s="1"/>
  <c r="N197" i="31" s="1"/>
  <c r="I32" i="42"/>
  <c r="O24" i="30"/>
  <c r="O82" i="3"/>
  <c r="C83" i="3"/>
  <c r="N84" i="3" s="1"/>
  <c r="D23" i="31"/>
  <c r="D28" i="31" s="1"/>
  <c r="L23" i="31"/>
  <c r="L28" i="31" s="1"/>
  <c r="E23" i="31"/>
  <c r="E28" i="31" s="1"/>
  <c r="M23" i="31"/>
  <c r="M28" i="31" s="1"/>
  <c r="F23" i="31"/>
  <c r="F28" i="31" s="1"/>
  <c r="N23" i="31"/>
  <c r="N28" i="31" s="1"/>
  <c r="G23" i="31"/>
  <c r="G28" i="31" s="1"/>
  <c r="C23" i="31"/>
  <c r="C28" i="31" s="1"/>
  <c r="H23" i="31"/>
  <c r="H28" i="31" s="1"/>
  <c r="K23" i="31"/>
  <c r="K28" i="31" s="1"/>
  <c r="I23" i="31"/>
  <c r="I28" i="31" s="1"/>
  <c r="J23" i="31"/>
  <c r="J28" i="31" s="1"/>
  <c r="O87" i="30"/>
  <c r="G10" i="47" s="1"/>
  <c r="I10" i="47" s="1"/>
  <c r="J10" i="47" s="1"/>
  <c r="O88" i="30"/>
  <c r="J55" i="30"/>
  <c r="J56" i="30" s="1"/>
  <c r="I55" i="30"/>
  <c r="I56" i="30" s="1"/>
  <c r="K55" i="30"/>
  <c r="K56" i="30" s="1"/>
  <c r="H55" i="30"/>
  <c r="H56" i="30" s="1"/>
  <c r="G55" i="30"/>
  <c r="G56" i="30" s="1"/>
  <c r="N55" i="30"/>
  <c r="N56" i="30" s="1"/>
  <c r="F55" i="30"/>
  <c r="F56" i="30" s="1"/>
  <c r="M55" i="30"/>
  <c r="M56" i="30" s="1"/>
  <c r="E55" i="30"/>
  <c r="E56" i="30" s="1"/>
  <c r="L55" i="30"/>
  <c r="L56" i="30" s="1"/>
  <c r="D55" i="30"/>
  <c r="D56" i="30" s="1"/>
  <c r="O23" i="30"/>
  <c r="G8" i="47" s="1"/>
  <c r="I8" i="47" s="1"/>
  <c r="J8" i="47" s="1"/>
  <c r="D83" i="3"/>
  <c r="O126" i="31"/>
  <c r="O376" i="33"/>
  <c r="C411" i="33"/>
  <c r="O157" i="31"/>
  <c r="E161" i="31"/>
  <c r="H16" i="33"/>
  <c r="O51" i="32"/>
  <c r="J45" i="32"/>
  <c r="J12" i="32"/>
  <c r="O47" i="31"/>
  <c r="E81" i="31"/>
  <c r="E92" i="31" s="1"/>
  <c r="E114" i="31"/>
  <c r="E15" i="33"/>
  <c r="O50" i="32"/>
  <c r="F370" i="35"/>
  <c r="M371" i="35"/>
  <c r="N47" i="32"/>
  <c r="N10" i="33"/>
  <c r="O130" i="33"/>
  <c r="C166" i="33"/>
  <c r="C159" i="33"/>
  <c r="E535" i="35"/>
  <c r="D81" i="31"/>
  <c r="D92" i="31" s="1"/>
  <c r="D114" i="31"/>
  <c r="O79" i="31"/>
  <c r="C191" i="33"/>
  <c r="I372" i="35"/>
  <c r="C162" i="33"/>
  <c r="C236" i="33"/>
  <c r="O194" i="33"/>
  <c r="C230" i="33"/>
  <c r="N402" i="35"/>
  <c r="D11" i="33"/>
  <c r="O46" i="32"/>
  <c r="C160" i="33"/>
  <c r="L81" i="31"/>
  <c r="L92" i="31" s="1"/>
  <c r="L114" i="31"/>
  <c r="F47" i="32"/>
  <c r="F10" i="33"/>
  <c r="O57" i="31"/>
  <c r="K404" i="35"/>
  <c r="H45" i="32"/>
  <c r="H12" i="32"/>
  <c r="M81" i="31"/>
  <c r="M92" i="31" s="1"/>
  <c r="M114" i="31"/>
  <c r="C92" i="31"/>
  <c r="D90" i="33"/>
  <c r="O54" i="33"/>
  <c r="K47" i="32"/>
  <c r="K10" i="33"/>
  <c r="I47" i="32"/>
  <c r="I10" i="33"/>
  <c r="F20" i="33"/>
  <c r="O54" i="32"/>
  <c r="G10" i="33"/>
  <c r="G47" i="32"/>
  <c r="O113" i="31"/>
  <c r="C148" i="31"/>
  <c r="C116" i="31"/>
  <c r="C10" i="32"/>
  <c r="D192" i="31"/>
  <c r="D196" i="31" s="1"/>
  <c r="F192" i="31"/>
  <c r="F196" i="31" s="1"/>
  <c r="F197" i="31" s="1"/>
  <c r="E192" i="31"/>
  <c r="G40" i="32"/>
  <c r="H40" i="32"/>
  <c r="I40" i="32"/>
  <c r="J40" i="32"/>
  <c r="C40" i="32"/>
  <c r="K40" i="32"/>
  <c r="D40" i="32"/>
  <c r="L40" i="32"/>
  <c r="E40" i="32"/>
  <c r="M40" i="32"/>
  <c r="F40" i="32"/>
  <c r="N40" i="32"/>
  <c r="O107" i="30"/>
  <c r="J21" i="28"/>
  <c r="N21" i="28" s="1"/>
  <c r="O21" i="28" s="1"/>
  <c r="I22" i="28"/>
  <c r="N20" i="28"/>
  <c r="O20" i="28" s="1"/>
  <c r="P20" i="28" s="1"/>
  <c r="M20" i="28"/>
  <c r="F37" i="62" l="1" a="1"/>
  <c r="F37" i="62" s="1"/>
  <c r="K37" i="62" a="1"/>
  <c r="K37" i="62" s="1"/>
  <c r="E37" i="62" a="1"/>
  <c r="E37" i="62" s="1"/>
  <c r="I37" i="62" a="1"/>
  <c r="I37" i="62" s="1"/>
  <c r="Q37" i="63"/>
  <c r="D38" i="63" s="1"/>
  <c r="F38" i="63" s="1" a="1"/>
  <c r="F38" i="63" s="1"/>
  <c r="E20" i="36"/>
  <c r="J21" i="36" s="1"/>
  <c r="J20" i="27"/>
  <c r="G24" i="42"/>
  <c r="H24" i="42" s="1"/>
  <c r="H22" i="27"/>
  <c r="I21" i="27"/>
  <c r="J4" i="32"/>
  <c r="J6" i="32" s="1"/>
  <c r="J18" i="32" s="1"/>
  <c r="J22" i="32" s="1"/>
  <c r="J23" i="32" s="1"/>
  <c r="G4" i="32"/>
  <c r="G6" i="32" s="1"/>
  <c r="G18" i="32" s="1"/>
  <c r="G22" i="32" s="1"/>
  <c r="G23" i="32" s="1"/>
  <c r="C4" i="32"/>
  <c r="C6" i="32" s="1"/>
  <c r="O6" i="32" s="1"/>
  <c r="H4" i="32"/>
  <c r="H6" i="32" s="1"/>
  <c r="L4" i="32"/>
  <c r="L6" i="32" s="1"/>
  <c r="K4" i="32"/>
  <c r="K6" i="32" s="1"/>
  <c r="I4" i="32"/>
  <c r="I6" i="32" s="1"/>
  <c r="D4" i="32"/>
  <c r="D6" i="32" s="1"/>
  <c r="E4" i="32"/>
  <c r="E6" i="32" s="1"/>
  <c r="M4" i="32"/>
  <c r="M6" i="32" s="1"/>
  <c r="M18" i="32" s="1"/>
  <c r="M22" i="32" s="1"/>
  <c r="F4" i="32"/>
  <c r="F6" i="32" s="1"/>
  <c r="F18" i="32" s="1"/>
  <c r="F22" i="32" s="1"/>
  <c r="F23" i="32" s="1"/>
  <c r="N4" i="32"/>
  <c r="N6" i="32" s="1"/>
  <c r="M19" i="27"/>
  <c r="N19" i="27"/>
  <c r="O19" i="27" s="1"/>
  <c r="P19" i="27" s="1"/>
  <c r="O161" i="31"/>
  <c r="F15" i="41"/>
  <c r="G15" i="41" s="1"/>
  <c r="H15" i="41" s="1"/>
  <c r="G16" i="40"/>
  <c r="H16" i="40" s="1"/>
  <c r="C208" i="33"/>
  <c r="O172" i="33"/>
  <c r="C58" i="31"/>
  <c r="C62" i="31" s="1"/>
  <c r="H18" i="32"/>
  <c r="H22" i="32" s="1"/>
  <c r="H23" i="32" s="1"/>
  <c r="I31" i="42"/>
  <c r="N18" i="32"/>
  <c r="N22" i="32" s="1"/>
  <c r="N23" i="32" s="1"/>
  <c r="I18" i="32"/>
  <c r="I22" i="32" s="1"/>
  <c r="I23" i="32" s="1"/>
  <c r="K18" i="32"/>
  <c r="K22" i="32" s="1"/>
  <c r="K23" i="32" s="1"/>
  <c r="D18" i="32"/>
  <c r="D22" i="32" s="1"/>
  <c r="J58" i="31"/>
  <c r="J62" i="31" s="1"/>
  <c r="I58" i="31"/>
  <c r="I62" i="31" s="1"/>
  <c r="H58" i="31"/>
  <c r="H62" i="31" s="1"/>
  <c r="G58" i="31"/>
  <c r="G62" i="31" s="1"/>
  <c r="K58" i="31"/>
  <c r="K62" i="31" s="1"/>
  <c r="N58" i="31"/>
  <c r="N62" i="31" s="1"/>
  <c r="F58" i="31"/>
  <c r="F62" i="31" s="1"/>
  <c r="D58" i="31"/>
  <c r="D62" i="31" s="1"/>
  <c r="M58" i="31"/>
  <c r="M62" i="31" s="1"/>
  <c r="E58" i="31"/>
  <c r="E62" i="31" s="1"/>
  <c r="L58" i="31"/>
  <c r="L62" i="31" s="1"/>
  <c r="O55" i="30"/>
  <c r="G9" i="47" s="1"/>
  <c r="I9" i="47" s="1"/>
  <c r="J9" i="47" s="1"/>
  <c r="O23" i="31"/>
  <c r="O28" i="31"/>
  <c r="O56" i="30"/>
  <c r="O83" i="3"/>
  <c r="N115" i="3"/>
  <c r="N146" i="3" s="1"/>
  <c r="O411" i="33"/>
  <c r="C17" i="34"/>
  <c r="L116" i="31"/>
  <c r="L127" i="31" s="1"/>
  <c r="L149" i="31"/>
  <c r="O166" i="33"/>
  <c r="C202" i="33"/>
  <c r="N434" i="35"/>
  <c r="O148" i="31"/>
  <c r="C183" i="31"/>
  <c r="C151" i="31"/>
  <c r="H47" i="32"/>
  <c r="H10" i="33"/>
  <c r="C196" i="33"/>
  <c r="D116" i="31"/>
  <c r="D127" i="31" s="1"/>
  <c r="D149" i="31"/>
  <c r="O114" i="31"/>
  <c r="I404" i="35"/>
  <c r="F402" i="35"/>
  <c r="J47" i="32"/>
  <c r="J10" i="33"/>
  <c r="C227" i="33"/>
  <c r="C127" i="31"/>
  <c r="K46" i="33"/>
  <c r="K12" i="33"/>
  <c r="D126" i="33"/>
  <c r="O90" i="33"/>
  <c r="K436" i="35"/>
  <c r="F46" i="33"/>
  <c r="F12" i="33"/>
  <c r="O230" i="33"/>
  <c r="C266" i="33"/>
  <c r="E567" i="35"/>
  <c r="E599" i="35" s="1"/>
  <c r="E631" i="35" s="1"/>
  <c r="M403" i="35"/>
  <c r="O92" i="31"/>
  <c r="D47" i="33"/>
  <c r="O11" i="33"/>
  <c r="F54" i="34"/>
  <c r="F56" i="33"/>
  <c r="O20" i="33"/>
  <c r="C272" i="33"/>
  <c r="C195" i="33"/>
  <c r="N46" i="33"/>
  <c r="N12" i="33"/>
  <c r="E51" i="33"/>
  <c r="O15" i="33"/>
  <c r="H52" i="33"/>
  <c r="O16" i="33"/>
  <c r="C189" i="34"/>
  <c r="C198" i="33"/>
  <c r="G46" i="33"/>
  <c r="G12" i="33"/>
  <c r="O81" i="31"/>
  <c r="C45" i="32"/>
  <c r="I46" i="33"/>
  <c r="I12" i="33"/>
  <c r="M116" i="31"/>
  <c r="M127" i="31" s="1"/>
  <c r="M149" i="31"/>
  <c r="E116" i="31"/>
  <c r="E127" i="31" s="1"/>
  <c r="E149" i="31"/>
  <c r="O192" i="31"/>
  <c r="E196" i="31"/>
  <c r="L18" i="32"/>
  <c r="L22" i="32" s="1"/>
  <c r="E18" i="32"/>
  <c r="E22" i="32" s="1"/>
  <c r="I5" i="33"/>
  <c r="H5" i="33"/>
  <c r="J5" i="33"/>
  <c r="C5" i="33"/>
  <c r="K5" i="33"/>
  <c r="D5" i="33"/>
  <c r="L5" i="33"/>
  <c r="E5" i="33"/>
  <c r="M5" i="33"/>
  <c r="F5" i="33"/>
  <c r="N5" i="33"/>
  <c r="G5" i="33"/>
  <c r="O117" i="30"/>
  <c r="C118" i="30" s="1"/>
  <c r="J22" i="28"/>
  <c r="I23" i="28"/>
  <c r="P21" i="28"/>
  <c r="M21" i="28"/>
  <c r="Q37" i="62" l="1"/>
  <c r="D38" i="62" s="1"/>
  <c r="I38" i="62" s="1" a="1"/>
  <c r="I38" i="62" s="1"/>
  <c r="K38" i="63" a="1"/>
  <c r="K38" i="63" s="1"/>
  <c r="E38" i="63" a="1"/>
  <c r="E38" i="63" s="1"/>
  <c r="I38" i="63" a="1"/>
  <c r="I38" i="63" s="1"/>
  <c r="N38" i="63" a="1"/>
  <c r="N38" i="63" s="1"/>
  <c r="C18" i="32"/>
  <c r="C22" i="32" s="1"/>
  <c r="E21" i="36"/>
  <c r="J22" i="36" s="1"/>
  <c r="J21" i="27"/>
  <c r="N21" i="27" s="1"/>
  <c r="O21" i="27" s="1"/>
  <c r="P21" i="27" s="1"/>
  <c r="H23" i="27"/>
  <c r="G25" i="42"/>
  <c r="H25" i="42" s="1"/>
  <c r="I22" i="27"/>
  <c r="N39" i="32"/>
  <c r="N41" i="32" s="1"/>
  <c r="N53" i="32" s="1"/>
  <c r="N57" i="32" s="1"/>
  <c r="N58" i="32" s="1"/>
  <c r="L39" i="32"/>
  <c r="L41" i="32" s="1"/>
  <c r="L53" i="32" s="1"/>
  <c r="L57" i="32" s="1"/>
  <c r="J39" i="32"/>
  <c r="J41" i="32" s="1"/>
  <c r="J53" i="32" s="1"/>
  <c r="M39" i="32"/>
  <c r="M41" i="32" s="1"/>
  <c r="M53" i="32" s="1"/>
  <c r="G39" i="32"/>
  <c r="G41" i="32" s="1"/>
  <c r="C39" i="32"/>
  <c r="C41" i="32" s="1"/>
  <c r="C53" i="32" s="1"/>
  <c r="I39" i="32"/>
  <c r="I41" i="32" s="1"/>
  <c r="E39" i="32"/>
  <c r="E41" i="32" s="1"/>
  <c r="K39" i="32"/>
  <c r="K41" i="32" s="1"/>
  <c r="K53" i="32" s="1"/>
  <c r="K57" i="32" s="1"/>
  <c r="K58" i="32" s="1"/>
  <c r="H39" i="32"/>
  <c r="H41" i="32" s="1"/>
  <c r="H53" i="32" s="1"/>
  <c r="H57" i="32" s="1"/>
  <c r="H58" i="32" s="1"/>
  <c r="F39" i="32"/>
  <c r="F41" i="32" s="1"/>
  <c r="F53" i="32" s="1"/>
  <c r="D39" i="32"/>
  <c r="D41" i="32" s="1"/>
  <c r="N20" i="27"/>
  <c r="O20" i="27" s="1"/>
  <c r="P20" i="27" s="1"/>
  <c r="M20" i="27"/>
  <c r="G12" i="47"/>
  <c r="I12" i="47" s="1"/>
  <c r="J12" i="47" s="1"/>
  <c r="C12" i="55"/>
  <c r="M21" i="27"/>
  <c r="O54" i="34"/>
  <c r="F88" i="34"/>
  <c r="O88" i="34" s="1"/>
  <c r="F16" i="41"/>
  <c r="G16" i="41" s="1"/>
  <c r="H16" i="41" s="1"/>
  <c r="G17" i="40"/>
  <c r="H17" i="40" s="1"/>
  <c r="N177" i="3"/>
  <c r="N25" i="30" s="1"/>
  <c r="N57" i="30" s="1"/>
  <c r="N89" i="30" s="1"/>
  <c r="O208" i="33"/>
  <c r="C244" i="33"/>
  <c r="I30" i="42"/>
  <c r="N93" i="31"/>
  <c r="N97" i="31" s="1"/>
  <c r="F93" i="31"/>
  <c r="F97" i="31" s="1"/>
  <c r="M93" i="31"/>
  <c r="M97" i="31" s="1"/>
  <c r="E93" i="31"/>
  <c r="E97" i="31" s="1"/>
  <c r="G93" i="31"/>
  <c r="G97" i="31" s="1"/>
  <c r="L93" i="31"/>
  <c r="L97" i="31" s="1"/>
  <c r="D93" i="31"/>
  <c r="D97" i="31" s="1"/>
  <c r="K93" i="31"/>
  <c r="K97" i="31" s="1"/>
  <c r="C93" i="31"/>
  <c r="C97" i="31" s="1"/>
  <c r="J93" i="31"/>
  <c r="J97" i="31" s="1"/>
  <c r="H93" i="31"/>
  <c r="H97" i="31" s="1"/>
  <c r="I93" i="31"/>
  <c r="I97" i="31" s="1"/>
  <c r="J118" i="30"/>
  <c r="J121" i="30" s="1"/>
  <c r="I118" i="30"/>
  <c r="I121" i="30" s="1"/>
  <c r="C121" i="30"/>
  <c r="H118" i="30"/>
  <c r="H121" i="30" s="1"/>
  <c r="G118" i="30"/>
  <c r="G121" i="30" s="1"/>
  <c r="K118" i="30"/>
  <c r="K121" i="30" s="1"/>
  <c r="N118" i="30"/>
  <c r="N121" i="30" s="1"/>
  <c r="F118" i="30"/>
  <c r="F121" i="30" s="1"/>
  <c r="D118" i="30"/>
  <c r="D121" i="30" s="1"/>
  <c r="M118" i="30"/>
  <c r="M121" i="30" s="1"/>
  <c r="E118" i="30"/>
  <c r="E121" i="30" s="1"/>
  <c r="L118" i="30"/>
  <c r="L121" i="30" s="1"/>
  <c r="O58" i="31"/>
  <c r="O62" i="31"/>
  <c r="C51" i="34"/>
  <c r="O17" i="34"/>
  <c r="F89" i="34"/>
  <c r="O89" i="34" s="1"/>
  <c r="F92" i="33"/>
  <c r="O56" i="33"/>
  <c r="O266" i="33"/>
  <c r="C302" i="33"/>
  <c r="C10" i="33"/>
  <c r="C234" i="33"/>
  <c r="E87" i="33"/>
  <c r="O51" i="33"/>
  <c r="K82" i="33"/>
  <c r="K48" i="33"/>
  <c r="C231" i="33"/>
  <c r="O127" i="31"/>
  <c r="C128" i="31" s="1"/>
  <c r="C132" i="31" s="1"/>
  <c r="C308" i="33"/>
  <c r="F82" i="33"/>
  <c r="F48" i="33"/>
  <c r="O116" i="31"/>
  <c r="F434" i="35"/>
  <c r="O149" i="31"/>
  <c r="D184" i="31"/>
  <c r="D151" i="31"/>
  <c r="D162" i="31" s="1"/>
  <c r="H46" i="33"/>
  <c r="H12" i="33"/>
  <c r="N466" i="35"/>
  <c r="M435" i="35"/>
  <c r="O202" i="33"/>
  <c r="C238" i="33"/>
  <c r="C19" i="35"/>
  <c r="I82" i="33"/>
  <c r="I48" i="33"/>
  <c r="K468" i="35"/>
  <c r="C263" i="33"/>
  <c r="I436" i="35"/>
  <c r="C162" i="31"/>
  <c r="M151" i="31"/>
  <c r="M162" i="31" s="1"/>
  <c r="M184" i="31"/>
  <c r="E184" i="31"/>
  <c r="E151" i="31"/>
  <c r="E162" i="31" s="1"/>
  <c r="N82" i="33"/>
  <c r="N48" i="33"/>
  <c r="D83" i="33"/>
  <c r="O47" i="33"/>
  <c r="E663" i="35"/>
  <c r="E695" i="35" s="1"/>
  <c r="J12" i="33"/>
  <c r="J46" i="33"/>
  <c r="C232" i="33"/>
  <c r="C186" i="31"/>
  <c r="C9" i="32"/>
  <c r="O183" i="31"/>
  <c r="L151" i="31"/>
  <c r="L162" i="31" s="1"/>
  <c r="L184" i="31"/>
  <c r="G82" i="33"/>
  <c r="G48" i="33"/>
  <c r="H88" i="33"/>
  <c r="O52" i="33"/>
  <c r="D162" i="33"/>
  <c r="O126" i="33"/>
  <c r="D53" i="32"/>
  <c r="D57" i="32" s="1"/>
  <c r="G53" i="32"/>
  <c r="G57" i="32" s="1"/>
  <c r="G58" i="32" s="1"/>
  <c r="O18" i="32"/>
  <c r="E53" i="32"/>
  <c r="I53" i="32"/>
  <c r="I57" i="32" s="1"/>
  <c r="I58" i="32" s="1"/>
  <c r="O196" i="31"/>
  <c r="O41" i="32"/>
  <c r="J57" i="32"/>
  <c r="J58" i="32" s="1"/>
  <c r="M57" i="32"/>
  <c r="C57" i="32"/>
  <c r="O22" i="32"/>
  <c r="J41" i="33"/>
  <c r="C41" i="33"/>
  <c r="I41" i="33"/>
  <c r="K41" i="33"/>
  <c r="D41" i="33"/>
  <c r="L41" i="33"/>
  <c r="E41" i="33"/>
  <c r="M41" i="33"/>
  <c r="F41" i="33"/>
  <c r="N41" i="33"/>
  <c r="G41" i="33"/>
  <c r="H41" i="33"/>
  <c r="F57" i="32"/>
  <c r="F58" i="32" s="1"/>
  <c r="J23" i="28"/>
  <c r="N23" i="28" s="1"/>
  <c r="O23" i="28" s="1"/>
  <c r="I24" i="28"/>
  <c r="M22" i="28"/>
  <c r="N22" i="28"/>
  <c r="O22" i="28" s="1"/>
  <c r="P22" i="28" s="1"/>
  <c r="K38" i="62" l="1" a="1"/>
  <c r="K38" i="62" s="1"/>
  <c r="F38" i="62" a="1"/>
  <c r="F38" i="62" s="1"/>
  <c r="E38" i="62" a="1"/>
  <c r="E38" i="62" s="1"/>
  <c r="N38" i="62" a="1"/>
  <c r="N38" i="62" s="1"/>
  <c r="Q38" i="63"/>
  <c r="D39" i="63" s="1"/>
  <c r="F39" i="63" s="1" a="1"/>
  <c r="F39" i="63" s="1"/>
  <c r="D12" i="55"/>
  <c r="E12" i="55" s="1"/>
  <c r="E22" i="36"/>
  <c r="J23" i="36" s="1"/>
  <c r="J22" i="27"/>
  <c r="N22" i="27" s="1"/>
  <c r="O22" i="27" s="1"/>
  <c r="P22" i="27" s="1"/>
  <c r="N76" i="33" s="1"/>
  <c r="M22" i="27"/>
  <c r="G26" i="42"/>
  <c r="H26" i="42" s="1"/>
  <c r="H24" i="27"/>
  <c r="I23" i="27"/>
  <c r="N42" i="33"/>
  <c r="N55" i="33" s="1"/>
  <c r="K4" i="33"/>
  <c r="K6" i="33" s="1"/>
  <c r="K19" i="33" s="1"/>
  <c r="K23" i="33" s="1"/>
  <c r="K24" i="33" s="1"/>
  <c r="C4" i="33"/>
  <c r="C6" i="33" s="1"/>
  <c r="N4" i="33"/>
  <c r="N6" i="33" s="1"/>
  <c r="G4" i="33"/>
  <c r="G6" i="33" s="1"/>
  <c r="D4" i="33"/>
  <c r="D6" i="33" s="1"/>
  <c r="O6" i="33" s="1"/>
  <c r="M4" i="33"/>
  <c r="M6" i="33" s="1"/>
  <c r="M19" i="33" s="1"/>
  <c r="M23" i="33" s="1"/>
  <c r="H4" i="33"/>
  <c r="H6" i="33" s="1"/>
  <c r="L4" i="33"/>
  <c r="L6" i="33" s="1"/>
  <c r="L19" i="33" s="1"/>
  <c r="L23" i="33" s="1"/>
  <c r="E4" i="33"/>
  <c r="E6" i="33" s="1"/>
  <c r="E19" i="33" s="1"/>
  <c r="E23" i="33" s="1"/>
  <c r="F4" i="33"/>
  <c r="F6" i="33" s="1"/>
  <c r="I4" i="33"/>
  <c r="I6" i="33" s="1"/>
  <c r="J4" i="33"/>
  <c r="J6" i="33" s="1"/>
  <c r="F42" i="33"/>
  <c r="G13" i="47"/>
  <c r="I13" i="47" s="1"/>
  <c r="J13" i="47" s="1"/>
  <c r="C13" i="55"/>
  <c r="I42" i="33"/>
  <c r="I55" i="33" s="1"/>
  <c r="C42" i="33"/>
  <c r="C55" i="33" s="1"/>
  <c r="E40" i="33"/>
  <c r="E42" i="33" s="1"/>
  <c r="E55" i="33" s="1"/>
  <c r="M40" i="33"/>
  <c r="F40" i="33"/>
  <c r="G40" i="33"/>
  <c r="G42" i="33" s="1"/>
  <c r="G55" i="33" s="1"/>
  <c r="C40" i="33"/>
  <c r="H40" i="33"/>
  <c r="H42" i="33" s="1"/>
  <c r="H55" i="33" s="1"/>
  <c r="L40" i="33"/>
  <c r="L42" i="33" s="1"/>
  <c r="L55" i="33" s="1"/>
  <c r="J40" i="33"/>
  <c r="J42" i="33" s="1"/>
  <c r="J55" i="33" s="1"/>
  <c r="K40" i="33"/>
  <c r="K42" i="33" s="1"/>
  <c r="K55" i="33" s="1"/>
  <c r="D40" i="33"/>
  <c r="D42" i="33" s="1"/>
  <c r="D55" i="33" s="1"/>
  <c r="I40" i="33"/>
  <c r="N40" i="33"/>
  <c r="M42" i="33"/>
  <c r="F17" i="41"/>
  <c r="G17" i="41" s="1"/>
  <c r="H17" i="41" s="1"/>
  <c r="G18" i="40"/>
  <c r="H18" i="40" s="1"/>
  <c r="C280" i="33"/>
  <c r="O244" i="33"/>
  <c r="O97" i="31"/>
  <c r="I29" i="42"/>
  <c r="O93" i="31"/>
  <c r="O118" i="30"/>
  <c r="J128" i="31"/>
  <c r="J132" i="31" s="1"/>
  <c r="I128" i="31"/>
  <c r="I132" i="31" s="1"/>
  <c r="K128" i="31"/>
  <c r="K132" i="31" s="1"/>
  <c r="H128" i="31"/>
  <c r="H132" i="31" s="1"/>
  <c r="G128" i="31"/>
  <c r="G132" i="31" s="1"/>
  <c r="N128" i="31"/>
  <c r="N132" i="31" s="1"/>
  <c r="F128" i="31"/>
  <c r="F132" i="31" s="1"/>
  <c r="M128" i="31"/>
  <c r="M132" i="31" s="1"/>
  <c r="E128" i="31"/>
  <c r="E132" i="31" s="1"/>
  <c r="L128" i="31"/>
  <c r="L132" i="31" s="1"/>
  <c r="D128" i="31"/>
  <c r="D132" i="31" s="1"/>
  <c r="J19" i="33"/>
  <c r="J23" i="33" s="1"/>
  <c r="J24" i="33" s="1"/>
  <c r="N19" i="33"/>
  <c r="N23" i="33" s="1"/>
  <c r="N24" i="33" s="1"/>
  <c r="I19" i="33"/>
  <c r="I23" i="33" s="1"/>
  <c r="I24" i="33" s="1"/>
  <c r="C19" i="33"/>
  <c r="C23" i="33" s="1"/>
  <c r="F19" i="33"/>
  <c r="F23" i="33" s="1"/>
  <c r="F24" i="33" s="1"/>
  <c r="G19" i="33"/>
  <c r="G23" i="33" s="1"/>
  <c r="G24" i="33" s="1"/>
  <c r="H19" i="33"/>
  <c r="H23" i="33" s="1"/>
  <c r="H24" i="33" s="1"/>
  <c r="C85" i="34"/>
  <c r="O51" i="34"/>
  <c r="D189" i="34"/>
  <c r="D198" i="33"/>
  <c r="O162" i="33"/>
  <c r="J82" i="33"/>
  <c r="J48" i="33"/>
  <c r="O162" i="31"/>
  <c r="N498" i="35"/>
  <c r="E123" i="33"/>
  <c r="O87" i="33"/>
  <c r="O302" i="33"/>
  <c r="C338" i="33"/>
  <c r="M467" i="35"/>
  <c r="L186" i="31"/>
  <c r="L197" i="31" s="1"/>
  <c r="L10" i="32"/>
  <c r="N118" i="33"/>
  <c r="N84" i="33"/>
  <c r="O151" i="31"/>
  <c r="C52" i="35"/>
  <c r="C270" i="33"/>
  <c r="F466" i="35"/>
  <c r="O238" i="33"/>
  <c r="C274" i="33"/>
  <c r="H82" i="33"/>
  <c r="H48" i="33"/>
  <c r="F118" i="33"/>
  <c r="F84" i="33"/>
  <c r="C268" i="33"/>
  <c r="C267" i="33"/>
  <c r="C303" i="33" s="1"/>
  <c r="C46" i="33"/>
  <c r="F128" i="33"/>
  <c r="O92" i="33"/>
  <c r="C344" i="33"/>
  <c r="K500" i="35"/>
  <c r="E186" i="31"/>
  <c r="E197" i="31" s="1"/>
  <c r="E10" i="32"/>
  <c r="I468" i="35"/>
  <c r="I118" i="33"/>
  <c r="I84" i="33"/>
  <c r="G118" i="33"/>
  <c r="G84" i="33"/>
  <c r="C44" i="32"/>
  <c r="O9" i="32"/>
  <c r="C12" i="32"/>
  <c r="C23" i="32" s="1"/>
  <c r="M186" i="31"/>
  <c r="M197" i="31" s="1"/>
  <c r="M10" i="32"/>
  <c r="D186" i="31"/>
  <c r="D197" i="31" s="1"/>
  <c r="D10" i="32"/>
  <c r="O184" i="31"/>
  <c r="H124" i="33"/>
  <c r="O88" i="33"/>
  <c r="E727" i="35"/>
  <c r="E759" i="35" s="1"/>
  <c r="E791" i="35" s="1"/>
  <c r="C197" i="31"/>
  <c r="D119" i="33"/>
  <c r="O83" i="33"/>
  <c r="C299" i="33"/>
  <c r="K118" i="33"/>
  <c r="K84" i="33"/>
  <c r="O53" i="32"/>
  <c r="E57" i="32"/>
  <c r="O57" i="32" s="1"/>
  <c r="D19" i="33"/>
  <c r="D23" i="33" s="1"/>
  <c r="F76" i="33"/>
  <c r="M23" i="28"/>
  <c r="F55" i="33"/>
  <c r="M55" i="33"/>
  <c r="E77" i="33"/>
  <c r="M77" i="33"/>
  <c r="L77" i="33"/>
  <c r="F77" i="33"/>
  <c r="N77" i="33"/>
  <c r="G77" i="33"/>
  <c r="C77" i="33"/>
  <c r="H77" i="33"/>
  <c r="D77" i="33"/>
  <c r="I77" i="33"/>
  <c r="J77" i="33"/>
  <c r="K77" i="33"/>
  <c r="P23" i="28"/>
  <c r="J24" i="28"/>
  <c r="I25" i="28"/>
  <c r="Q38" i="62" l="1"/>
  <c r="D39" i="62" s="1"/>
  <c r="I39" i="62" s="1" a="1"/>
  <c r="I39" i="62" s="1"/>
  <c r="K39" i="63" a="1"/>
  <c r="K39" i="63" s="1"/>
  <c r="E39" i="63" a="1"/>
  <c r="E39" i="63" s="1"/>
  <c r="I39" i="63" a="1"/>
  <c r="I39" i="63" s="1"/>
  <c r="N39" i="63" a="1"/>
  <c r="N39" i="63" s="1"/>
  <c r="F12" i="55"/>
  <c r="G12" i="55"/>
  <c r="R29" i="51" s="1"/>
  <c r="E76" i="33"/>
  <c r="H76" i="33"/>
  <c r="O42" i="33"/>
  <c r="M76" i="33"/>
  <c r="M78" i="33" s="1"/>
  <c r="D13" i="55"/>
  <c r="E13" i="55"/>
  <c r="G27" i="42"/>
  <c r="H27" i="42" s="1"/>
  <c r="H25" i="27"/>
  <c r="I24" i="27"/>
  <c r="D76" i="33"/>
  <c r="C76" i="33"/>
  <c r="K76" i="33"/>
  <c r="E23" i="36"/>
  <c r="J24" i="36" s="1"/>
  <c r="J23" i="27"/>
  <c r="L76" i="33"/>
  <c r="G76" i="33"/>
  <c r="J76" i="33"/>
  <c r="G14" i="47"/>
  <c r="I14" i="47" s="1"/>
  <c r="J14" i="47" s="1"/>
  <c r="C14" i="55"/>
  <c r="I76" i="33"/>
  <c r="I78" i="33" s="1"/>
  <c r="G11" i="47"/>
  <c r="I11" i="47" s="1"/>
  <c r="J11" i="47" s="1"/>
  <c r="C11" i="55"/>
  <c r="F18" i="41"/>
  <c r="G18" i="41" s="1"/>
  <c r="H18" i="41" s="1"/>
  <c r="G19" i="40"/>
  <c r="H19" i="40" s="1"/>
  <c r="O280" i="33"/>
  <c r="C316" i="33"/>
  <c r="O132" i="31"/>
  <c r="I28" i="42"/>
  <c r="O121" i="30"/>
  <c r="N122" i="30"/>
  <c r="N29" i="31" s="1"/>
  <c r="N63" i="31" s="1"/>
  <c r="N98" i="31" s="1"/>
  <c r="N133" i="31" s="1"/>
  <c r="O128" i="31"/>
  <c r="N163" i="31"/>
  <c r="N167" i="31" s="1"/>
  <c r="F163" i="31"/>
  <c r="F167" i="31" s="1"/>
  <c r="M163" i="31"/>
  <c r="M167" i="31" s="1"/>
  <c r="E163" i="31"/>
  <c r="E167" i="31" s="1"/>
  <c r="L163" i="31"/>
  <c r="L167" i="31" s="1"/>
  <c r="D163" i="31"/>
  <c r="D167" i="31" s="1"/>
  <c r="K163" i="31"/>
  <c r="K167" i="31" s="1"/>
  <c r="C163" i="31"/>
  <c r="C167" i="31" s="1"/>
  <c r="G163" i="31"/>
  <c r="G167" i="31" s="1"/>
  <c r="J163" i="31"/>
  <c r="J167" i="31" s="1"/>
  <c r="H163" i="31"/>
  <c r="H167" i="31" s="1"/>
  <c r="I163" i="31"/>
  <c r="I167" i="31" s="1"/>
  <c r="C78" i="33"/>
  <c r="E59" i="33"/>
  <c r="C119" i="34"/>
  <c r="O85" i="34"/>
  <c r="E823" i="35"/>
  <c r="E855" i="35" s="1"/>
  <c r="I154" i="33"/>
  <c r="I120" i="33"/>
  <c r="K532" i="35"/>
  <c r="C85" i="35"/>
  <c r="C335" i="33"/>
  <c r="C379" i="33"/>
  <c r="C339" i="33"/>
  <c r="I500" i="35"/>
  <c r="F498" i="35"/>
  <c r="M499" i="35"/>
  <c r="J118" i="33"/>
  <c r="J84" i="33"/>
  <c r="M12" i="32"/>
  <c r="M23" i="32" s="1"/>
  <c r="M45" i="32"/>
  <c r="E159" i="33"/>
  <c r="O123" i="33"/>
  <c r="H160" i="33"/>
  <c r="O124" i="33"/>
  <c r="D155" i="33"/>
  <c r="O119" i="33"/>
  <c r="F164" i="33"/>
  <c r="O128" i="33"/>
  <c r="C306" i="33"/>
  <c r="C373" i="33"/>
  <c r="O338" i="33"/>
  <c r="D234" i="33"/>
  <c r="O198" i="33"/>
  <c r="K154" i="33"/>
  <c r="K120" i="33"/>
  <c r="C9" i="33"/>
  <c r="O44" i="32"/>
  <c r="C47" i="32"/>
  <c r="F154" i="33"/>
  <c r="F120" i="33"/>
  <c r="O197" i="31"/>
  <c r="D12" i="32"/>
  <c r="D23" i="32" s="1"/>
  <c r="D45" i="32"/>
  <c r="O10" i="32"/>
  <c r="G154" i="33"/>
  <c r="G120" i="33"/>
  <c r="E12" i="32"/>
  <c r="E23" i="32" s="1"/>
  <c r="E45" i="32"/>
  <c r="H118" i="33"/>
  <c r="H84" i="33"/>
  <c r="N154" i="33"/>
  <c r="N120" i="33"/>
  <c r="N530" i="35"/>
  <c r="D19" i="35"/>
  <c r="O189" i="34"/>
  <c r="O186" i="31"/>
  <c r="C82" i="33"/>
  <c r="C118" i="33" s="1"/>
  <c r="C304" i="33"/>
  <c r="O274" i="33"/>
  <c r="C310" i="33"/>
  <c r="L12" i="32"/>
  <c r="L23" i="32" s="1"/>
  <c r="L45" i="32"/>
  <c r="D78" i="33"/>
  <c r="D59" i="33"/>
  <c r="K78" i="33"/>
  <c r="J78" i="33"/>
  <c r="O19" i="33"/>
  <c r="G78" i="33"/>
  <c r="F59" i="33"/>
  <c r="F60" i="33" s="1"/>
  <c r="H78" i="33"/>
  <c r="L78" i="33"/>
  <c r="E78" i="33"/>
  <c r="L59" i="33"/>
  <c r="N78" i="33"/>
  <c r="F78" i="33"/>
  <c r="N59" i="33"/>
  <c r="N60" i="33" s="1"/>
  <c r="J59" i="33"/>
  <c r="J60" i="33" s="1"/>
  <c r="M59" i="33"/>
  <c r="O55" i="33"/>
  <c r="H59" i="33"/>
  <c r="H60" i="33" s="1"/>
  <c r="H113" i="33"/>
  <c r="I113" i="33"/>
  <c r="J113" i="33"/>
  <c r="C113" i="33"/>
  <c r="K113" i="33"/>
  <c r="G113" i="33"/>
  <c r="D113" i="33"/>
  <c r="L113" i="33"/>
  <c r="E113" i="33"/>
  <c r="M113" i="33"/>
  <c r="F113" i="33"/>
  <c r="N113" i="33"/>
  <c r="O23" i="33"/>
  <c r="K59" i="33"/>
  <c r="K60" i="33" s="1"/>
  <c r="G59" i="33"/>
  <c r="G60" i="33" s="1"/>
  <c r="C59" i="33"/>
  <c r="I59" i="33"/>
  <c r="I60" i="33" s="1"/>
  <c r="J25" i="28"/>
  <c r="N25" i="28" s="1"/>
  <c r="O25" i="28" s="1"/>
  <c r="N24" i="28"/>
  <c r="O24" i="28" s="1"/>
  <c r="P24" i="28" s="1"/>
  <c r="I26" i="28"/>
  <c r="M24" i="28"/>
  <c r="K39" i="62" l="1" a="1"/>
  <c r="K39" i="62" s="1"/>
  <c r="E39" i="62" a="1"/>
  <c r="E39" i="62" s="1"/>
  <c r="F39" i="62" a="1"/>
  <c r="F39" i="62" s="1"/>
  <c r="N39" i="62" a="1"/>
  <c r="N39" i="62" s="1"/>
  <c r="Q39" i="63"/>
  <c r="D40" i="63" s="1"/>
  <c r="I40" i="63" s="1" a="1"/>
  <c r="I40" i="63" s="1"/>
  <c r="N23" i="27"/>
  <c r="O23" i="27" s="1"/>
  <c r="P23" i="27" s="1"/>
  <c r="M23" i="27"/>
  <c r="F13" i="55"/>
  <c r="G13" i="55" s="1"/>
  <c r="R30" i="51" s="1"/>
  <c r="D14" i="55"/>
  <c r="E14" i="55"/>
  <c r="G15" i="47"/>
  <c r="I15" i="47" s="1"/>
  <c r="J15" i="47" s="1"/>
  <c r="C15" i="55"/>
  <c r="D15" i="55" s="1"/>
  <c r="E15" i="55" s="1"/>
  <c r="E24" i="36"/>
  <c r="J25" i="36" s="1"/>
  <c r="J24" i="27"/>
  <c r="G28" i="42"/>
  <c r="H28" i="42" s="1"/>
  <c r="H26" i="27"/>
  <c r="I25" i="27"/>
  <c r="D11" i="55"/>
  <c r="E11" i="55" s="1"/>
  <c r="O23" i="32"/>
  <c r="C24" i="32" s="1"/>
  <c r="C28" i="32" s="1"/>
  <c r="F19" i="41"/>
  <c r="G19" i="41" s="1"/>
  <c r="H19" i="41"/>
  <c r="G20" i="40"/>
  <c r="H20" i="40" s="1"/>
  <c r="C351" i="33"/>
  <c r="O316" i="33"/>
  <c r="O167" i="31"/>
  <c r="I27" i="42"/>
  <c r="J28" i="42"/>
  <c r="C91" i="33"/>
  <c r="C122" i="34" s="1"/>
  <c r="C156" i="34" s="1"/>
  <c r="F91" i="33"/>
  <c r="F122" i="34" s="1"/>
  <c r="F156" i="34" s="1"/>
  <c r="G91" i="33"/>
  <c r="G122" i="34" s="1"/>
  <c r="G156" i="34" s="1"/>
  <c r="M91" i="33"/>
  <c r="M122" i="34" s="1"/>
  <c r="M156" i="34" s="1"/>
  <c r="E91" i="33"/>
  <c r="E122" i="34" s="1"/>
  <c r="E156" i="34" s="1"/>
  <c r="D91" i="33"/>
  <c r="D122" i="34" s="1"/>
  <c r="D156" i="34" s="1"/>
  <c r="J198" i="31"/>
  <c r="J202" i="31" s="1"/>
  <c r="I198" i="31"/>
  <c r="I202" i="31" s="1"/>
  <c r="K198" i="31"/>
  <c r="K202" i="31" s="1"/>
  <c r="H198" i="31"/>
  <c r="H202" i="31" s="1"/>
  <c r="G198" i="31"/>
  <c r="G202" i="31" s="1"/>
  <c r="N198" i="31"/>
  <c r="N202" i="31" s="1"/>
  <c r="F198" i="31"/>
  <c r="F202" i="31" s="1"/>
  <c r="M198" i="31"/>
  <c r="M202" i="31" s="1"/>
  <c r="E198" i="31"/>
  <c r="E202" i="31" s="1"/>
  <c r="L198" i="31"/>
  <c r="L202" i="31" s="1"/>
  <c r="D198" i="31"/>
  <c r="D202" i="31" s="1"/>
  <c r="C198" i="31"/>
  <c r="C202" i="31" s="1"/>
  <c r="O163" i="31"/>
  <c r="J91" i="33"/>
  <c r="J122" i="34" s="1"/>
  <c r="J156" i="34" s="1"/>
  <c r="K91" i="33"/>
  <c r="K122" i="34" s="1"/>
  <c r="K156" i="34" s="1"/>
  <c r="N168" i="31"/>
  <c r="L91" i="33"/>
  <c r="L122" i="34" s="1"/>
  <c r="L156" i="34" s="1"/>
  <c r="C153" i="34"/>
  <c r="O119" i="34"/>
  <c r="D47" i="32"/>
  <c r="D58" i="32" s="1"/>
  <c r="D10" i="33"/>
  <c r="O45" i="32"/>
  <c r="O373" i="33"/>
  <c r="C408" i="33"/>
  <c r="H196" i="33"/>
  <c r="O160" i="33"/>
  <c r="I532" i="35"/>
  <c r="F530" i="35"/>
  <c r="D52" i="35"/>
  <c r="O19" i="35"/>
  <c r="C340" i="33"/>
  <c r="C342" i="33"/>
  <c r="D191" i="33"/>
  <c r="O155" i="33"/>
  <c r="O12" i="32"/>
  <c r="K564" i="35"/>
  <c r="C414" i="33"/>
  <c r="O9" i="33"/>
  <c r="C45" i="33"/>
  <c r="C12" i="33"/>
  <c r="M531" i="35"/>
  <c r="H154" i="33"/>
  <c r="H120" i="33"/>
  <c r="D270" i="33"/>
  <c r="O234" i="33"/>
  <c r="N562" i="35"/>
  <c r="E195" i="33"/>
  <c r="O159" i="33"/>
  <c r="C374" i="33"/>
  <c r="I190" i="33"/>
  <c r="I156" i="33"/>
  <c r="C118" i="35"/>
  <c r="C154" i="33"/>
  <c r="N190" i="33"/>
  <c r="N156" i="33"/>
  <c r="F190" i="33"/>
  <c r="F156" i="33"/>
  <c r="K190" i="33"/>
  <c r="K156" i="33"/>
  <c r="F200" i="33"/>
  <c r="O164" i="33"/>
  <c r="M47" i="32"/>
  <c r="M58" i="32" s="1"/>
  <c r="M10" i="33"/>
  <c r="C370" i="33"/>
  <c r="O310" i="33"/>
  <c r="C345" i="33"/>
  <c r="J154" i="33"/>
  <c r="J120" i="33"/>
  <c r="E47" i="32"/>
  <c r="E58" i="32" s="1"/>
  <c r="E10" i="33"/>
  <c r="L47" i="32"/>
  <c r="L58" i="32" s="1"/>
  <c r="L10" i="33"/>
  <c r="G190" i="33"/>
  <c r="G156" i="33"/>
  <c r="C58" i="32"/>
  <c r="H91" i="33"/>
  <c r="H122" i="34" s="1"/>
  <c r="H156" i="34" s="1"/>
  <c r="I91" i="33"/>
  <c r="I122" i="34" s="1"/>
  <c r="I156" i="34" s="1"/>
  <c r="N91" i="33"/>
  <c r="N122" i="34" s="1"/>
  <c r="N156" i="34" s="1"/>
  <c r="O78" i="33"/>
  <c r="O59" i="33"/>
  <c r="K149" i="33"/>
  <c r="D149" i="33"/>
  <c r="L149" i="33"/>
  <c r="E149" i="33"/>
  <c r="M149" i="33"/>
  <c r="F149" i="33"/>
  <c r="N149" i="33"/>
  <c r="G149" i="33"/>
  <c r="H149" i="33"/>
  <c r="I149" i="33"/>
  <c r="J149" i="33"/>
  <c r="C149" i="33"/>
  <c r="M25" i="28"/>
  <c r="P25" i="28"/>
  <c r="J26" i="28"/>
  <c r="I27" i="28"/>
  <c r="Q39" i="62" l="1"/>
  <c r="D40" i="62" s="1"/>
  <c r="K40" i="62" s="1" a="1"/>
  <c r="K40" i="62" s="1"/>
  <c r="N40" i="63" a="1"/>
  <c r="N40" i="63" s="1"/>
  <c r="E40" i="63" a="1"/>
  <c r="E40" i="63" s="1"/>
  <c r="K40" i="63" a="1"/>
  <c r="K40" i="63" s="1"/>
  <c r="F40" i="63" a="1"/>
  <c r="F40" i="63" s="1"/>
  <c r="E25" i="36"/>
  <c r="J26" i="36" s="1"/>
  <c r="J25" i="27"/>
  <c r="G14" i="55"/>
  <c r="R31" i="51" s="1"/>
  <c r="F14" i="55"/>
  <c r="G16" i="47"/>
  <c r="I16" i="47" s="1"/>
  <c r="J16" i="47" s="1"/>
  <c r="C16" i="55"/>
  <c r="F11" i="55"/>
  <c r="G11" i="55" s="1"/>
  <c r="R28" i="51" s="1"/>
  <c r="D29" i="51" s="1"/>
  <c r="F15" i="55"/>
  <c r="G15" i="55" s="1"/>
  <c r="R32" i="51" s="1"/>
  <c r="H27" i="27"/>
  <c r="G29" i="42"/>
  <c r="H29" i="42" s="1"/>
  <c r="J29" i="42" s="1"/>
  <c r="I26" i="27"/>
  <c r="M24" i="27"/>
  <c r="N24" i="27"/>
  <c r="O24" i="27" s="1"/>
  <c r="P24" i="27" s="1"/>
  <c r="L112" i="33"/>
  <c r="L114" i="33" s="1"/>
  <c r="L127" i="33" s="1"/>
  <c r="L157" i="34" s="1"/>
  <c r="L190" i="34" s="1"/>
  <c r="L20" i="35" s="1"/>
  <c r="L53" i="35" s="1"/>
  <c r="L86" i="35" s="1"/>
  <c r="L119" i="35" s="1"/>
  <c r="L120" i="35" s="1"/>
  <c r="I112" i="33"/>
  <c r="I114" i="33" s="1"/>
  <c r="I127" i="33" s="1"/>
  <c r="I157" i="34" s="1"/>
  <c r="I190" i="34" s="1"/>
  <c r="I20" i="35" s="1"/>
  <c r="I53" i="35" s="1"/>
  <c r="I86" i="35" s="1"/>
  <c r="I119" i="35" s="1"/>
  <c r="F112" i="33"/>
  <c r="F114" i="33" s="1"/>
  <c r="F127" i="33" s="1"/>
  <c r="F157" i="34" s="1"/>
  <c r="F190" i="34" s="1"/>
  <c r="F20" i="35" s="1"/>
  <c r="F53" i="35" s="1"/>
  <c r="F86" i="35" s="1"/>
  <c r="F119" i="35" s="1"/>
  <c r="N112" i="33"/>
  <c r="N114" i="33" s="1"/>
  <c r="N127" i="33" s="1"/>
  <c r="N157" i="34" s="1"/>
  <c r="N190" i="34" s="1"/>
  <c r="N20" i="35" s="1"/>
  <c r="N53" i="35" s="1"/>
  <c r="N86" i="35" s="1"/>
  <c r="N119" i="35" s="1"/>
  <c r="D112" i="33"/>
  <c r="D114" i="33" s="1"/>
  <c r="D127" i="33" s="1"/>
  <c r="D157" i="34" s="1"/>
  <c r="D190" i="34" s="1"/>
  <c r="D20" i="35" s="1"/>
  <c r="D53" i="35" s="1"/>
  <c r="D86" i="35" s="1"/>
  <c r="E112" i="33"/>
  <c r="E114" i="33" s="1"/>
  <c r="E127" i="33" s="1"/>
  <c r="E157" i="34" s="1"/>
  <c r="E190" i="34" s="1"/>
  <c r="J112" i="33"/>
  <c r="J114" i="33" s="1"/>
  <c r="J127" i="33" s="1"/>
  <c r="J157" i="34" s="1"/>
  <c r="J190" i="34" s="1"/>
  <c r="J20" i="35" s="1"/>
  <c r="J53" i="35" s="1"/>
  <c r="J86" i="35" s="1"/>
  <c r="J119" i="35" s="1"/>
  <c r="J152" i="35" s="1"/>
  <c r="G112" i="33"/>
  <c r="G114" i="33" s="1"/>
  <c r="G127" i="33" s="1"/>
  <c r="G157" i="34" s="1"/>
  <c r="G190" i="34" s="1"/>
  <c r="G20" i="35" s="1"/>
  <c r="G53" i="35" s="1"/>
  <c r="G86" i="35" s="1"/>
  <c r="G119" i="35" s="1"/>
  <c r="M112" i="33"/>
  <c r="M114" i="33" s="1"/>
  <c r="M127" i="33" s="1"/>
  <c r="M157" i="34" s="1"/>
  <c r="M190" i="34" s="1"/>
  <c r="M20" i="35" s="1"/>
  <c r="M53" i="35" s="1"/>
  <c r="M86" i="35" s="1"/>
  <c r="M119" i="35" s="1"/>
  <c r="M152" i="35" s="1"/>
  <c r="K112" i="33"/>
  <c r="K114" i="33" s="1"/>
  <c r="K127" i="33" s="1"/>
  <c r="K157" i="34" s="1"/>
  <c r="K190" i="34" s="1"/>
  <c r="K20" i="35" s="1"/>
  <c r="K53" i="35" s="1"/>
  <c r="K86" i="35" s="1"/>
  <c r="K119" i="35" s="1"/>
  <c r="K120" i="35" s="1"/>
  <c r="H112" i="33"/>
  <c r="H114" i="33" s="1"/>
  <c r="H127" i="33" s="1"/>
  <c r="C112" i="33"/>
  <c r="C114" i="33" s="1"/>
  <c r="F20" i="41"/>
  <c r="G20" i="41" s="1"/>
  <c r="H20" i="41" s="1"/>
  <c r="G21" i="40"/>
  <c r="H21" i="40" s="1"/>
  <c r="C95" i="33"/>
  <c r="O351" i="33"/>
  <c r="C386" i="33"/>
  <c r="O202" i="31"/>
  <c r="N152" i="35"/>
  <c r="N120" i="35"/>
  <c r="G152" i="35"/>
  <c r="G120" i="35"/>
  <c r="I152" i="35"/>
  <c r="I120" i="35"/>
  <c r="F152" i="35"/>
  <c r="F120" i="35"/>
  <c r="I26" i="42"/>
  <c r="J27" i="42"/>
  <c r="O156" i="34"/>
  <c r="J95" i="33"/>
  <c r="J96" i="33" s="1"/>
  <c r="L95" i="33"/>
  <c r="M95" i="33"/>
  <c r="E95" i="33"/>
  <c r="D95" i="33"/>
  <c r="G95" i="33"/>
  <c r="G96" i="33" s="1"/>
  <c r="F95" i="33"/>
  <c r="F96" i="33" s="1"/>
  <c r="H95" i="33"/>
  <c r="H96" i="33" s="1"/>
  <c r="K95" i="33"/>
  <c r="K96" i="33" s="1"/>
  <c r="N24" i="32"/>
  <c r="N28" i="32" s="1"/>
  <c r="F24" i="32"/>
  <c r="F28" i="32" s="1"/>
  <c r="M24" i="32"/>
  <c r="M28" i="32" s="1"/>
  <c r="E24" i="32"/>
  <c r="E28" i="32" s="1"/>
  <c r="G24" i="32"/>
  <c r="G28" i="32" s="1"/>
  <c r="L24" i="32"/>
  <c r="L28" i="32" s="1"/>
  <c r="D24" i="32"/>
  <c r="D28" i="32" s="1"/>
  <c r="K24" i="32"/>
  <c r="K28" i="32" s="1"/>
  <c r="J24" i="32"/>
  <c r="J28" i="32" s="1"/>
  <c r="I24" i="32"/>
  <c r="I28" i="32" s="1"/>
  <c r="H24" i="32"/>
  <c r="H28" i="32" s="1"/>
  <c r="O198" i="31"/>
  <c r="N95" i="33"/>
  <c r="N96" i="33" s="1"/>
  <c r="O91" i="33"/>
  <c r="I95" i="33"/>
  <c r="I96" i="33" s="1"/>
  <c r="O153" i="34"/>
  <c r="O345" i="33"/>
  <c r="C380" i="33"/>
  <c r="F226" i="33"/>
  <c r="F192" i="33"/>
  <c r="D306" i="33"/>
  <c r="O270" i="33"/>
  <c r="M46" i="33"/>
  <c r="M12" i="33"/>
  <c r="M24" i="33" s="1"/>
  <c r="D227" i="33"/>
  <c r="O191" i="33"/>
  <c r="O408" i="33"/>
  <c r="C14" i="34"/>
  <c r="L12" i="33"/>
  <c r="L24" i="33" s="1"/>
  <c r="L46" i="33"/>
  <c r="C377" i="33"/>
  <c r="C151" i="35"/>
  <c r="C409" i="33"/>
  <c r="D119" i="35"/>
  <c r="C20" i="34"/>
  <c r="F562" i="35"/>
  <c r="G226" i="33"/>
  <c r="G192" i="33"/>
  <c r="F236" i="33"/>
  <c r="O200" i="33"/>
  <c r="C405" i="33"/>
  <c r="C11" i="34" s="1"/>
  <c r="D85" i="35"/>
  <c r="O52" i="35"/>
  <c r="C48" i="33"/>
  <c r="C24" i="33"/>
  <c r="H232" i="33"/>
  <c r="O196" i="33"/>
  <c r="E46" i="33"/>
  <c r="E12" i="33"/>
  <c r="E24" i="33" s="1"/>
  <c r="D12" i="33"/>
  <c r="D24" i="33" s="1"/>
  <c r="D46" i="33"/>
  <c r="O10" i="33"/>
  <c r="O58" i="32"/>
  <c r="K226" i="33"/>
  <c r="K192" i="33"/>
  <c r="N594" i="35"/>
  <c r="K596" i="35"/>
  <c r="I564" i="35"/>
  <c r="E231" i="33"/>
  <c r="O195" i="33"/>
  <c r="C375" i="33"/>
  <c r="E20" i="35"/>
  <c r="C81" i="33"/>
  <c r="O45" i="33"/>
  <c r="N226" i="33"/>
  <c r="N192" i="33"/>
  <c r="H190" i="33"/>
  <c r="H156" i="33"/>
  <c r="C190" i="33"/>
  <c r="O47" i="32"/>
  <c r="J190" i="33"/>
  <c r="J156" i="33"/>
  <c r="I226" i="33"/>
  <c r="I192" i="33"/>
  <c r="M563" i="35"/>
  <c r="O122" i="34"/>
  <c r="F131" i="33"/>
  <c r="F132" i="33" s="1"/>
  <c r="K131" i="33"/>
  <c r="K132" i="33" s="1"/>
  <c r="N131" i="33"/>
  <c r="N132" i="33" s="1"/>
  <c r="G131" i="33"/>
  <c r="G132" i="33" s="1"/>
  <c r="I185" i="33"/>
  <c r="J185" i="33"/>
  <c r="C185" i="33"/>
  <c r="K185" i="33"/>
  <c r="H185" i="33"/>
  <c r="D185" i="33"/>
  <c r="L185" i="33"/>
  <c r="E185" i="33"/>
  <c r="M185" i="33"/>
  <c r="F185" i="33"/>
  <c r="N185" i="33"/>
  <c r="G185" i="33"/>
  <c r="H131" i="33"/>
  <c r="H132" i="33" s="1"/>
  <c r="H157" i="34"/>
  <c r="H190" i="34" s="1"/>
  <c r="H20" i="35" s="1"/>
  <c r="H53" i="35" s="1"/>
  <c r="H86" i="35" s="1"/>
  <c r="H119" i="35" s="1"/>
  <c r="H152" i="35" s="1"/>
  <c r="H184" i="35" s="1"/>
  <c r="H216" i="35" s="1"/>
  <c r="H248" i="35" s="1"/>
  <c r="H280" i="35" s="1"/>
  <c r="H312" i="35" s="1"/>
  <c r="H344" i="35" s="1"/>
  <c r="H376" i="35" s="1"/>
  <c r="H408" i="35" s="1"/>
  <c r="H440" i="35" s="1"/>
  <c r="H472" i="35" s="1"/>
  <c r="H504" i="35" s="1"/>
  <c r="H536" i="35" s="1"/>
  <c r="H568" i="35" s="1"/>
  <c r="H600" i="35" s="1"/>
  <c r="H632" i="35" s="1"/>
  <c r="H664" i="35" s="1"/>
  <c r="H696" i="35" s="1"/>
  <c r="H728" i="35" s="1"/>
  <c r="H760" i="35" s="1"/>
  <c r="H792" i="35" s="1"/>
  <c r="H824" i="35" s="1"/>
  <c r="H856" i="35" s="1"/>
  <c r="I131" i="33"/>
  <c r="I132" i="33" s="1"/>
  <c r="D131" i="33"/>
  <c r="I28" i="28"/>
  <c r="J27" i="28"/>
  <c r="N27" i="28" s="1"/>
  <c r="O27" i="28" s="1"/>
  <c r="P27" i="28" s="1"/>
  <c r="N26" i="28"/>
  <c r="O26" i="28" s="1"/>
  <c r="P26" i="28" s="1"/>
  <c r="M26" i="28"/>
  <c r="F40" i="62" l="1" a="1"/>
  <c r="F40" i="62" s="1"/>
  <c r="E40" i="62" a="1"/>
  <c r="E40" i="62" s="1"/>
  <c r="I40" i="62" a="1"/>
  <c r="I40" i="62" s="1"/>
  <c r="N40" i="62" a="1"/>
  <c r="N40" i="62" s="1"/>
  <c r="Q40" i="62" s="1"/>
  <c r="D41" i="62" s="1"/>
  <c r="Q40" i="63"/>
  <c r="D41" i="63" s="1"/>
  <c r="N41" i="63" s="1" a="1"/>
  <c r="N41" i="63" s="1"/>
  <c r="E29" i="51" a="1"/>
  <c r="E29" i="51" s="1"/>
  <c r="N29" i="51" a="1"/>
  <c r="N29" i="51" s="1"/>
  <c r="I29" i="51" a="1"/>
  <c r="I29" i="51" s="1"/>
  <c r="K29" i="51" a="1"/>
  <c r="K29" i="51" s="1"/>
  <c r="F29" i="51" a="1"/>
  <c r="F29" i="51" s="1"/>
  <c r="L131" i="33"/>
  <c r="L152" i="35"/>
  <c r="L184" i="35" s="1"/>
  <c r="L148" i="33"/>
  <c r="L150" i="33" s="1"/>
  <c r="I148" i="33"/>
  <c r="I150" i="33" s="1"/>
  <c r="C148" i="33"/>
  <c r="C150" i="33" s="1"/>
  <c r="D148" i="33"/>
  <c r="D150" i="33" s="1"/>
  <c r="E148" i="33"/>
  <c r="E150" i="33" s="1"/>
  <c r="E163" i="33" s="1"/>
  <c r="E167" i="33" s="1"/>
  <c r="M148" i="33"/>
  <c r="M150" i="33" s="1"/>
  <c r="M163" i="33" s="1"/>
  <c r="M167" i="33" s="1"/>
  <c r="F148" i="33"/>
  <c r="F150" i="33" s="1"/>
  <c r="J148" i="33"/>
  <c r="J150" i="33" s="1"/>
  <c r="G148" i="33"/>
  <c r="G150" i="33" s="1"/>
  <c r="K148" i="33"/>
  <c r="K150" i="33" s="1"/>
  <c r="H148" i="33"/>
  <c r="H150" i="33" s="1"/>
  <c r="N148" i="33"/>
  <c r="N150" i="33" s="1"/>
  <c r="J120" i="35"/>
  <c r="E26" i="36"/>
  <c r="J27" i="36" s="1"/>
  <c r="J26" i="27"/>
  <c r="N26" i="27" s="1"/>
  <c r="O26" i="27" s="1"/>
  <c r="P26" i="27" s="1"/>
  <c r="M120" i="35"/>
  <c r="K152" i="35"/>
  <c r="J131" i="33"/>
  <c r="J132" i="33" s="1"/>
  <c r="M131" i="33"/>
  <c r="O114" i="33"/>
  <c r="C127" i="33"/>
  <c r="G30" i="42"/>
  <c r="H30" i="42" s="1"/>
  <c r="J30" i="42" s="1"/>
  <c r="H28" i="27"/>
  <c r="I27" i="27"/>
  <c r="E16" i="55"/>
  <c r="F16" i="55" s="1"/>
  <c r="G16" i="55" s="1"/>
  <c r="R33" i="51" s="1"/>
  <c r="D16" i="55"/>
  <c r="G17" i="47"/>
  <c r="I17" i="47" s="1"/>
  <c r="J17" i="47" s="1"/>
  <c r="C17" i="55"/>
  <c r="N25" i="27"/>
  <c r="O25" i="27" s="1"/>
  <c r="P25" i="27" s="1"/>
  <c r="M25" i="27"/>
  <c r="M26" i="27"/>
  <c r="E131" i="33"/>
  <c r="F21" i="41"/>
  <c r="G21" i="41" s="1"/>
  <c r="H21" i="41" s="1"/>
  <c r="G22" i="40"/>
  <c r="H22" i="40" s="1"/>
  <c r="O386" i="33"/>
  <c r="C421" i="33"/>
  <c r="F163" i="33"/>
  <c r="N163" i="33"/>
  <c r="N167" i="33" s="1"/>
  <c r="N168" i="33" s="1"/>
  <c r="D163" i="33"/>
  <c r="D167" i="33" s="1"/>
  <c r="K163" i="33"/>
  <c r="K167" i="33" s="1"/>
  <c r="K168" i="33" s="1"/>
  <c r="L163" i="33"/>
  <c r="L167" i="33" s="1"/>
  <c r="G163" i="33"/>
  <c r="G167" i="33" s="1"/>
  <c r="G168" i="33" s="1"/>
  <c r="I163" i="33"/>
  <c r="I167" i="33" s="1"/>
  <c r="I168" i="33" s="1"/>
  <c r="I184" i="35"/>
  <c r="I153" i="35"/>
  <c r="G184" i="35"/>
  <c r="G153" i="35"/>
  <c r="J184" i="35"/>
  <c r="J153" i="35"/>
  <c r="N184" i="35"/>
  <c r="N153" i="35"/>
  <c r="K184" i="35"/>
  <c r="K153" i="35"/>
  <c r="F184" i="35"/>
  <c r="F153" i="35"/>
  <c r="M184" i="35"/>
  <c r="M153" i="35"/>
  <c r="I25" i="42"/>
  <c r="J26" i="42"/>
  <c r="N203" i="31"/>
  <c r="N29" i="32" s="1"/>
  <c r="J59" i="32"/>
  <c r="J63" i="32" s="1"/>
  <c r="I59" i="32"/>
  <c r="I63" i="32" s="1"/>
  <c r="H59" i="32"/>
  <c r="H63" i="32" s="1"/>
  <c r="G59" i="32"/>
  <c r="G63" i="32" s="1"/>
  <c r="C59" i="32"/>
  <c r="C63" i="32" s="1"/>
  <c r="N59" i="32"/>
  <c r="N63" i="32" s="1"/>
  <c r="F59" i="32"/>
  <c r="F63" i="32" s="1"/>
  <c r="D59" i="32"/>
  <c r="D63" i="32" s="1"/>
  <c r="K59" i="32"/>
  <c r="K63" i="32" s="1"/>
  <c r="M59" i="32"/>
  <c r="M63" i="32" s="1"/>
  <c r="E59" i="32"/>
  <c r="E63" i="32" s="1"/>
  <c r="L59" i="32"/>
  <c r="L63" i="32" s="1"/>
  <c r="O24" i="32"/>
  <c r="H163" i="33"/>
  <c r="H167" i="33" s="1"/>
  <c r="H168" i="33" s="1"/>
  <c r="O95" i="33"/>
  <c r="O28" i="32"/>
  <c r="K262" i="33"/>
  <c r="K228" i="33"/>
  <c r="O24" i="33"/>
  <c r="G4" i="56" s="1"/>
  <c r="H9" i="56" s="1"/>
  <c r="M82" i="33"/>
  <c r="M48" i="33"/>
  <c r="M60" i="33" s="1"/>
  <c r="H268" i="33"/>
  <c r="O232" i="33"/>
  <c r="J226" i="33"/>
  <c r="J192" i="33"/>
  <c r="E53" i="35"/>
  <c r="N262" i="33"/>
  <c r="N228" i="33"/>
  <c r="O12" i="33"/>
  <c r="C45" i="34"/>
  <c r="G262" i="33"/>
  <c r="G228" i="33"/>
  <c r="D152" i="35"/>
  <c r="L82" i="33"/>
  <c r="L48" i="33"/>
  <c r="L60" i="33" s="1"/>
  <c r="C412" i="33"/>
  <c r="C410" i="33"/>
  <c r="I596" i="35"/>
  <c r="E82" i="33"/>
  <c r="E48" i="33"/>
  <c r="E60" i="33" s="1"/>
  <c r="C60" i="33"/>
  <c r="D342" i="33"/>
  <c r="O306" i="33"/>
  <c r="H226" i="33"/>
  <c r="H192" i="33"/>
  <c r="D118" i="35"/>
  <c r="O85" i="35"/>
  <c r="C15" i="34"/>
  <c r="C48" i="34"/>
  <c r="O14" i="34"/>
  <c r="D82" i="33"/>
  <c r="D48" i="33"/>
  <c r="D60" i="33" s="1"/>
  <c r="O46" i="33"/>
  <c r="M595" i="35"/>
  <c r="K628" i="35"/>
  <c r="F594" i="35"/>
  <c r="C183" i="35"/>
  <c r="O380" i="33"/>
  <c r="C415" i="33"/>
  <c r="F272" i="33"/>
  <c r="O236" i="33"/>
  <c r="F262" i="33"/>
  <c r="F228" i="33"/>
  <c r="I262" i="33"/>
  <c r="I228" i="33"/>
  <c r="C226" i="33"/>
  <c r="E267" i="33"/>
  <c r="O231" i="33"/>
  <c r="C117" i="33"/>
  <c r="C84" i="33"/>
  <c r="O81" i="33"/>
  <c r="N626" i="35"/>
  <c r="D263" i="33"/>
  <c r="O227" i="33"/>
  <c r="F167" i="33"/>
  <c r="F168" i="33" s="1"/>
  <c r="J163" i="33"/>
  <c r="J167" i="33" s="1"/>
  <c r="J168" i="33" s="1"/>
  <c r="C163" i="33"/>
  <c r="C167" i="33" s="1"/>
  <c r="J220" i="33"/>
  <c r="K220" i="33"/>
  <c r="D220" i="33"/>
  <c r="L220" i="33"/>
  <c r="E220" i="33"/>
  <c r="M220" i="33"/>
  <c r="F220" i="33"/>
  <c r="N220" i="33"/>
  <c r="G220" i="33"/>
  <c r="C220" i="33"/>
  <c r="H220" i="33"/>
  <c r="I220" i="33"/>
  <c r="D221" i="33"/>
  <c r="L221" i="33"/>
  <c r="E221" i="33"/>
  <c r="M221" i="33"/>
  <c r="F221" i="33"/>
  <c r="N221" i="33"/>
  <c r="K221" i="33"/>
  <c r="G221" i="33"/>
  <c r="H221" i="33"/>
  <c r="I221" i="33"/>
  <c r="J221" i="33"/>
  <c r="C221" i="33"/>
  <c r="E257" i="33"/>
  <c r="M257" i="33"/>
  <c r="F257" i="33"/>
  <c r="N257" i="33"/>
  <c r="G257" i="33"/>
  <c r="D257" i="33"/>
  <c r="H257" i="33"/>
  <c r="I257" i="33"/>
  <c r="J257" i="33"/>
  <c r="C257" i="33"/>
  <c r="K257" i="33"/>
  <c r="L257" i="33"/>
  <c r="M27" i="28"/>
  <c r="I29" i="28"/>
  <c r="J28" i="28"/>
  <c r="I41" i="62" l="1" a="1"/>
  <c r="I41" i="62" s="1"/>
  <c r="N41" i="62" a="1"/>
  <c r="N41" i="62" s="1"/>
  <c r="F41" i="62" a="1"/>
  <c r="F41" i="62" s="1"/>
  <c r="K41" i="62" a="1"/>
  <c r="K41" i="62" s="1"/>
  <c r="E41" i="62" a="1"/>
  <c r="E41" i="62" s="1"/>
  <c r="Q41" i="62" s="1"/>
  <c r="D42" i="62" s="1"/>
  <c r="I42" i="62" s="1" a="1"/>
  <c r="I42" i="62" s="1"/>
  <c r="I41" i="63" a="1"/>
  <c r="I41" i="63" s="1"/>
  <c r="K41" i="63" a="1"/>
  <c r="K41" i="63" s="1"/>
  <c r="F41" i="63" a="1"/>
  <c r="F41" i="63" s="1"/>
  <c r="E41" i="63" a="1"/>
  <c r="E41" i="63" s="1"/>
  <c r="C131" i="33"/>
  <c r="O131" i="33" s="1"/>
  <c r="C157" i="34"/>
  <c r="O127" i="33"/>
  <c r="O150" i="33"/>
  <c r="N184" i="33"/>
  <c r="N186" i="33" s="1"/>
  <c r="N199" i="33" s="1"/>
  <c r="N203" i="33" s="1"/>
  <c r="N204" i="33" s="1"/>
  <c r="D184" i="33"/>
  <c r="D186" i="33" s="1"/>
  <c r="D199" i="33" s="1"/>
  <c r="D203" i="33" s="1"/>
  <c r="H184" i="33"/>
  <c r="H186" i="33" s="1"/>
  <c r="H199" i="33" s="1"/>
  <c r="H203" i="33" s="1"/>
  <c r="H204" i="33" s="1"/>
  <c r="F184" i="33"/>
  <c r="F186" i="33" s="1"/>
  <c r="F199" i="33" s="1"/>
  <c r="F203" i="33" s="1"/>
  <c r="F204" i="33" s="1"/>
  <c r="J184" i="33"/>
  <c r="J186" i="33" s="1"/>
  <c r="J199" i="33" s="1"/>
  <c r="G184" i="33"/>
  <c r="G186" i="33" s="1"/>
  <c r="G199" i="33" s="1"/>
  <c r="K184" i="33"/>
  <c r="K186" i="33" s="1"/>
  <c r="K199" i="33" s="1"/>
  <c r="C184" i="33"/>
  <c r="C186" i="33" s="1"/>
  <c r="E184" i="33"/>
  <c r="E186" i="33" s="1"/>
  <c r="E199" i="33" s="1"/>
  <c r="L184" i="33"/>
  <c r="L186" i="33" s="1"/>
  <c r="L199" i="33" s="1"/>
  <c r="L203" i="33" s="1"/>
  <c r="I184" i="33"/>
  <c r="I186" i="33" s="1"/>
  <c r="I199" i="33" s="1"/>
  <c r="M184" i="33"/>
  <c r="M186" i="33" s="1"/>
  <c r="M199" i="33" s="1"/>
  <c r="M203" i="33" s="1"/>
  <c r="L153" i="35"/>
  <c r="D17" i="55"/>
  <c r="E17" i="55"/>
  <c r="E27" i="36"/>
  <c r="J28" i="36" s="1"/>
  <c r="J27" i="27"/>
  <c r="G31" i="42"/>
  <c r="H31" i="42" s="1"/>
  <c r="J31" i="42" s="1"/>
  <c r="H29" i="27"/>
  <c r="I28" i="27"/>
  <c r="Q29" i="51"/>
  <c r="D30" i="51" s="1"/>
  <c r="G18" i="47"/>
  <c r="I18" i="47" s="1"/>
  <c r="J18" i="47" s="1"/>
  <c r="C18" i="55"/>
  <c r="F22" i="41"/>
  <c r="G22" i="41" s="1"/>
  <c r="H22" i="41" s="1"/>
  <c r="G23" i="40"/>
  <c r="H23" i="40" s="1"/>
  <c r="O421" i="33"/>
  <c r="C26" i="34"/>
  <c r="O63" i="32"/>
  <c r="F216" i="35"/>
  <c r="F185" i="35"/>
  <c r="G216" i="35"/>
  <c r="G185" i="35"/>
  <c r="J216" i="35"/>
  <c r="J185" i="35"/>
  <c r="K216" i="35"/>
  <c r="K185" i="35"/>
  <c r="L216" i="35"/>
  <c r="L185" i="35"/>
  <c r="M185" i="35"/>
  <c r="M216" i="35"/>
  <c r="N216" i="35"/>
  <c r="N185" i="35"/>
  <c r="I216" i="35"/>
  <c r="I185" i="35"/>
  <c r="I24" i="42"/>
  <c r="J25" i="42"/>
  <c r="O59" i="32"/>
  <c r="J25" i="33"/>
  <c r="J29" i="33" s="1"/>
  <c r="I25" i="33"/>
  <c r="I29" i="33" s="1"/>
  <c r="H25" i="33"/>
  <c r="H29" i="33" s="1"/>
  <c r="G25" i="33"/>
  <c r="G29" i="33" s="1"/>
  <c r="N25" i="33"/>
  <c r="N29" i="33" s="1"/>
  <c r="F25" i="33"/>
  <c r="F29" i="33" s="1"/>
  <c r="K25" i="33"/>
  <c r="K29" i="33" s="1"/>
  <c r="C25" i="33"/>
  <c r="C29" i="33" s="1"/>
  <c r="M25" i="33"/>
  <c r="M29" i="33" s="1"/>
  <c r="E25" i="33"/>
  <c r="E29" i="33" s="1"/>
  <c r="L25" i="33"/>
  <c r="L29" i="33" s="1"/>
  <c r="D25" i="33"/>
  <c r="D29" i="33" s="1"/>
  <c r="M222" i="33"/>
  <c r="O60" i="33"/>
  <c r="N298" i="33"/>
  <c r="N264" i="33"/>
  <c r="H304" i="33"/>
  <c r="O268" i="33"/>
  <c r="F626" i="35"/>
  <c r="D377" i="33"/>
  <c r="O342" i="33"/>
  <c r="C262" i="33"/>
  <c r="C215" i="35"/>
  <c r="E86" i="35"/>
  <c r="M84" i="33"/>
  <c r="M96" i="33" s="1"/>
  <c r="M118" i="33"/>
  <c r="O415" i="33"/>
  <c r="C21" i="34"/>
  <c r="O21" i="34" s="1"/>
  <c r="C79" i="34"/>
  <c r="N658" i="35"/>
  <c r="D151" i="35"/>
  <c r="O118" i="35"/>
  <c r="D299" i="33"/>
  <c r="O263" i="33"/>
  <c r="K660" i="35"/>
  <c r="C82" i="34"/>
  <c r="O48" i="34"/>
  <c r="E118" i="33"/>
  <c r="E84" i="33"/>
  <c r="E96" i="33" s="1"/>
  <c r="D184" i="35"/>
  <c r="O267" i="33"/>
  <c r="E303" i="33"/>
  <c r="O48" i="33"/>
  <c r="C96" i="33"/>
  <c r="C49" i="34"/>
  <c r="C18" i="34"/>
  <c r="J262" i="33"/>
  <c r="J228" i="33"/>
  <c r="F308" i="33"/>
  <c r="O272" i="33"/>
  <c r="D118" i="33"/>
  <c r="D84" i="33"/>
  <c r="D96" i="33" s="1"/>
  <c r="O82" i="33"/>
  <c r="L84" i="33"/>
  <c r="L96" i="33" s="1"/>
  <c r="L118" i="33"/>
  <c r="I298" i="33"/>
  <c r="I264" i="33"/>
  <c r="C153" i="33"/>
  <c r="O117" i="33"/>
  <c r="C120" i="33"/>
  <c r="M627" i="35"/>
  <c r="H262" i="33"/>
  <c r="H228" i="33"/>
  <c r="I628" i="35"/>
  <c r="G298" i="33"/>
  <c r="G264" i="33"/>
  <c r="F298" i="33"/>
  <c r="F264" i="33"/>
  <c r="C16" i="34"/>
  <c r="K298" i="33"/>
  <c r="K264" i="33"/>
  <c r="J222" i="33"/>
  <c r="O163" i="33"/>
  <c r="E222" i="33"/>
  <c r="F222" i="33"/>
  <c r="K222" i="33"/>
  <c r="N222" i="33"/>
  <c r="G222" i="33"/>
  <c r="C222" i="33"/>
  <c r="J203" i="33"/>
  <c r="J204" i="33" s="1"/>
  <c r="I222" i="33"/>
  <c r="L222" i="33"/>
  <c r="H222" i="33"/>
  <c r="D222" i="33"/>
  <c r="G203" i="33"/>
  <c r="G204" i="33" s="1"/>
  <c r="K203" i="33"/>
  <c r="K204" i="33" s="1"/>
  <c r="E203" i="33"/>
  <c r="I203" i="33"/>
  <c r="I204" i="33" s="1"/>
  <c r="O167" i="33"/>
  <c r="M28" i="28"/>
  <c r="N28" i="28"/>
  <c r="O28" i="28" s="1"/>
  <c r="P28" i="28" s="1"/>
  <c r="J29" i="28"/>
  <c r="N29" i="28" s="1"/>
  <c r="O29" i="28" s="1"/>
  <c r="P29" i="28" s="1"/>
  <c r="I30" i="28"/>
  <c r="F42" i="62" l="1" a="1"/>
  <c r="F42" i="62" s="1"/>
  <c r="N42" i="62" a="1"/>
  <c r="N42" i="62" s="1"/>
  <c r="Q41" i="63"/>
  <c r="D42" i="63" s="1"/>
  <c r="F42" i="63" s="1" a="1"/>
  <c r="F42" i="63" s="1"/>
  <c r="E42" i="62" a="1"/>
  <c r="E42" i="62" s="1"/>
  <c r="K42" i="62" a="1"/>
  <c r="K42" i="62" s="1"/>
  <c r="E28" i="36"/>
  <c r="J29" i="36" s="1"/>
  <c r="J28" i="27"/>
  <c r="G32" i="42"/>
  <c r="H32" i="42" s="1"/>
  <c r="J32" i="42" s="1"/>
  <c r="H30" i="27"/>
  <c r="I29" i="27"/>
  <c r="C199" i="33"/>
  <c r="O186" i="33"/>
  <c r="F17" i="55"/>
  <c r="G17" i="55" s="1"/>
  <c r="R34" i="51" s="1"/>
  <c r="N28" i="27"/>
  <c r="O28" i="27" s="1"/>
  <c r="P28" i="27" s="1"/>
  <c r="N27" i="27"/>
  <c r="O27" i="27" s="1"/>
  <c r="P27" i="27" s="1"/>
  <c r="M27" i="27"/>
  <c r="C190" i="34"/>
  <c r="O157" i="34"/>
  <c r="M28" i="27"/>
  <c r="N30" i="51" a="1"/>
  <c r="N30" i="51" s="1"/>
  <c r="K30" i="51" a="1"/>
  <c r="K30" i="51" s="1"/>
  <c r="E30" i="51" a="1"/>
  <c r="E30" i="51" s="1"/>
  <c r="F30" i="51" a="1"/>
  <c r="F30" i="51" s="1"/>
  <c r="I30" i="51" a="1"/>
  <c r="I30" i="51" s="1"/>
  <c r="D18" i="55"/>
  <c r="E18" i="55" s="1"/>
  <c r="F18" i="55" s="1"/>
  <c r="G18" i="55" s="1"/>
  <c r="R35" i="51" s="1"/>
  <c r="G19" i="47"/>
  <c r="I19" i="47" s="1"/>
  <c r="J19" i="47" s="1"/>
  <c r="C19" i="55"/>
  <c r="F23" i="41"/>
  <c r="G23" i="41" s="1"/>
  <c r="H23" i="41" s="1"/>
  <c r="G24" i="40"/>
  <c r="H24" i="40" s="1"/>
  <c r="O26" i="34"/>
  <c r="C60" i="34"/>
  <c r="I248" i="35"/>
  <c r="I217" i="35"/>
  <c r="K248" i="35"/>
  <c r="K217" i="35"/>
  <c r="N248" i="35"/>
  <c r="N217" i="35"/>
  <c r="J248" i="35"/>
  <c r="J217" i="35"/>
  <c r="M248" i="35"/>
  <c r="M217" i="35"/>
  <c r="G248" i="35"/>
  <c r="G217" i="35"/>
  <c r="L248" i="35"/>
  <c r="L217" i="35"/>
  <c r="F248" i="35"/>
  <c r="F217" i="35"/>
  <c r="I23" i="42"/>
  <c r="J24" i="42"/>
  <c r="C235" i="33"/>
  <c r="C239" i="33" s="1"/>
  <c r="L235" i="33"/>
  <c r="L239" i="33" s="1"/>
  <c r="I235" i="33"/>
  <c r="I239" i="33" s="1"/>
  <c r="I240" i="33" s="1"/>
  <c r="K235" i="33"/>
  <c r="K239" i="33" s="1"/>
  <c r="K240" i="33" s="1"/>
  <c r="N235" i="33"/>
  <c r="N239" i="33" s="1"/>
  <c r="N240" i="33" s="1"/>
  <c r="M235" i="33"/>
  <c r="M239" i="33" s="1"/>
  <c r="N64" i="32"/>
  <c r="H235" i="33"/>
  <c r="J235" i="33"/>
  <c r="J239" i="33" s="1"/>
  <c r="J240" i="33" s="1"/>
  <c r="N61" i="33"/>
  <c r="N65" i="33" s="1"/>
  <c r="F61" i="33"/>
  <c r="F65" i="33" s="1"/>
  <c r="M61" i="33"/>
  <c r="M65" i="33" s="1"/>
  <c r="E61" i="33"/>
  <c r="E65" i="33" s="1"/>
  <c r="L61" i="33"/>
  <c r="L65" i="33" s="1"/>
  <c r="D61" i="33"/>
  <c r="D65" i="33" s="1"/>
  <c r="G61" i="33"/>
  <c r="G65" i="33" s="1"/>
  <c r="K61" i="33"/>
  <c r="K65" i="33" s="1"/>
  <c r="C61" i="33"/>
  <c r="C65" i="33" s="1"/>
  <c r="J61" i="33"/>
  <c r="J65" i="33" s="1"/>
  <c r="I61" i="33"/>
  <c r="I65" i="33" s="1"/>
  <c r="H61" i="33"/>
  <c r="H65" i="33" s="1"/>
  <c r="O25" i="33"/>
  <c r="O29" i="33"/>
  <c r="C132" i="33"/>
  <c r="M154" i="33"/>
  <c r="M120" i="33"/>
  <c r="M132" i="33" s="1"/>
  <c r="H298" i="33"/>
  <c r="H264" i="33"/>
  <c r="J298" i="33"/>
  <c r="J264" i="33"/>
  <c r="O96" i="33"/>
  <c r="D183" i="35"/>
  <c r="O151" i="35"/>
  <c r="F658" i="35"/>
  <c r="N690" i="35"/>
  <c r="E119" i="35"/>
  <c r="C298" i="33"/>
  <c r="H340" i="33"/>
  <c r="O304" i="33"/>
  <c r="C189" i="33"/>
  <c r="C156" i="33"/>
  <c r="O153" i="33"/>
  <c r="C52" i="34"/>
  <c r="O82" i="34"/>
  <c r="C116" i="34"/>
  <c r="D154" i="33"/>
  <c r="D120" i="33"/>
  <c r="D132" i="33" s="1"/>
  <c r="O118" i="33"/>
  <c r="K692" i="35"/>
  <c r="D216" i="35"/>
  <c r="E339" i="33"/>
  <c r="O303" i="33"/>
  <c r="C113" i="34"/>
  <c r="N300" i="33"/>
  <c r="N334" i="33"/>
  <c r="M659" i="35"/>
  <c r="G300" i="33"/>
  <c r="G334" i="33"/>
  <c r="K300" i="33"/>
  <c r="K334" i="33"/>
  <c r="I300" i="33"/>
  <c r="I334" i="33"/>
  <c r="C83" i="34"/>
  <c r="E154" i="33"/>
  <c r="E120" i="33"/>
  <c r="E132" i="33" s="1"/>
  <c r="O84" i="33"/>
  <c r="C50" i="34"/>
  <c r="F300" i="33"/>
  <c r="F334" i="33"/>
  <c r="I660" i="35"/>
  <c r="L154" i="33"/>
  <c r="L120" i="33"/>
  <c r="L132" i="33" s="1"/>
  <c r="F344" i="33"/>
  <c r="O308" i="33"/>
  <c r="D335" i="33"/>
  <c r="O299" i="33"/>
  <c r="C247" i="35"/>
  <c r="D412" i="33"/>
  <c r="O377" i="33"/>
  <c r="E235" i="33"/>
  <c r="E239" i="33" s="1"/>
  <c r="F235" i="33"/>
  <c r="F239" i="33" s="1"/>
  <c r="F240" i="33" s="1"/>
  <c r="G235" i="33"/>
  <c r="G239" i="33" s="1"/>
  <c r="G240" i="33" s="1"/>
  <c r="O222" i="33"/>
  <c r="D235" i="33"/>
  <c r="E292" i="33"/>
  <c r="M292" i="33"/>
  <c r="F292" i="33"/>
  <c r="N292" i="33"/>
  <c r="G292" i="33"/>
  <c r="C292" i="33"/>
  <c r="H292" i="33"/>
  <c r="I292" i="33"/>
  <c r="J292" i="33"/>
  <c r="K292" i="33"/>
  <c r="D292" i="33"/>
  <c r="L292" i="33"/>
  <c r="F329" i="33"/>
  <c r="N329" i="33"/>
  <c r="G329" i="33"/>
  <c r="H329" i="33"/>
  <c r="E329" i="33"/>
  <c r="I329" i="33"/>
  <c r="J329" i="33"/>
  <c r="C329" i="33"/>
  <c r="K329" i="33"/>
  <c r="D329" i="33"/>
  <c r="L329" i="33"/>
  <c r="M329" i="33"/>
  <c r="G293" i="33"/>
  <c r="H293" i="33"/>
  <c r="I293" i="33"/>
  <c r="F293" i="33"/>
  <c r="J293" i="33"/>
  <c r="C293" i="33"/>
  <c r="N293" i="33"/>
  <c r="K293" i="33"/>
  <c r="D293" i="33"/>
  <c r="L293" i="33"/>
  <c r="E293" i="33"/>
  <c r="M293" i="33"/>
  <c r="M29" i="28"/>
  <c r="I31" i="28"/>
  <c r="J30" i="28"/>
  <c r="E42" i="63" l="1" a="1"/>
  <c r="E42" i="63" s="1"/>
  <c r="K42" i="63" a="1"/>
  <c r="K42" i="63" s="1"/>
  <c r="I42" i="63" a="1"/>
  <c r="I42" i="63" s="1"/>
  <c r="N42" i="63" a="1"/>
  <c r="N42" i="63" s="1"/>
  <c r="Q42" i="62"/>
  <c r="D43" i="62" s="1"/>
  <c r="I43" i="62" s="1" a="1"/>
  <c r="I43" i="62" s="1"/>
  <c r="O199" i="33"/>
  <c r="C203" i="33"/>
  <c r="O203" i="33" s="1"/>
  <c r="C20" i="35"/>
  <c r="O190" i="34"/>
  <c r="E29" i="36"/>
  <c r="J30" i="36" s="1"/>
  <c r="J29" i="27"/>
  <c r="N29" i="27" s="1"/>
  <c r="O29" i="27" s="1"/>
  <c r="P29" i="27" s="1"/>
  <c r="H31" i="27"/>
  <c r="G33" i="42"/>
  <c r="H33" i="42" s="1"/>
  <c r="J33" i="42" s="1"/>
  <c r="I30" i="27"/>
  <c r="H256" i="33"/>
  <c r="H258" i="33" s="1"/>
  <c r="H271" i="33" s="1"/>
  <c r="H275" i="33" s="1"/>
  <c r="D256" i="33"/>
  <c r="D258" i="33" s="1"/>
  <c r="D271" i="33" s="1"/>
  <c r="D275" i="33" s="1"/>
  <c r="I256" i="33"/>
  <c r="I258" i="33" s="1"/>
  <c r="I271" i="33" s="1"/>
  <c r="I275" i="33" s="1"/>
  <c r="I276" i="33" s="1"/>
  <c r="J256" i="33"/>
  <c r="J258" i="33" s="1"/>
  <c r="J271" i="33" s="1"/>
  <c r="J275" i="33" s="1"/>
  <c r="J276" i="33" s="1"/>
  <c r="K256" i="33"/>
  <c r="K258" i="33" s="1"/>
  <c r="K271" i="33" s="1"/>
  <c r="F256" i="33"/>
  <c r="F258" i="33" s="1"/>
  <c r="F271" i="33" s="1"/>
  <c r="F275" i="33" s="1"/>
  <c r="F276" i="33" s="1"/>
  <c r="N256" i="33"/>
  <c r="N258" i="33" s="1"/>
  <c r="N271" i="33" s="1"/>
  <c r="N275" i="33" s="1"/>
  <c r="N276" i="33" s="1"/>
  <c r="G256" i="33"/>
  <c r="G258" i="33" s="1"/>
  <c r="G271" i="33" s="1"/>
  <c r="G275" i="33" s="1"/>
  <c r="G276" i="33" s="1"/>
  <c r="E256" i="33"/>
  <c r="E258" i="33" s="1"/>
  <c r="E271" i="33" s="1"/>
  <c r="E275" i="33" s="1"/>
  <c r="C256" i="33"/>
  <c r="C258" i="33" s="1"/>
  <c r="M256" i="33"/>
  <c r="M258" i="33" s="1"/>
  <c r="M271" i="33" s="1"/>
  <c r="M275" i="33" s="1"/>
  <c r="L256" i="33"/>
  <c r="L258" i="33" s="1"/>
  <c r="L271" i="33" s="1"/>
  <c r="L275" i="33" s="1"/>
  <c r="Q30" i="51"/>
  <c r="D31" i="51" s="1"/>
  <c r="M29" i="27"/>
  <c r="G20" i="47"/>
  <c r="I20" i="47" s="1"/>
  <c r="J20" i="47" s="1"/>
  <c r="C20" i="55"/>
  <c r="G13" i="56" s="1"/>
  <c r="D19" i="55"/>
  <c r="E19" i="55" s="1"/>
  <c r="F24" i="41"/>
  <c r="G24" i="41" s="1"/>
  <c r="H24" i="41" s="1"/>
  <c r="G25" i="40"/>
  <c r="H25" i="40" s="1"/>
  <c r="C94" i="34"/>
  <c r="O60" i="34"/>
  <c r="F280" i="35"/>
  <c r="F249" i="35"/>
  <c r="J280" i="35"/>
  <c r="J249" i="35"/>
  <c r="L280" i="35"/>
  <c r="L249" i="35"/>
  <c r="N280" i="35"/>
  <c r="N249" i="35"/>
  <c r="G280" i="35"/>
  <c r="G249" i="35"/>
  <c r="K280" i="35"/>
  <c r="K249" i="35"/>
  <c r="M280" i="35"/>
  <c r="M249" i="35"/>
  <c r="I280" i="35"/>
  <c r="I249" i="35"/>
  <c r="I22" i="42"/>
  <c r="J23" i="42"/>
  <c r="N30" i="33"/>
  <c r="J97" i="33"/>
  <c r="J101" i="33" s="1"/>
  <c r="I97" i="33"/>
  <c r="I101" i="33" s="1"/>
  <c r="K97" i="33"/>
  <c r="K101" i="33" s="1"/>
  <c r="H97" i="33"/>
  <c r="H101" i="33" s="1"/>
  <c r="G97" i="33"/>
  <c r="G101" i="33" s="1"/>
  <c r="N97" i="33"/>
  <c r="N101" i="33" s="1"/>
  <c r="F97" i="33"/>
  <c r="F101" i="33" s="1"/>
  <c r="M97" i="33"/>
  <c r="M101" i="33" s="1"/>
  <c r="E97" i="33"/>
  <c r="E101" i="33" s="1"/>
  <c r="L97" i="33"/>
  <c r="L101" i="33" s="1"/>
  <c r="D97" i="33"/>
  <c r="D101" i="33" s="1"/>
  <c r="C97" i="33"/>
  <c r="C101" i="33" s="1"/>
  <c r="O61" i="33"/>
  <c r="H276" i="33"/>
  <c r="K336" i="33"/>
  <c r="K369" i="33"/>
  <c r="K724" i="35"/>
  <c r="F690" i="35"/>
  <c r="J300" i="33"/>
  <c r="J334" i="33"/>
  <c r="D370" i="33"/>
  <c r="O335" i="33"/>
  <c r="C84" i="34"/>
  <c r="E190" i="33"/>
  <c r="E156" i="33"/>
  <c r="E168" i="33" s="1"/>
  <c r="C334" i="33"/>
  <c r="M190" i="33"/>
  <c r="M156" i="33"/>
  <c r="M168" i="33" s="1"/>
  <c r="C279" i="35"/>
  <c r="L190" i="33"/>
  <c r="L156" i="33"/>
  <c r="L168" i="33" s="1"/>
  <c r="I692" i="35"/>
  <c r="C117" i="34"/>
  <c r="G336" i="33"/>
  <c r="G369" i="33"/>
  <c r="E152" i="35"/>
  <c r="M691" i="35"/>
  <c r="H375" i="33"/>
  <c r="O340" i="33"/>
  <c r="E374" i="33"/>
  <c r="O339" i="33"/>
  <c r="C86" i="34"/>
  <c r="C120" i="34" s="1"/>
  <c r="C154" i="34" s="1"/>
  <c r="C187" i="34" s="1"/>
  <c r="F336" i="33"/>
  <c r="F369" i="33"/>
  <c r="I336" i="33"/>
  <c r="I369" i="33"/>
  <c r="C168" i="33"/>
  <c r="D215" i="35"/>
  <c r="O183" i="35"/>
  <c r="O132" i="33"/>
  <c r="N336" i="33"/>
  <c r="N369" i="33"/>
  <c r="H334" i="33"/>
  <c r="H300" i="33"/>
  <c r="D18" i="34"/>
  <c r="O412" i="33"/>
  <c r="F379" i="33"/>
  <c r="O344" i="33"/>
  <c r="C225" i="33"/>
  <c r="O189" i="33"/>
  <c r="C192" i="33"/>
  <c r="N722" i="35"/>
  <c r="O120" i="33"/>
  <c r="O116" i="34"/>
  <c r="C150" i="34"/>
  <c r="C147" i="34"/>
  <c r="D248" i="35"/>
  <c r="D190" i="33"/>
  <c r="D156" i="33"/>
  <c r="D168" i="33" s="1"/>
  <c r="O154" i="33"/>
  <c r="K294" i="33"/>
  <c r="O235" i="33"/>
  <c r="K275" i="33"/>
  <c r="K276" i="33" s="1"/>
  <c r="F294" i="33"/>
  <c r="D239" i="33"/>
  <c r="C294" i="33"/>
  <c r="M294" i="33"/>
  <c r="H294" i="33"/>
  <c r="E294" i="33"/>
  <c r="I294" i="33"/>
  <c r="H239" i="33"/>
  <c r="H240" i="33" s="1"/>
  <c r="D294" i="33"/>
  <c r="G294" i="33"/>
  <c r="L294" i="33"/>
  <c r="N294" i="33"/>
  <c r="J294" i="33"/>
  <c r="M30" i="28"/>
  <c r="N30" i="28"/>
  <c r="O30" i="28" s="1"/>
  <c r="P30" i="28" s="1"/>
  <c r="J31" i="28"/>
  <c r="I32" i="28"/>
  <c r="N43" i="62" l="1" a="1"/>
  <c r="N43" i="62" s="1"/>
  <c r="E43" i="62" a="1"/>
  <c r="E43" i="62" s="1"/>
  <c r="K43" i="62" a="1"/>
  <c r="K43" i="62" s="1"/>
  <c r="Q42" i="63"/>
  <c r="D43" i="63" s="1"/>
  <c r="F43" i="63" s="1" a="1"/>
  <c r="F43" i="63" s="1"/>
  <c r="F43" i="62" a="1"/>
  <c r="F43" i="62" s="1"/>
  <c r="G34" i="42"/>
  <c r="H34" i="42" s="1"/>
  <c r="J34" i="42" s="1"/>
  <c r="H32" i="27"/>
  <c r="I31" i="27"/>
  <c r="N31" i="51" a="1"/>
  <c r="N31" i="51" s="1"/>
  <c r="K31" i="51" a="1"/>
  <c r="K31" i="51" s="1"/>
  <c r="E31" i="51" a="1"/>
  <c r="E31" i="51" s="1"/>
  <c r="F31" i="51" a="1"/>
  <c r="F31" i="51" s="1"/>
  <c r="I31" i="51" a="1"/>
  <c r="I31" i="51" s="1"/>
  <c r="I328" i="33"/>
  <c r="I330" i="33" s="1"/>
  <c r="N328" i="33"/>
  <c r="N330" i="33" s="1"/>
  <c r="G328" i="33"/>
  <c r="G330" i="33" s="1"/>
  <c r="C328" i="33"/>
  <c r="C330" i="33" s="1"/>
  <c r="J328" i="33"/>
  <c r="J330" i="33" s="1"/>
  <c r="O330" i="33" s="1"/>
  <c r="M328" i="33"/>
  <c r="M330" i="33" s="1"/>
  <c r="K328" i="33"/>
  <c r="K330" i="33" s="1"/>
  <c r="K343" i="33" s="1"/>
  <c r="K346" i="33" s="1"/>
  <c r="K347" i="33" s="1"/>
  <c r="L328" i="33"/>
  <c r="L330" i="33" s="1"/>
  <c r="L343" i="33" s="1"/>
  <c r="L346" i="33" s="1"/>
  <c r="E328" i="33"/>
  <c r="E330" i="33" s="1"/>
  <c r="D328" i="33"/>
  <c r="D330" i="33" s="1"/>
  <c r="H328" i="33"/>
  <c r="H330" i="33" s="1"/>
  <c r="F328" i="33"/>
  <c r="F330" i="33" s="1"/>
  <c r="F343" i="33" s="1"/>
  <c r="F346" i="33" s="1"/>
  <c r="F347" i="33" s="1"/>
  <c r="C271" i="33"/>
  <c r="O258" i="33"/>
  <c r="C53" i="35"/>
  <c r="O20" i="35"/>
  <c r="E30" i="36"/>
  <c r="J31" i="36" s="1"/>
  <c r="J30" i="27"/>
  <c r="G21" i="47"/>
  <c r="I21" i="47" s="1"/>
  <c r="J21" i="47" s="1"/>
  <c r="C21" i="55"/>
  <c r="D20" i="55"/>
  <c r="E20" i="55" s="1"/>
  <c r="F19" i="55"/>
  <c r="G19" i="55"/>
  <c r="R36" i="51" s="1"/>
  <c r="F25" i="41"/>
  <c r="G25" i="41" s="1"/>
  <c r="H25" i="41" s="1"/>
  <c r="G26" i="40"/>
  <c r="H26" i="40" s="1"/>
  <c r="O94" i="34"/>
  <c r="C128" i="34"/>
  <c r="O101" i="33"/>
  <c r="I312" i="35"/>
  <c r="I281" i="35"/>
  <c r="N312" i="35"/>
  <c r="N281" i="35"/>
  <c r="M312" i="35"/>
  <c r="M281" i="35"/>
  <c r="L312" i="35"/>
  <c r="L281" i="35"/>
  <c r="K312" i="35"/>
  <c r="K281" i="35"/>
  <c r="J312" i="35"/>
  <c r="J281" i="35"/>
  <c r="G281" i="35"/>
  <c r="G312" i="35"/>
  <c r="F312" i="35"/>
  <c r="F281" i="35"/>
  <c r="I21" i="42"/>
  <c r="J22" i="42"/>
  <c r="M343" i="33"/>
  <c r="M346" i="33" s="1"/>
  <c r="D343" i="33"/>
  <c r="D346" i="33" s="1"/>
  <c r="G343" i="33"/>
  <c r="G346" i="33" s="1"/>
  <c r="G347" i="33" s="1"/>
  <c r="I307" i="33"/>
  <c r="I311" i="33" s="1"/>
  <c r="I312" i="33" s="1"/>
  <c r="L307" i="33"/>
  <c r="L311" i="33" s="1"/>
  <c r="F307" i="33"/>
  <c r="F311" i="33" s="1"/>
  <c r="F312" i="33" s="1"/>
  <c r="N307" i="33"/>
  <c r="N311" i="33" s="1"/>
  <c r="N312" i="33" s="1"/>
  <c r="D307" i="33"/>
  <c r="D311" i="33" s="1"/>
  <c r="M307" i="33"/>
  <c r="M311" i="33" s="1"/>
  <c r="E343" i="33"/>
  <c r="E346" i="33" s="1"/>
  <c r="I343" i="33"/>
  <c r="I346" i="33" s="1"/>
  <c r="I347" i="33" s="1"/>
  <c r="J343" i="33"/>
  <c r="J346" i="33" s="1"/>
  <c r="H343" i="33"/>
  <c r="H346" i="33" s="1"/>
  <c r="H307" i="33"/>
  <c r="H311" i="33" s="1"/>
  <c r="H312" i="33" s="1"/>
  <c r="C307" i="33"/>
  <c r="C311" i="33" s="1"/>
  <c r="K307" i="33"/>
  <c r="K311" i="33" s="1"/>
  <c r="K312" i="33" s="1"/>
  <c r="O65" i="33"/>
  <c r="O97" i="33"/>
  <c r="N133" i="33"/>
  <c r="N137" i="33" s="1"/>
  <c r="F133" i="33"/>
  <c r="F137" i="33" s="1"/>
  <c r="M133" i="33"/>
  <c r="M137" i="33" s="1"/>
  <c r="E133" i="33"/>
  <c r="E137" i="33" s="1"/>
  <c r="L133" i="33"/>
  <c r="L137" i="33" s="1"/>
  <c r="D133" i="33"/>
  <c r="D137" i="33" s="1"/>
  <c r="K133" i="33"/>
  <c r="K137" i="33" s="1"/>
  <c r="C133" i="33"/>
  <c r="C137" i="33" s="1"/>
  <c r="J133" i="33"/>
  <c r="J137" i="33" s="1"/>
  <c r="G133" i="33"/>
  <c r="G137" i="33" s="1"/>
  <c r="I133" i="33"/>
  <c r="I137" i="33" s="1"/>
  <c r="H133" i="33"/>
  <c r="H137" i="33" s="1"/>
  <c r="N66" i="33"/>
  <c r="C261" i="33"/>
  <c r="O225" i="33"/>
  <c r="C228" i="33"/>
  <c r="O168" i="33"/>
  <c r="C311" i="35"/>
  <c r="E226" i="33"/>
  <c r="E192" i="33"/>
  <c r="E204" i="33" s="1"/>
  <c r="C151" i="34"/>
  <c r="F404" i="33"/>
  <c r="F371" i="33"/>
  <c r="E409" i="33"/>
  <c r="O374" i="33"/>
  <c r="E184" i="35"/>
  <c r="C118" i="34"/>
  <c r="F722" i="35"/>
  <c r="C181" i="34"/>
  <c r="J369" i="33"/>
  <c r="J336" i="33"/>
  <c r="O156" i="33"/>
  <c r="D226" i="33"/>
  <c r="D192" i="33"/>
  <c r="D204" i="33" s="1"/>
  <c r="O190" i="33"/>
  <c r="H410" i="33"/>
  <c r="O375" i="33"/>
  <c r="M226" i="33"/>
  <c r="M192" i="33"/>
  <c r="M204" i="33" s="1"/>
  <c r="K756" i="35"/>
  <c r="G404" i="33"/>
  <c r="G371" i="33"/>
  <c r="H336" i="33"/>
  <c r="H369" i="33"/>
  <c r="I371" i="33"/>
  <c r="I404" i="33"/>
  <c r="I724" i="35"/>
  <c r="D280" i="35"/>
  <c r="O150" i="34"/>
  <c r="C184" i="34"/>
  <c r="N754" i="35"/>
  <c r="N404" i="33"/>
  <c r="N371" i="33"/>
  <c r="C17" i="35"/>
  <c r="C50" i="35" s="1"/>
  <c r="M723" i="35"/>
  <c r="K371" i="33"/>
  <c r="K404" i="33"/>
  <c r="D247" i="35"/>
  <c r="O215" i="35"/>
  <c r="F414" i="33"/>
  <c r="O379" i="33"/>
  <c r="C369" i="33"/>
  <c r="C204" i="33"/>
  <c r="D52" i="34"/>
  <c r="O18" i="34"/>
  <c r="L226" i="33"/>
  <c r="L192" i="33"/>
  <c r="L204" i="33" s="1"/>
  <c r="D405" i="33"/>
  <c r="O370" i="33"/>
  <c r="N343" i="33"/>
  <c r="N346" i="33" s="1"/>
  <c r="N347" i="33" s="1"/>
  <c r="C343" i="33"/>
  <c r="C346" i="33" s="1"/>
  <c r="E307" i="33"/>
  <c r="E311" i="33" s="1"/>
  <c r="O239" i="33"/>
  <c r="G307" i="33"/>
  <c r="G311" i="33" s="1"/>
  <c r="G312" i="33" s="1"/>
  <c r="O294" i="33"/>
  <c r="J307" i="33"/>
  <c r="F364" i="33"/>
  <c r="N364" i="33"/>
  <c r="G364" i="33"/>
  <c r="H364" i="33"/>
  <c r="I364" i="33"/>
  <c r="J364" i="33"/>
  <c r="C364" i="33"/>
  <c r="M364" i="33"/>
  <c r="K364" i="33"/>
  <c r="D364" i="33"/>
  <c r="L364" i="33"/>
  <c r="E364" i="33"/>
  <c r="I33" i="28"/>
  <c r="N31" i="28"/>
  <c r="O31" i="28" s="1"/>
  <c r="P31" i="28" s="1"/>
  <c r="M31" i="28"/>
  <c r="J32" i="28"/>
  <c r="M32" i="28" s="1"/>
  <c r="E43" i="63" l="1" a="1"/>
  <c r="E43" i="63" s="1"/>
  <c r="I43" i="63" a="1"/>
  <c r="I43" i="63" s="1"/>
  <c r="N43" i="63" a="1"/>
  <c r="N43" i="63" s="1"/>
  <c r="Q43" i="62"/>
  <c r="D44" i="62" s="1"/>
  <c r="N44" i="62" s="1" a="1"/>
  <c r="N44" i="62" s="1"/>
  <c r="K43" i="63" a="1"/>
  <c r="K43" i="63" s="1"/>
  <c r="C86" i="35"/>
  <c r="O53" i="35"/>
  <c r="Q31" i="51"/>
  <c r="D32" i="51" s="1"/>
  <c r="E31" i="36"/>
  <c r="J32" i="36" s="1"/>
  <c r="J31" i="27"/>
  <c r="C275" i="33"/>
  <c r="O275" i="33" s="1"/>
  <c r="O271" i="33"/>
  <c r="N30" i="27"/>
  <c r="O30" i="27" s="1"/>
  <c r="P30" i="27" s="1"/>
  <c r="M30" i="27"/>
  <c r="H33" i="27"/>
  <c r="G35" i="42"/>
  <c r="H35" i="42" s="1"/>
  <c r="J35" i="42" s="1"/>
  <c r="I32" i="27"/>
  <c r="G22" i="47"/>
  <c r="I22" i="47" s="1"/>
  <c r="J22" i="47" s="1"/>
  <c r="C22" i="55"/>
  <c r="D21" i="55"/>
  <c r="E21" i="55" s="1"/>
  <c r="F20" i="55"/>
  <c r="G20" i="55" s="1"/>
  <c r="R37" i="51" s="1"/>
  <c r="F26" i="41"/>
  <c r="G26" i="41" s="1"/>
  <c r="H26" i="41" s="1"/>
  <c r="G27" i="40"/>
  <c r="H27" i="40" s="1"/>
  <c r="C162" i="34"/>
  <c r="O128" i="34"/>
  <c r="O137" i="33"/>
  <c r="M344" i="35"/>
  <c r="M313" i="35"/>
  <c r="G313" i="35"/>
  <c r="G344" i="35"/>
  <c r="J344" i="35"/>
  <c r="J313" i="35"/>
  <c r="N344" i="35"/>
  <c r="N313" i="35"/>
  <c r="L344" i="35"/>
  <c r="L313" i="35"/>
  <c r="F344" i="35"/>
  <c r="F313" i="35"/>
  <c r="K344" i="35"/>
  <c r="K313" i="35"/>
  <c r="I344" i="35"/>
  <c r="I313" i="35"/>
  <c r="I20" i="42"/>
  <c r="J21" i="42"/>
  <c r="C83" i="35"/>
  <c r="H169" i="33"/>
  <c r="H173" i="33" s="1"/>
  <c r="G169" i="33"/>
  <c r="G173" i="33" s="1"/>
  <c r="N169" i="33"/>
  <c r="N173" i="33" s="1"/>
  <c r="F169" i="33"/>
  <c r="F173" i="33" s="1"/>
  <c r="M169" i="33"/>
  <c r="M173" i="33" s="1"/>
  <c r="E169" i="33"/>
  <c r="E173" i="33" s="1"/>
  <c r="I169" i="33"/>
  <c r="I173" i="33" s="1"/>
  <c r="L169" i="33"/>
  <c r="L173" i="33" s="1"/>
  <c r="D169" i="33"/>
  <c r="D173" i="33" s="1"/>
  <c r="J169" i="33"/>
  <c r="J173" i="33" s="1"/>
  <c r="K169" i="33"/>
  <c r="K173" i="33" s="1"/>
  <c r="C169" i="33"/>
  <c r="C173" i="33" s="1"/>
  <c r="O133" i="33"/>
  <c r="N102" i="33"/>
  <c r="F754" i="35"/>
  <c r="J347" i="33"/>
  <c r="O192" i="33"/>
  <c r="K406" i="33"/>
  <c r="K10" i="34"/>
  <c r="H16" i="34"/>
  <c r="O410" i="33"/>
  <c r="C11" i="35"/>
  <c r="C343" i="35"/>
  <c r="H347" i="33"/>
  <c r="O405" i="33"/>
  <c r="D11" i="34"/>
  <c r="C404" i="33"/>
  <c r="H371" i="33"/>
  <c r="H404" i="33"/>
  <c r="K788" i="35"/>
  <c r="D262" i="33"/>
  <c r="D228" i="33"/>
  <c r="D240" i="33" s="1"/>
  <c r="O226" i="33"/>
  <c r="F406" i="33"/>
  <c r="F10" i="34"/>
  <c r="C185" i="34"/>
  <c r="C240" i="33"/>
  <c r="D312" i="35"/>
  <c r="N406" i="33"/>
  <c r="N10" i="34"/>
  <c r="J404" i="33"/>
  <c r="J371" i="33"/>
  <c r="C152" i="34"/>
  <c r="C186" i="34" s="1"/>
  <c r="C297" i="33"/>
  <c r="O261" i="33"/>
  <c r="C264" i="33"/>
  <c r="F20" i="34"/>
  <c r="O20" i="34" s="1"/>
  <c r="O414" i="33"/>
  <c r="G10" i="34"/>
  <c r="G406" i="33"/>
  <c r="M262" i="33"/>
  <c r="M228" i="33"/>
  <c r="M240" i="33" s="1"/>
  <c r="D86" i="34"/>
  <c r="O52" i="34"/>
  <c r="M755" i="35"/>
  <c r="N786" i="35"/>
  <c r="I756" i="35"/>
  <c r="E262" i="33"/>
  <c r="E228" i="33"/>
  <c r="E240" i="33" s="1"/>
  <c r="L262" i="33"/>
  <c r="L228" i="33"/>
  <c r="L240" i="33" s="1"/>
  <c r="O204" i="33"/>
  <c r="D279" i="35"/>
  <c r="O247" i="35"/>
  <c r="C14" i="35"/>
  <c r="O184" i="34"/>
  <c r="I406" i="33"/>
  <c r="I10" i="34"/>
  <c r="E216" i="35"/>
  <c r="E15" i="34"/>
  <c r="O409" i="33"/>
  <c r="O307" i="33"/>
  <c r="J311" i="33"/>
  <c r="J312" i="33" s="1"/>
  <c r="O343" i="33"/>
  <c r="O346" i="33"/>
  <c r="D399" i="33"/>
  <c r="L399" i="33"/>
  <c r="E399" i="33"/>
  <c r="M399" i="33"/>
  <c r="F399" i="33"/>
  <c r="N399" i="33"/>
  <c r="G399" i="33"/>
  <c r="K399" i="33"/>
  <c r="H399" i="33"/>
  <c r="I399" i="33"/>
  <c r="J399" i="33"/>
  <c r="C399" i="33"/>
  <c r="N32" i="28"/>
  <c r="O32" i="28" s="1"/>
  <c r="P32" i="28" s="1"/>
  <c r="I34" i="28"/>
  <c r="J33" i="28"/>
  <c r="M33" i="28" s="1"/>
  <c r="Q43" i="63" l="1"/>
  <c r="D44" i="63" s="1"/>
  <c r="I44" i="63" s="1" a="1"/>
  <c r="I44" i="63" s="1"/>
  <c r="I44" i="62" a="1"/>
  <c r="I44" i="62" s="1"/>
  <c r="E44" i="62" a="1"/>
  <c r="E44" i="62" s="1"/>
  <c r="K44" i="62" a="1"/>
  <c r="K44" i="62" s="1"/>
  <c r="F44" i="62" a="1"/>
  <c r="F44" i="62" s="1"/>
  <c r="F32" i="51" a="1"/>
  <c r="F32" i="51" s="1"/>
  <c r="K32" i="51" a="1"/>
  <c r="K32" i="51" s="1"/>
  <c r="I32" i="51" a="1"/>
  <c r="I32" i="51" s="1"/>
  <c r="E32" i="51" a="1"/>
  <c r="E32" i="51" s="1"/>
  <c r="N32" i="51" a="1"/>
  <c r="N32" i="51" s="1"/>
  <c r="E32" i="36"/>
  <c r="J33" i="36" s="1"/>
  <c r="J32" i="27"/>
  <c r="M32" i="27" s="1"/>
  <c r="G36" i="42"/>
  <c r="H36" i="42" s="1"/>
  <c r="J36" i="42" s="1"/>
  <c r="H34" i="27"/>
  <c r="I33" i="27"/>
  <c r="N31" i="27"/>
  <c r="O31" i="27" s="1"/>
  <c r="P31" i="27" s="1"/>
  <c r="M31" i="27"/>
  <c r="M363" i="33"/>
  <c r="M365" i="33" s="1"/>
  <c r="G363" i="33"/>
  <c r="G365" i="33" s="1"/>
  <c r="H363" i="33"/>
  <c r="H365" i="33" s="1"/>
  <c r="H378" i="33" s="1"/>
  <c r="H381" i="33" s="1"/>
  <c r="H382" i="33" s="1"/>
  <c r="F363" i="33"/>
  <c r="F365" i="33" s="1"/>
  <c r="J363" i="33"/>
  <c r="J365" i="33" s="1"/>
  <c r="J378" i="33" s="1"/>
  <c r="J381" i="33" s="1"/>
  <c r="J382" i="33" s="1"/>
  <c r="K363" i="33"/>
  <c r="K365" i="33" s="1"/>
  <c r="I363" i="33"/>
  <c r="I365" i="33" s="1"/>
  <c r="O365" i="33" s="1"/>
  <c r="N363" i="33"/>
  <c r="N365" i="33" s="1"/>
  <c r="C363" i="33"/>
  <c r="C365" i="33" s="1"/>
  <c r="D363" i="33"/>
  <c r="D365" i="33" s="1"/>
  <c r="L363" i="33"/>
  <c r="L365" i="33" s="1"/>
  <c r="E363" i="33"/>
  <c r="E365" i="33" s="1"/>
  <c r="C119" i="35"/>
  <c r="O86" i="35"/>
  <c r="G23" i="47"/>
  <c r="I23" i="47" s="1"/>
  <c r="J23" i="47" s="1"/>
  <c r="C23" i="55"/>
  <c r="D22" i="55"/>
  <c r="E22" i="55" s="1"/>
  <c r="F21" i="55"/>
  <c r="G21" i="55" s="1"/>
  <c r="R38" i="51" s="1"/>
  <c r="F27" i="41"/>
  <c r="G27" i="41" s="1"/>
  <c r="H27" i="41"/>
  <c r="G28" i="40"/>
  <c r="H28" i="40" s="1"/>
  <c r="O162" i="34"/>
  <c r="C195" i="34"/>
  <c r="O173" i="33"/>
  <c r="I376" i="35"/>
  <c r="I345" i="35"/>
  <c r="N376" i="35"/>
  <c r="N345" i="35"/>
  <c r="K376" i="35"/>
  <c r="K345" i="35"/>
  <c r="J376" i="35"/>
  <c r="J345" i="35"/>
  <c r="G345" i="35"/>
  <c r="G376" i="35"/>
  <c r="F376" i="35"/>
  <c r="F345" i="35"/>
  <c r="L376" i="35"/>
  <c r="L345" i="35"/>
  <c r="M376" i="35"/>
  <c r="M345" i="35"/>
  <c r="I19" i="42"/>
  <c r="J20" i="42"/>
  <c r="C116" i="35"/>
  <c r="N378" i="33"/>
  <c r="N381" i="33" s="1"/>
  <c r="N382" i="33" s="1"/>
  <c r="C378" i="33"/>
  <c r="C381" i="33" s="1"/>
  <c r="K378" i="33"/>
  <c r="K381" i="33" s="1"/>
  <c r="K382" i="33" s="1"/>
  <c r="H205" i="33"/>
  <c r="H209" i="33" s="1"/>
  <c r="G205" i="33"/>
  <c r="G209" i="33" s="1"/>
  <c r="N205" i="33"/>
  <c r="N209" i="33" s="1"/>
  <c r="F205" i="33"/>
  <c r="F209" i="33" s="1"/>
  <c r="M205" i="33"/>
  <c r="M209" i="33" s="1"/>
  <c r="E205" i="33"/>
  <c r="E209" i="33" s="1"/>
  <c r="L205" i="33"/>
  <c r="L209" i="33" s="1"/>
  <c r="D205" i="33"/>
  <c r="D209" i="33" s="1"/>
  <c r="K205" i="33"/>
  <c r="K209" i="33" s="1"/>
  <c r="C205" i="33"/>
  <c r="C209" i="33" s="1"/>
  <c r="J205" i="33"/>
  <c r="J209" i="33" s="1"/>
  <c r="I205" i="33"/>
  <c r="I209" i="33" s="1"/>
  <c r="N138" i="33"/>
  <c r="O169" i="33"/>
  <c r="C276" i="33"/>
  <c r="C300" i="33"/>
  <c r="C333" i="33"/>
  <c r="O297" i="33"/>
  <c r="F44" i="34"/>
  <c r="F12" i="34"/>
  <c r="H50" i="34"/>
  <c r="O16" i="34"/>
  <c r="E49" i="34"/>
  <c r="O15" i="34"/>
  <c r="C47" i="35"/>
  <c r="O14" i="35"/>
  <c r="M298" i="33"/>
  <c r="M264" i="33"/>
  <c r="M276" i="33" s="1"/>
  <c r="J10" i="34"/>
  <c r="J406" i="33"/>
  <c r="D344" i="35"/>
  <c r="H406" i="33"/>
  <c r="H10" i="34"/>
  <c r="K44" i="34"/>
  <c r="K12" i="34"/>
  <c r="I788" i="35"/>
  <c r="K820" i="35"/>
  <c r="E298" i="33"/>
  <c r="E264" i="33"/>
  <c r="E276" i="33" s="1"/>
  <c r="N818" i="35"/>
  <c r="O240" i="33"/>
  <c r="E248" i="35"/>
  <c r="G44" i="34"/>
  <c r="G12" i="34"/>
  <c r="O228" i="33"/>
  <c r="O86" i="34"/>
  <c r="D120" i="34"/>
  <c r="C15" i="35"/>
  <c r="C10" i="34"/>
  <c r="C375" i="35"/>
  <c r="I44" i="34"/>
  <c r="I12" i="34"/>
  <c r="M787" i="35"/>
  <c r="D311" i="35"/>
  <c r="O279" i="35"/>
  <c r="L298" i="33"/>
  <c r="L264" i="33"/>
  <c r="L276" i="33" s="1"/>
  <c r="D298" i="33"/>
  <c r="D264" i="33"/>
  <c r="D276" i="33" s="1"/>
  <c r="O262" i="33"/>
  <c r="N44" i="34"/>
  <c r="N12" i="34"/>
  <c r="D45" i="34"/>
  <c r="O11" i="34"/>
  <c r="C44" i="35"/>
  <c r="F786" i="35"/>
  <c r="M378" i="33"/>
  <c r="M381" i="33" s="1"/>
  <c r="E378" i="33"/>
  <c r="E381" i="33" s="1"/>
  <c r="O311" i="33"/>
  <c r="L378" i="33"/>
  <c r="L381" i="33" s="1"/>
  <c r="D378" i="33"/>
  <c r="D381" i="33" s="1"/>
  <c r="G378" i="33"/>
  <c r="G381" i="33" s="1"/>
  <c r="G382" i="33" s="1"/>
  <c r="F378" i="33"/>
  <c r="L5" i="34"/>
  <c r="E5" i="34"/>
  <c r="M5" i="34"/>
  <c r="F5" i="34"/>
  <c r="N5" i="34"/>
  <c r="G5" i="34"/>
  <c r="D5" i="34"/>
  <c r="H5" i="34"/>
  <c r="I5" i="34"/>
  <c r="J5" i="34"/>
  <c r="C5" i="34"/>
  <c r="K5" i="34"/>
  <c r="N33" i="28"/>
  <c r="O33" i="28" s="1"/>
  <c r="P33" i="28" s="1"/>
  <c r="I35" i="28"/>
  <c r="J34" i="28"/>
  <c r="H6" i="24"/>
  <c r="H5" i="24"/>
  <c r="H4" i="24"/>
  <c r="E44" i="63" l="1" a="1"/>
  <c r="E44" i="63" s="1"/>
  <c r="N44" i="63" a="1"/>
  <c r="N44" i="63" s="1"/>
  <c r="K44" i="63" a="1"/>
  <c r="K44" i="63" s="1"/>
  <c r="F44" i="63" a="1"/>
  <c r="F44" i="63" s="1"/>
  <c r="Q44" i="62"/>
  <c r="D45" i="62" s="1"/>
  <c r="F45" i="62" s="1" a="1"/>
  <c r="F45" i="62" s="1"/>
  <c r="Q32" i="51"/>
  <c r="D33" i="51" s="1"/>
  <c r="N33" i="51" s="1" a="1"/>
  <c r="N33" i="51" s="1"/>
  <c r="G37" i="42"/>
  <c r="H37" i="42" s="1"/>
  <c r="J37" i="42" s="1"/>
  <c r="H35" i="27"/>
  <c r="I34" i="27"/>
  <c r="I378" i="33"/>
  <c r="I381" i="33" s="1"/>
  <c r="I382" i="33" s="1"/>
  <c r="M398" i="33"/>
  <c r="M400" i="33" s="1"/>
  <c r="M413" i="33" s="1"/>
  <c r="G398" i="33"/>
  <c r="G400" i="33" s="1"/>
  <c r="G413" i="33" s="1"/>
  <c r="E398" i="33"/>
  <c r="E400" i="33" s="1"/>
  <c r="E413" i="33" s="1"/>
  <c r="E416" i="33" s="1"/>
  <c r="F398" i="33"/>
  <c r="F400" i="33" s="1"/>
  <c r="F413" i="33" s="1"/>
  <c r="F416" i="33" s="1"/>
  <c r="F417" i="33" s="1"/>
  <c r="H398" i="33"/>
  <c r="H400" i="33" s="1"/>
  <c r="H413" i="33" s="1"/>
  <c r="N398" i="33"/>
  <c r="N400" i="33" s="1"/>
  <c r="N413" i="33" s="1"/>
  <c r="K398" i="33"/>
  <c r="K400" i="33" s="1"/>
  <c r="K413" i="33" s="1"/>
  <c r="C398" i="33"/>
  <c r="C400" i="33" s="1"/>
  <c r="D398" i="33"/>
  <c r="D400" i="33" s="1"/>
  <c r="D413" i="33" s="1"/>
  <c r="J398" i="33"/>
  <c r="J400" i="33" s="1"/>
  <c r="J413" i="33" s="1"/>
  <c r="J416" i="33" s="1"/>
  <c r="J417" i="33" s="1"/>
  <c r="L398" i="33"/>
  <c r="L400" i="33" s="1"/>
  <c r="L413" i="33" s="1"/>
  <c r="I398" i="33"/>
  <c r="I400" i="33" s="1"/>
  <c r="I413" i="33" s="1"/>
  <c r="C152" i="35"/>
  <c r="O119" i="35"/>
  <c r="E33" i="36"/>
  <c r="J34" i="36" s="1"/>
  <c r="J33" i="27"/>
  <c r="N32" i="27"/>
  <c r="O32" i="27" s="1"/>
  <c r="P32" i="27" s="1"/>
  <c r="G24" i="47"/>
  <c r="I24" i="47" s="1"/>
  <c r="J24" i="47" s="1"/>
  <c r="C24" i="55"/>
  <c r="D23" i="55"/>
  <c r="E23" i="55"/>
  <c r="F22" i="55"/>
  <c r="G22" i="55" s="1"/>
  <c r="R39" i="51" s="1"/>
  <c r="F28" i="41"/>
  <c r="G28" i="41" s="1"/>
  <c r="H28" i="41" s="1"/>
  <c r="G29" i="40"/>
  <c r="H29" i="40" s="1"/>
  <c r="O195" i="34"/>
  <c r="C25" i="35"/>
  <c r="O209" i="33"/>
  <c r="M408" i="35"/>
  <c r="M377" i="35"/>
  <c r="J408" i="35"/>
  <c r="J377" i="35"/>
  <c r="L408" i="35"/>
  <c r="L377" i="35"/>
  <c r="K377" i="35"/>
  <c r="K408" i="35"/>
  <c r="F408" i="35"/>
  <c r="F377" i="35"/>
  <c r="N408" i="35"/>
  <c r="N377" i="35"/>
  <c r="G377" i="35"/>
  <c r="G408" i="35"/>
  <c r="I408" i="35"/>
  <c r="I377" i="35"/>
  <c r="I18" i="42"/>
  <c r="J19" i="42"/>
  <c r="C149" i="35"/>
  <c r="I241" i="33"/>
  <c r="I245" i="33" s="1"/>
  <c r="H241" i="33"/>
  <c r="H245" i="33" s="1"/>
  <c r="F241" i="33"/>
  <c r="F245" i="33" s="1"/>
  <c r="G241" i="33"/>
  <c r="G245" i="33" s="1"/>
  <c r="N241" i="33"/>
  <c r="N245" i="33" s="1"/>
  <c r="M241" i="33"/>
  <c r="M245" i="33" s="1"/>
  <c r="E241" i="33"/>
  <c r="E245" i="33" s="1"/>
  <c r="J241" i="33"/>
  <c r="J245" i="33" s="1"/>
  <c r="L241" i="33"/>
  <c r="L245" i="33" s="1"/>
  <c r="D241" i="33"/>
  <c r="D245" i="33" s="1"/>
  <c r="K241" i="33"/>
  <c r="K245" i="33" s="1"/>
  <c r="C241" i="33"/>
  <c r="C245" i="33" s="1"/>
  <c r="O205" i="33"/>
  <c r="N174" i="33"/>
  <c r="M819" i="35"/>
  <c r="I820" i="35"/>
  <c r="C80" i="35"/>
  <c r="O47" i="35"/>
  <c r="C336" i="33"/>
  <c r="C368" i="33"/>
  <c r="O333" i="33"/>
  <c r="C16" i="35"/>
  <c r="K852" i="35"/>
  <c r="F818" i="35"/>
  <c r="C77" i="35"/>
  <c r="L334" i="33"/>
  <c r="L300" i="33"/>
  <c r="L312" i="33" s="1"/>
  <c r="D376" i="35"/>
  <c r="C312" i="33"/>
  <c r="I78" i="34"/>
  <c r="I46" i="34"/>
  <c r="N850" i="35"/>
  <c r="E83" i="34"/>
  <c r="O49" i="34"/>
  <c r="H12" i="34"/>
  <c r="H44" i="34"/>
  <c r="D79" i="34"/>
  <c r="O45" i="34"/>
  <c r="D334" i="33"/>
  <c r="D300" i="33"/>
  <c r="D312" i="33" s="1"/>
  <c r="O298" i="33"/>
  <c r="D343" i="35"/>
  <c r="O311" i="35"/>
  <c r="E280" i="35"/>
  <c r="J44" i="34"/>
  <c r="J12" i="34"/>
  <c r="F78" i="34"/>
  <c r="F46" i="34"/>
  <c r="C48" i="35"/>
  <c r="C407" i="35"/>
  <c r="O120" i="34"/>
  <c r="D154" i="34"/>
  <c r="E300" i="33"/>
  <c r="E312" i="33" s="1"/>
  <c r="E334" i="33"/>
  <c r="H84" i="34"/>
  <c r="O50" i="34"/>
  <c r="O276" i="33"/>
  <c r="G78" i="34"/>
  <c r="G46" i="34"/>
  <c r="M300" i="33"/>
  <c r="M312" i="33" s="1"/>
  <c r="M334" i="33"/>
  <c r="N78" i="34"/>
  <c r="N46" i="34"/>
  <c r="C44" i="34"/>
  <c r="K78" i="34"/>
  <c r="K46" i="34"/>
  <c r="O264" i="33"/>
  <c r="O378" i="33"/>
  <c r="F381" i="33"/>
  <c r="F382" i="33" s="1"/>
  <c r="H416" i="33"/>
  <c r="H417" i="33" s="1"/>
  <c r="N416" i="33"/>
  <c r="N417" i="33" s="1"/>
  <c r="L416" i="33"/>
  <c r="I416" i="33"/>
  <c r="I417" i="33" s="1"/>
  <c r="K416" i="33"/>
  <c r="K417" i="33" s="1"/>
  <c r="M416" i="33"/>
  <c r="G416" i="33"/>
  <c r="G417" i="33" s="1"/>
  <c r="F39" i="34"/>
  <c r="N39" i="34"/>
  <c r="G39" i="34"/>
  <c r="H39" i="34"/>
  <c r="I39" i="34"/>
  <c r="J39" i="34"/>
  <c r="C39" i="34"/>
  <c r="K39" i="34"/>
  <c r="D39" i="34"/>
  <c r="L39" i="34"/>
  <c r="E39" i="34"/>
  <c r="M39" i="34"/>
  <c r="D416" i="33"/>
  <c r="N34" i="28"/>
  <c r="O34" i="28" s="1"/>
  <c r="P34" i="28" s="1"/>
  <c r="J35" i="28"/>
  <c r="N35" i="28" s="1"/>
  <c r="O35" i="28" s="1"/>
  <c r="M34" i="28"/>
  <c r="I36" i="28"/>
  <c r="I45" i="62" l="1" a="1"/>
  <c r="I45" i="62" s="1"/>
  <c r="E45" i="62" a="1"/>
  <c r="E45" i="62" s="1"/>
  <c r="Q44" i="63"/>
  <c r="D45" i="63" s="1"/>
  <c r="E45" i="63" s="1" a="1"/>
  <c r="E45" i="63" s="1"/>
  <c r="K45" i="62" a="1"/>
  <c r="K45" i="62" s="1"/>
  <c r="N45" i="62" a="1"/>
  <c r="N45" i="62" s="1"/>
  <c r="E33" i="51" a="1"/>
  <c r="E33" i="51" s="1"/>
  <c r="F33" i="51" a="1"/>
  <c r="F33" i="51" s="1"/>
  <c r="I33" i="51" a="1"/>
  <c r="I33" i="51" s="1"/>
  <c r="K33" i="51" a="1"/>
  <c r="K33" i="51" s="1"/>
  <c r="O400" i="33"/>
  <c r="C413" i="33"/>
  <c r="E34" i="36"/>
  <c r="J35" i="36" s="1"/>
  <c r="J34" i="27"/>
  <c r="H4" i="34"/>
  <c r="H6" i="34" s="1"/>
  <c r="F4" i="34"/>
  <c r="F6" i="34" s="1"/>
  <c r="L4" i="34"/>
  <c r="L6" i="34" s="1"/>
  <c r="I4" i="34"/>
  <c r="I6" i="34" s="1"/>
  <c r="I19" i="34" s="1"/>
  <c r="I22" i="34" s="1"/>
  <c r="I23" i="34" s="1"/>
  <c r="N4" i="34"/>
  <c r="N6" i="34" s="1"/>
  <c r="J4" i="34"/>
  <c r="J6" i="34" s="1"/>
  <c r="J19" i="34" s="1"/>
  <c r="J22" i="34" s="1"/>
  <c r="J23" i="34" s="1"/>
  <c r="G4" i="34"/>
  <c r="G6" i="34" s="1"/>
  <c r="G19" i="34" s="1"/>
  <c r="G22" i="34" s="1"/>
  <c r="G23" i="34" s="1"/>
  <c r="M4" i="34"/>
  <c r="M6" i="34" s="1"/>
  <c r="K4" i="34"/>
  <c r="K6" i="34" s="1"/>
  <c r="E4" i="34"/>
  <c r="E6" i="34" s="1"/>
  <c r="D4" i="34"/>
  <c r="D6" i="34" s="1"/>
  <c r="D19" i="34" s="1"/>
  <c r="D22" i="34" s="1"/>
  <c r="C4" i="34"/>
  <c r="C6" i="34" s="1"/>
  <c r="O6" i="34" s="1"/>
  <c r="H36" i="27"/>
  <c r="G38" i="42"/>
  <c r="H38" i="42" s="1"/>
  <c r="J38" i="42" s="1"/>
  <c r="I35" i="27"/>
  <c r="M33" i="27"/>
  <c r="N33" i="27"/>
  <c r="O33" i="27" s="1"/>
  <c r="P33" i="27" s="1"/>
  <c r="C184" i="35"/>
  <c r="O152" i="35"/>
  <c r="G25" i="47"/>
  <c r="I25" i="47" s="1"/>
  <c r="J25" i="47" s="1"/>
  <c r="C25" i="55"/>
  <c r="D24" i="55"/>
  <c r="E24" i="55" s="1"/>
  <c r="F24" i="55" s="1"/>
  <c r="G24" i="55" s="1"/>
  <c r="R41" i="51" s="1"/>
  <c r="F23" i="55"/>
  <c r="G23" i="55" s="1"/>
  <c r="R40" i="51" s="1"/>
  <c r="F29" i="41"/>
  <c r="G29" i="41" s="1"/>
  <c r="H29" i="41" s="1"/>
  <c r="G30" i="40"/>
  <c r="H30" i="40" s="1"/>
  <c r="O25" i="35"/>
  <c r="C58" i="35"/>
  <c r="O245" i="33"/>
  <c r="K440" i="35"/>
  <c r="K409" i="35"/>
  <c r="I440" i="35"/>
  <c r="I409" i="35"/>
  <c r="L440" i="35"/>
  <c r="L409" i="35"/>
  <c r="N440" i="35"/>
  <c r="N409" i="35"/>
  <c r="J440" i="35"/>
  <c r="J409" i="35"/>
  <c r="G409" i="35"/>
  <c r="G440" i="35"/>
  <c r="F440" i="35"/>
  <c r="F409" i="35"/>
  <c r="M409" i="35"/>
  <c r="M440" i="35"/>
  <c r="I17" i="42"/>
  <c r="J18" i="42"/>
  <c r="C181" i="35"/>
  <c r="H19" i="34"/>
  <c r="H22" i="34" s="1"/>
  <c r="H23" i="34" s="1"/>
  <c r="C19" i="34"/>
  <c r="M19" i="34"/>
  <c r="M22" i="34" s="1"/>
  <c r="N19" i="34"/>
  <c r="N22" i="34" s="1"/>
  <c r="N23" i="34" s="1"/>
  <c r="L19" i="34"/>
  <c r="L22" i="34" s="1"/>
  <c r="J277" i="33"/>
  <c r="J281" i="33" s="1"/>
  <c r="I277" i="33"/>
  <c r="I281" i="33" s="1"/>
  <c r="H277" i="33"/>
  <c r="H281" i="33" s="1"/>
  <c r="G277" i="33"/>
  <c r="G281" i="33" s="1"/>
  <c r="N277" i="33"/>
  <c r="N281" i="33" s="1"/>
  <c r="F277" i="33"/>
  <c r="F281" i="33" s="1"/>
  <c r="M277" i="33"/>
  <c r="M281" i="33" s="1"/>
  <c r="E277" i="33"/>
  <c r="E281" i="33" s="1"/>
  <c r="L277" i="33"/>
  <c r="L281" i="33" s="1"/>
  <c r="D277" i="33"/>
  <c r="D281" i="33" s="1"/>
  <c r="K277" i="33"/>
  <c r="K281" i="33" s="1"/>
  <c r="C277" i="33"/>
  <c r="C281" i="33" s="1"/>
  <c r="N210" i="33"/>
  <c r="O241" i="33"/>
  <c r="C78" i="34"/>
  <c r="C112" i="34" s="1"/>
  <c r="C146" i="34" s="1"/>
  <c r="C180" i="34" s="1"/>
  <c r="C347" i="33"/>
  <c r="E336" i="33"/>
  <c r="E347" i="33" s="1"/>
  <c r="E369" i="33"/>
  <c r="J78" i="34"/>
  <c r="J46" i="34"/>
  <c r="I80" i="34"/>
  <c r="I112" i="34"/>
  <c r="F850" i="35"/>
  <c r="D113" i="34"/>
  <c r="O79" i="34"/>
  <c r="C81" i="35"/>
  <c r="D375" i="35"/>
  <c r="O343" i="35"/>
  <c r="E117" i="34"/>
  <c r="O83" i="34"/>
  <c r="C113" i="35"/>
  <c r="O80" i="35"/>
  <c r="C439" i="35"/>
  <c r="C371" i="33"/>
  <c r="C403" i="33"/>
  <c r="O368" i="33"/>
  <c r="G80" i="34"/>
  <c r="G112" i="34"/>
  <c r="O312" i="33"/>
  <c r="L336" i="33"/>
  <c r="L347" i="33" s="1"/>
  <c r="L369" i="33"/>
  <c r="K80" i="34"/>
  <c r="K112" i="34"/>
  <c r="O300" i="33"/>
  <c r="C49" i="35"/>
  <c r="I852" i="35"/>
  <c r="H118" i="34"/>
  <c r="O84" i="34"/>
  <c r="O154" i="34"/>
  <c r="D187" i="34"/>
  <c r="F80" i="34"/>
  <c r="F112" i="34"/>
  <c r="E312" i="35"/>
  <c r="D336" i="33"/>
  <c r="D347" i="33" s="1"/>
  <c r="D369" i="33"/>
  <c r="O334" i="33"/>
  <c r="H46" i="34"/>
  <c r="H78" i="34"/>
  <c r="C110" i="35"/>
  <c r="M336" i="33"/>
  <c r="M347" i="33" s="1"/>
  <c r="M369" i="33"/>
  <c r="N80" i="34"/>
  <c r="N112" i="34"/>
  <c r="D408" i="35"/>
  <c r="M851" i="35"/>
  <c r="E19" i="34"/>
  <c r="E22" i="34" s="1"/>
  <c r="F19" i="34"/>
  <c r="F22" i="34" s="1"/>
  <c r="F23" i="34" s="1"/>
  <c r="K19" i="34"/>
  <c r="K22" i="34" s="1"/>
  <c r="K23" i="34" s="1"/>
  <c r="O381" i="33"/>
  <c r="E73" i="34"/>
  <c r="M73" i="34"/>
  <c r="F73" i="34"/>
  <c r="N73" i="34"/>
  <c r="G73" i="34"/>
  <c r="H73" i="34"/>
  <c r="I73" i="34"/>
  <c r="J73" i="34"/>
  <c r="C73" i="34"/>
  <c r="K73" i="34"/>
  <c r="D73" i="34"/>
  <c r="L73" i="34"/>
  <c r="M35" i="28"/>
  <c r="P35" i="28"/>
  <c r="I37" i="28"/>
  <c r="J36" i="28"/>
  <c r="N36" i="28" s="1"/>
  <c r="O36" i="28" s="1"/>
  <c r="N45" i="63" l="1" a="1"/>
  <c r="N45" i="63" s="1"/>
  <c r="I45" i="63" a="1"/>
  <c r="I45" i="63" s="1"/>
  <c r="K45" i="63" a="1"/>
  <c r="K45" i="63" s="1"/>
  <c r="F45" i="63" a="1"/>
  <c r="F45" i="63" s="1"/>
  <c r="Q45" i="62"/>
  <c r="D46" i="62" s="1"/>
  <c r="F46" i="62" s="1" a="1"/>
  <c r="F46" i="62" s="1"/>
  <c r="Q33" i="51"/>
  <c r="D34" i="51" s="1"/>
  <c r="I34" i="51" s="1" a="1"/>
  <c r="I34" i="51" s="1"/>
  <c r="G39" i="42"/>
  <c r="H39" i="42" s="1"/>
  <c r="J39" i="42" s="1"/>
  <c r="H37" i="27"/>
  <c r="I36" i="27"/>
  <c r="C216" i="35"/>
  <c r="O184" i="35"/>
  <c r="E35" i="36"/>
  <c r="J36" i="36" s="1"/>
  <c r="J35" i="27"/>
  <c r="N35" i="27" s="1"/>
  <c r="O35" i="27" s="1"/>
  <c r="P35" i="27" s="1"/>
  <c r="D38" i="34"/>
  <c r="D40" i="34" s="1"/>
  <c r="O40" i="34" s="1"/>
  <c r="H38" i="34"/>
  <c r="H40" i="34" s="1"/>
  <c r="H53" i="34" s="1"/>
  <c r="H56" i="34" s="1"/>
  <c r="H57" i="34" s="1"/>
  <c r="L38" i="34"/>
  <c r="L40" i="34" s="1"/>
  <c r="L53" i="34" s="1"/>
  <c r="L56" i="34" s="1"/>
  <c r="I38" i="34"/>
  <c r="I40" i="34" s="1"/>
  <c r="I53" i="34" s="1"/>
  <c r="I56" i="34" s="1"/>
  <c r="I57" i="34" s="1"/>
  <c r="M38" i="34"/>
  <c r="M40" i="34" s="1"/>
  <c r="K38" i="34"/>
  <c r="K40" i="34" s="1"/>
  <c r="N38" i="34"/>
  <c r="N40" i="34" s="1"/>
  <c r="C38" i="34"/>
  <c r="C40" i="34" s="1"/>
  <c r="E38" i="34"/>
  <c r="E40" i="34" s="1"/>
  <c r="E53" i="34" s="1"/>
  <c r="E56" i="34" s="1"/>
  <c r="J38" i="34"/>
  <c r="J40" i="34" s="1"/>
  <c r="J53" i="34" s="1"/>
  <c r="J56" i="34" s="1"/>
  <c r="J57" i="34" s="1"/>
  <c r="G38" i="34"/>
  <c r="G40" i="34" s="1"/>
  <c r="G53" i="34" s="1"/>
  <c r="G56" i="34" s="1"/>
  <c r="G57" i="34" s="1"/>
  <c r="F38" i="34"/>
  <c r="F40" i="34" s="1"/>
  <c r="F53" i="34" s="1"/>
  <c r="F56" i="34" s="1"/>
  <c r="F57" i="34" s="1"/>
  <c r="C416" i="33"/>
  <c r="O416" i="33" s="1"/>
  <c r="O413" i="33"/>
  <c r="N34" i="27"/>
  <c r="O34" i="27" s="1"/>
  <c r="P34" i="27" s="1"/>
  <c r="M34" i="27"/>
  <c r="G26" i="47"/>
  <c r="I26" i="47" s="1"/>
  <c r="J26" i="47" s="1"/>
  <c r="C26" i="55"/>
  <c r="D25" i="55"/>
  <c r="E25" i="55" s="1"/>
  <c r="F30" i="41"/>
  <c r="G30" i="41" s="1"/>
  <c r="H30" i="41" s="1"/>
  <c r="G31" i="40"/>
  <c r="H31" i="40" s="1"/>
  <c r="C91" i="35"/>
  <c r="O58" i="35"/>
  <c r="M53" i="34"/>
  <c r="O281" i="33"/>
  <c r="M441" i="35"/>
  <c r="M472" i="35"/>
  <c r="N472" i="35"/>
  <c r="N441" i="35"/>
  <c r="F472" i="35"/>
  <c r="F441" i="35"/>
  <c r="L472" i="35"/>
  <c r="L441" i="35"/>
  <c r="G472" i="35"/>
  <c r="G441" i="35"/>
  <c r="I472" i="35"/>
  <c r="I441" i="35"/>
  <c r="J472" i="35"/>
  <c r="J441" i="35"/>
  <c r="K472" i="35"/>
  <c r="K441" i="35"/>
  <c r="I16" i="42"/>
  <c r="J17" i="42"/>
  <c r="C213" i="35"/>
  <c r="D53" i="34"/>
  <c r="D56" i="34" s="1"/>
  <c r="K53" i="34"/>
  <c r="K56" i="34" s="1"/>
  <c r="K57" i="34" s="1"/>
  <c r="J313" i="33"/>
  <c r="J317" i="33" s="1"/>
  <c r="I313" i="33"/>
  <c r="I317" i="33" s="1"/>
  <c r="M313" i="33"/>
  <c r="M317" i="33" s="1"/>
  <c r="H313" i="33"/>
  <c r="H317" i="33" s="1"/>
  <c r="G313" i="33"/>
  <c r="G317" i="33" s="1"/>
  <c r="N313" i="33"/>
  <c r="N317" i="33" s="1"/>
  <c r="F313" i="33"/>
  <c r="F317" i="33" s="1"/>
  <c r="E313" i="33"/>
  <c r="E317" i="33" s="1"/>
  <c r="L313" i="33"/>
  <c r="L317" i="33" s="1"/>
  <c r="D313" i="33"/>
  <c r="D317" i="33" s="1"/>
  <c r="K313" i="33"/>
  <c r="K317" i="33" s="1"/>
  <c r="C313" i="33"/>
  <c r="C317" i="33" s="1"/>
  <c r="O277" i="33"/>
  <c r="N246" i="33"/>
  <c r="O336" i="33"/>
  <c r="D371" i="33"/>
  <c r="D382" i="33" s="1"/>
  <c r="D404" i="33"/>
  <c r="O369" i="33"/>
  <c r="H152" i="34"/>
  <c r="O118" i="34"/>
  <c r="C406" i="33"/>
  <c r="C9" i="34"/>
  <c r="O403" i="33"/>
  <c r="M371" i="33"/>
  <c r="M382" i="33" s="1"/>
  <c r="M404" i="33"/>
  <c r="D440" i="35"/>
  <c r="C382" i="33"/>
  <c r="J80" i="34"/>
  <c r="J112" i="34"/>
  <c r="E344" i="35"/>
  <c r="D147" i="34"/>
  <c r="O113" i="34"/>
  <c r="E371" i="33"/>
  <c r="E382" i="33" s="1"/>
  <c r="E404" i="33"/>
  <c r="C143" i="35"/>
  <c r="F114" i="34"/>
  <c r="F146" i="34"/>
  <c r="C471" i="35"/>
  <c r="D407" i="35"/>
  <c r="O375" i="35"/>
  <c r="E151" i="34"/>
  <c r="O117" i="34"/>
  <c r="N114" i="34"/>
  <c r="N146" i="34"/>
  <c r="H80" i="34"/>
  <c r="H112" i="34"/>
  <c r="C82" i="35"/>
  <c r="L371" i="33"/>
  <c r="L382" i="33" s="1"/>
  <c r="L404" i="33"/>
  <c r="G114" i="34"/>
  <c r="G146" i="34"/>
  <c r="C114" i="35"/>
  <c r="D17" i="35"/>
  <c r="D50" i="35" s="1"/>
  <c r="O187" i="34"/>
  <c r="K114" i="34"/>
  <c r="K146" i="34"/>
  <c r="C146" i="35"/>
  <c r="O113" i="35"/>
  <c r="I114" i="34"/>
  <c r="I146" i="34"/>
  <c r="O347" i="33"/>
  <c r="C10" i="35"/>
  <c r="O19" i="34"/>
  <c r="N53" i="34"/>
  <c r="N56" i="34" s="1"/>
  <c r="N57" i="34" s="1"/>
  <c r="C53" i="34"/>
  <c r="C56" i="34" s="1"/>
  <c r="C22" i="34"/>
  <c r="M56" i="34"/>
  <c r="E107" i="34"/>
  <c r="M107" i="34"/>
  <c r="F107" i="34"/>
  <c r="N107" i="34"/>
  <c r="G107" i="34"/>
  <c r="H107" i="34"/>
  <c r="I107" i="34"/>
  <c r="J107" i="34"/>
  <c r="C107" i="34"/>
  <c r="K107" i="34"/>
  <c r="D107" i="34"/>
  <c r="L107" i="34"/>
  <c r="M36" i="28"/>
  <c r="P36" i="28"/>
  <c r="J37" i="28"/>
  <c r="I38" i="28"/>
  <c r="Q45" i="63" l="1"/>
  <c r="D46" i="63" s="1"/>
  <c r="F46" i="63" s="1" a="1"/>
  <c r="F46" i="63" s="1"/>
  <c r="I46" i="62" a="1"/>
  <c r="I46" i="62" s="1"/>
  <c r="K46" i="62" a="1"/>
  <c r="K46" i="62" s="1"/>
  <c r="N46" i="62" a="1"/>
  <c r="N46" i="62" s="1"/>
  <c r="E46" i="62" a="1"/>
  <c r="E46" i="62" s="1"/>
  <c r="K46" i="63" a="1"/>
  <c r="K46" i="63" s="1"/>
  <c r="E46" i="63" a="1"/>
  <c r="E46" i="63" s="1"/>
  <c r="I46" i="63" a="1"/>
  <c r="I46" i="63" s="1"/>
  <c r="N46" i="63" a="1"/>
  <c r="N46" i="63" s="1"/>
  <c r="F34" i="51" a="1"/>
  <c r="F34" i="51" s="1"/>
  <c r="K34" i="51" a="1"/>
  <c r="K34" i="51" s="1"/>
  <c r="N34" i="51" a="1"/>
  <c r="N34" i="51" s="1"/>
  <c r="E34" i="51" a="1"/>
  <c r="E34" i="51" s="1"/>
  <c r="N108" i="34"/>
  <c r="E72" i="34"/>
  <c r="E74" i="34" s="1"/>
  <c r="J72" i="34"/>
  <c r="J74" i="34" s="1"/>
  <c r="J87" i="34" s="1"/>
  <c r="J90" i="34" s="1"/>
  <c r="J91" i="34" s="1"/>
  <c r="G72" i="34"/>
  <c r="G74" i="34" s="1"/>
  <c r="M72" i="34"/>
  <c r="M74" i="34" s="1"/>
  <c r="M87" i="34" s="1"/>
  <c r="M90" i="34" s="1"/>
  <c r="K72" i="34"/>
  <c r="K74" i="34" s="1"/>
  <c r="C72" i="34"/>
  <c r="C74" i="34" s="1"/>
  <c r="H72" i="34"/>
  <c r="H74" i="34" s="1"/>
  <c r="F72" i="34"/>
  <c r="F74" i="34" s="1"/>
  <c r="I72" i="34"/>
  <c r="I74" i="34" s="1"/>
  <c r="N72" i="34"/>
  <c r="N74" i="34" s="1"/>
  <c r="N87" i="34" s="1"/>
  <c r="N90" i="34" s="1"/>
  <c r="N91" i="34" s="1"/>
  <c r="D72" i="34"/>
  <c r="D74" i="34" s="1"/>
  <c r="D87" i="34" s="1"/>
  <c r="D90" i="34" s="1"/>
  <c r="L72" i="34"/>
  <c r="L74" i="34" s="1"/>
  <c r="L87" i="34" s="1"/>
  <c r="L90" i="34" s="1"/>
  <c r="C248" i="35"/>
  <c r="O216" i="35"/>
  <c r="D106" i="34"/>
  <c r="H106" i="34"/>
  <c r="H108" i="34" s="1"/>
  <c r="H121" i="34" s="1"/>
  <c r="J106" i="34"/>
  <c r="L106" i="34"/>
  <c r="L108" i="34" s="1"/>
  <c r="L121" i="34" s="1"/>
  <c r="I106" i="34"/>
  <c r="I108" i="34" s="1"/>
  <c r="I121" i="34" s="1"/>
  <c r="F106" i="34"/>
  <c r="F108" i="34" s="1"/>
  <c r="F121" i="34" s="1"/>
  <c r="E106" i="34"/>
  <c r="E108" i="34" s="1"/>
  <c r="E121" i="34" s="1"/>
  <c r="N106" i="34"/>
  <c r="C106" i="34"/>
  <c r="M106" i="34"/>
  <c r="G106" i="34"/>
  <c r="K106" i="34"/>
  <c r="D108" i="34"/>
  <c r="D121" i="34" s="1"/>
  <c r="K108" i="34"/>
  <c r="M108" i="34"/>
  <c r="M35" i="27"/>
  <c r="E36" i="36"/>
  <c r="J37" i="36" s="1"/>
  <c r="J36" i="27"/>
  <c r="G108" i="34"/>
  <c r="G121" i="34" s="1"/>
  <c r="C108" i="34"/>
  <c r="G40" i="42"/>
  <c r="H40" i="42" s="1"/>
  <c r="J40" i="42" s="1"/>
  <c r="H38" i="27"/>
  <c r="I37" i="27"/>
  <c r="J108" i="34"/>
  <c r="G27" i="47"/>
  <c r="I27" i="47" s="1"/>
  <c r="J27" i="47" s="1"/>
  <c r="C27" i="55"/>
  <c r="D26" i="55"/>
  <c r="E26" i="55" s="1"/>
  <c r="F26" i="55" s="1"/>
  <c r="G26" i="55" s="1"/>
  <c r="R43" i="51" s="1"/>
  <c r="F25" i="55"/>
  <c r="G25" i="55"/>
  <c r="R42" i="51" s="1"/>
  <c r="F31" i="41"/>
  <c r="G31" i="41" s="1"/>
  <c r="H31" i="41" s="1"/>
  <c r="G32" i="40"/>
  <c r="H32" i="40" s="1"/>
  <c r="O91" i="35"/>
  <c r="C124" i="35"/>
  <c r="O317" i="33"/>
  <c r="J504" i="35"/>
  <c r="J473" i="35"/>
  <c r="L504" i="35"/>
  <c r="L473" i="35"/>
  <c r="F504" i="35"/>
  <c r="F473" i="35"/>
  <c r="N504" i="35"/>
  <c r="N473" i="35"/>
  <c r="M504" i="35"/>
  <c r="M473" i="35"/>
  <c r="I504" i="35"/>
  <c r="I473" i="35"/>
  <c r="K473" i="35"/>
  <c r="K504" i="35"/>
  <c r="G504" i="35"/>
  <c r="G473" i="35"/>
  <c r="I15" i="42"/>
  <c r="J16" i="42"/>
  <c r="D83" i="35"/>
  <c r="O50" i="35"/>
  <c r="C245" i="35"/>
  <c r="F87" i="34"/>
  <c r="F90" i="34" s="1"/>
  <c r="F91" i="34" s="1"/>
  <c r="E87" i="34"/>
  <c r="G87" i="34"/>
  <c r="G90" i="34" s="1"/>
  <c r="G91" i="34" s="1"/>
  <c r="H87" i="34"/>
  <c r="H90" i="34" s="1"/>
  <c r="H91" i="34" s="1"/>
  <c r="I348" i="33"/>
  <c r="I352" i="33" s="1"/>
  <c r="H348" i="33"/>
  <c r="H352" i="33" s="1"/>
  <c r="M348" i="33"/>
  <c r="M352" i="33" s="1"/>
  <c r="G348" i="33"/>
  <c r="G352" i="33" s="1"/>
  <c r="D348" i="33"/>
  <c r="D352" i="33" s="1"/>
  <c r="N348" i="33"/>
  <c r="N352" i="33" s="1"/>
  <c r="F348" i="33"/>
  <c r="F352" i="33" s="1"/>
  <c r="L348" i="33"/>
  <c r="L352" i="33" s="1"/>
  <c r="K348" i="33"/>
  <c r="K352" i="33" s="1"/>
  <c r="C348" i="33"/>
  <c r="C352" i="33" s="1"/>
  <c r="E348" i="33"/>
  <c r="E352" i="33" s="1"/>
  <c r="J348" i="33"/>
  <c r="J352" i="33" s="1"/>
  <c r="N282" i="33"/>
  <c r="O313" i="33"/>
  <c r="C503" i="35"/>
  <c r="O371" i="33"/>
  <c r="H186" i="34"/>
  <c r="O152" i="34"/>
  <c r="F148" i="34"/>
  <c r="F180" i="34"/>
  <c r="D181" i="34"/>
  <c r="O147" i="34"/>
  <c r="O146" i="35"/>
  <c r="C178" i="35"/>
  <c r="J114" i="34"/>
  <c r="J146" i="34"/>
  <c r="D406" i="33"/>
  <c r="D417" i="33" s="1"/>
  <c r="D10" i="34"/>
  <c r="O404" i="33"/>
  <c r="E185" i="34"/>
  <c r="O151" i="34"/>
  <c r="K148" i="34"/>
  <c r="K180" i="34"/>
  <c r="H114" i="34"/>
  <c r="H146" i="34"/>
  <c r="D472" i="35"/>
  <c r="O9" i="34"/>
  <c r="C43" i="34"/>
  <c r="C12" i="34"/>
  <c r="C23" i="34" s="1"/>
  <c r="C147" i="35"/>
  <c r="G148" i="34"/>
  <c r="G180" i="34"/>
  <c r="C175" i="35"/>
  <c r="C417" i="33"/>
  <c r="N148" i="34"/>
  <c r="N180" i="34"/>
  <c r="D439" i="35"/>
  <c r="O407" i="35"/>
  <c r="E406" i="33"/>
  <c r="E417" i="33" s="1"/>
  <c r="E10" i="34"/>
  <c r="M406" i="33"/>
  <c r="M417" i="33" s="1"/>
  <c r="M10" i="34"/>
  <c r="C43" i="35"/>
  <c r="I148" i="34"/>
  <c r="I180" i="34"/>
  <c r="O17" i="35"/>
  <c r="L406" i="33"/>
  <c r="L417" i="33" s="1"/>
  <c r="L10" i="34"/>
  <c r="E376" i="35"/>
  <c r="O382" i="33"/>
  <c r="C4" i="56" s="1"/>
  <c r="D9" i="56" s="1"/>
  <c r="O53" i="34"/>
  <c r="K87" i="34"/>
  <c r="K90" i="34" s="1"/>
  <c r="K91" i="34" s="1"/>
  <c r="O22" i="34"/>
  <c r="C87" i="34"/>
  <c r="C90" i="34" s="1"/>
  <c r="I87" i="34"/>
  <c r="O56" i="34"/>
  <c r="J121" i="34"/>
  <c r="N121" i="34"/>
  <c r="K121" i="34"/>
  <c r="M121" i="34"/>
  <c r="K141" i="34"/>
  <c r="D141" i="34"/>
  <c r="L141" i="34"/>
  <c r="E141" i="34"/>
  <c r="M141" i="34"/>
  <c r="F141" i="34"/>
  <c r="N141" i="34"/>
  <c r="G141" i="34"/>
  <c r="H141" i="34"/>
  <c r="I141" i="34"/>
  <c r="J141" i="34"/>
  <c r="C141" i="34"/>
  <c r="C121" i="34"/>
  <c r="J38" i="28"/>
  <c r="M38" i="28" s="1"/>
  <c r="N37" i="28"/>
  <c r="O37" i="28" s="1"/>
  <c r="P37" i="28" s="1"/>
  <c r="M37" i="28"/>
  <c r="Q46" i="62" l="1"/>
  <c r="D47" i="62" s="1"/>
  <c r="I47" i="62" s="1" a="1"/>
  <c r="I47" i="62" s="1"/>
  <c r="Q46" i="63"/>
  <c r="D47" i="63" s="1"/>
  <c r="I47" i="63" s="1" a="1"/>
  <c r="I47" i="63" s="1"/>
  <c r="N47" i="62" a="1"/>
  <c r="N47" i="62" s="1"/>
  <c r="E47" i="62" a="1"/>
  <c r="E47" i="62" s="1"/>
  <c r="K47" i="62" a="1"/>
  <c r="K47" i="62" s="1"/>
  <c r="Q34" i="51"/>
  <c r="D35" i="51" s="1"/>
  <c r="K35" i="51" s="1" a="1"/>
  <c r="K35" i="51" s="1"/>
  <c r="O108" i="34"/>
  <c r="H39" i="27"/>
  <c r="G41" i="42"/>
  <c r="H41" i="42" s="1"/>
  <c r="J41" i="42" s="1"/>
  <c r="I38" i="27"/>
  <c r="C280" i="35"/>
  <c r="O248" i="35"/>
  <c r="O74" i="34"/>
  <c r="M36" i="27"/>
  <c r="N36" i="27"/>
  <c r="O36" i="27" s="1"/>
  <c r="P36" i="27" s="1"/>
  <c r="E37" i="36"/>
  <c r="J38" i="36" s="1"/>
  <c r="J37" i="27"/>
  <c r="G28" i="47"/>
  <c r="I28" i="47" s="1"/>
  <c r="J28" i="47" s="1"/>
  <c r="C28" i="55"/>
  <c r="D27" i="55"/>
  <c r="E27" i="55" s="1"/>
  <c r="F32" i="41"/>
  <c r="G32" i="41" s="1"/>
  <c r="H32" i="41" s="1"/>
  <c r="G33" i="40"/>
  <c r="H33" i="40" s="1"/>
  <c r="O124" i="35"/>
  <c r="C156" i="35"/>
  <c r="O352" i="33"/>
  <c r="N536" i="35"/>
  <c r="N505" i="35"/>
  <c r="K536" i="35"/>
  <c r="K505" i="35"/>
  <c r="G505" i="35"/>
  <c r="G536" i="35"/>
  <c r="F536" i="35"/>
  <c r="F505" i="35"/>
  <c r="I536" i="35"/>
  <c r="I505" i="35"/>
  <c r="L536" i="35"/>
  <c r="L505" i="35"/>
  <c r="M536" i="35"/>
  <c r="M505" i="35"/>
  <c r="J536" i="35"/>
  <c r="J505" i="35"/>
  <c r="I14" i="42"/>
  <c r="J15" i="42"/>
  <c r="C277" i="35"/>
  <c r="D116" i="35"/>
  <c r="O83" i="35"/>
  <c r="I383" i="33"/>
  <c r="I387" i="33" s="1"/>
  <c r="H383" i="33"/>
  <c r="H387" i="33" s="1"/>
  <c r="G383" i="33"/>
  <c r="G387" i="33" s="1"/>
  <c r="N383" i="33"/>
  <c r="N387" i="33" s="1"/>
  <c r="F383" i="33"/>
  <c r="F387" i="33" s="1"/>
  <c r="M383" i="33"/>
  <c r="M387" i="33" s="1"/>
  <c r="E383" i="33"/>
  <c r="E387" i="33" s="1"/>
  <c r="L383" i="33"/>
  <c r="L387" i="33" s="1"/>
  <c r="D383" i="33"/>
  <c r="D387" i="33" s="1"/>
  <c r="K383" i="33"/>
  <c r="K387" i="33" s="1"/>
  <c r="C383" i="33"/>
  <c r="C387" i="33" s="1"/>
  <c r="J383" i="33"/>
  <c r="J387" i="33" s="1"/>
  <c r="O348" i="33"/>
  <c r="N318" i="33"/>
  <c r="C207" i="35"/>
  <c r="N182" i="34"/>
  <c r="N10" i="35"/>
  <c r="G182" i="34"/>
  <c r="G10" i="35"/>
  <c r="C77" i="34"/>
  <c r="C46" i="34"/>
  <c r="O43" i="34"/>
  <c r="J180" i="34"/>
  <c r="J148" i="34"/>
  <c r="C148" i="35"/>
  <c r="C153" i="35" s="1"/>
  <c r="C120" i="35"/>
  <c r="M12" i="34"/>
  <c r="M23" i="34" s="1"/>
  <c r="M44" i="34"/>
  <c r="K182" i="34"/>
  <c r="K10" i="35"/>
  <c r="D11" i="35"/>
  <c r="O181" i="34"/>
  <c r="D471" i="35"/>
  <c r="O439" i="35"/>
  <c r="H16" i="35"/>
  <c r="O186" i="34"/>
  <c r="L44" i="34"/>
  <c r="L12" i="34"/>
  <c r="L23" i="34" s="1"/>
  <c r="I182" i="34"/>
  <c r="I10" i="35"/>
  <c r="O417" i="33"/>
  <c r="C179" i="35"/>
  <c r="D504" i="35"/>
  <c r="E15" i="35"/>
  <c r="O185" i="34"/>
  <c r="D44" i="34"/>
  <c r="D12" i="34"/>
  <c r="D23" i="34" s="1"/>
  <c r="O10" i="34"/>
  <c r="E44" i="34"/>
  <c r="E12" i="34"/>
  <c r="E23" i="34" s="1"/>
  <c r="O406" i="33"/>
  <c r="F182" i="34"/>
  <c r="F10" i="35"/>
  <c r="C535" i="35"/>
  <c r="C76" i="35"/>
  <c r="O178" i="35"/>
  <c r="C210" i="35"/>
  <c r="E408" i="35"/>
  <c r="H148" i="34"/>
  <c r="H180" i="34"/>
  <c r="O87" i="34"/>
  <c r="E90" i="34"/>
  <c r="I124" i="34"/>
  <c r="I125" i="34" s="1"/>
  <c r="I90" i="34"/>
  <c r="I91" i="34" s="1"/>
  <c r="M124" i="34"/>
  <c r="F124" i="34"/>
  <c r="F125" i="34" s="1"/>
  <c r="G124" i="34"/>
  <c r="G125" i="34" s="1"/>
  <c r="L124" i="34"/>
  <c r="N124" i="34"/>
  <c r="N125" i="34" s="1"/>
  <c r="E124" i="34"/>
  <c r="D124" i="34"/>
  <c r="O121" i="34"/>
  <c r="J124" i="34"/>
  <c r="J125" i="34" s="1"/>
  <c r="K175" i="34"/>
  <c r="C175" i="34"/>
  <c r="D175" i="34"/>
  <c r="L175" i="34"/>
  <c r="E175" i="34"/>
  <c r="M175" i="34"/>
  <c r="F175" i="34"/>
  <c r="N175" i="34"/>
  <c r="G175" i="34"/>
  <c r="H175" i="34"/>
  <c r="J175" i="34"/>
  <c r="I175" i="34"/>
  <c r="C124" i="34"/>
  <c r="K124" i="34"/>
  <c r="K125" i="34" s="1"/>
  <c r="H124" i="34"/>
  <c r="H125" i="34" s="1"/>
  <c r="N38" i="28"/>
  <c r="O38" i="28" s="1"/>
  <c r="P38" i="28" s="1"/>
  <c r="F47" i="62" l="1" a="1"/>
  <c r="F47" i="62" s="1"/>
  <c r="F47" i="63" a="1"/>
  <c r="F47" i="63" s="1"/>
  <c r="K47" i="63" a="1"/>
  <c r="K47" i="63" s="1"/>
  <c r="E47" i="63" a="1"/>
  <c r="E47" i="63" s="1"/>
  <c r="N47" i="63" a="1"/>
  <c r="N47" i="63" s="1"/>
  <c r="Q47" i="62"/>
  <c r="D48" i="62" s="1"/>
  <c r="N35" i="51" a="1"/>
  <c r="N35" i="51" s="1"/>
  <c r="E35" i="51" a="1"/>
  <c r="E35" i="51" s="1"/>
  <c r="F35" i="51" a="1"/>
  <c r="F35" i="51" s="1"/>
  <c r="I35" i="51" a="1"/>
  <c r="I35" i="51" s="1"/>
  <c r="C312" i="35"/>
  <c r="O280" i="35"/>
  <c r="H40" i="27"/>
  <c r="G42" i="42"/>
  <c r="H42" i="42" s="1"/>
  <c r="J42" i="42" s="1"/>
  <c r="I39" i="27"/>
  <c r="G29" i="47"/>
  <c r="I29" i="47" s="1"/>
  <c r="J29" i="47" s="1"/>
  <c r="C29" i="55"/>
  <c r="E38" i="36"/>
  <c r="J39" i="36" s="1"/>
  <c r="J38" i="27"/>
  <c r="E140" i="34"/>
  <c r="E142" i="34" s="1"/>
  <c r="E155" i="34" s="1"/>
  <c r="D140" i="34"/>
  <c r="D142" i="34" s="1"/>
  <c r="D155" i="34" s="1"/>
  <c r="D158" i="34" s="1"/>
  <c r="G140" i="34"/>
  <c r="G142" i="34" s="1"/>
  <c r="C140" i="34"/>
  <c r="C142" i="34" s="1"/>
  <c r="O142" i="34" s="1"/>
  <c r="K140" i="34"/>
  <c r="K142" i="34" s="1"/>
  <c r="K155" i="34" s="1"/>
  <c r="K158" i="34" s="1"/>
  <c r="K159" i="34" s="1"/>
  <c r="N140" i="34"/>
  <c r="N142" i="34" s="1"/>
  <c r="N155" i="34" s="1"/>
  <c r="N158" i="34" s="1"/>
  <c r="N159" i="34" s="1"/>
  <c r="L140" i="34"/>
  <c r="L142" i="34" s="1"/>
  <c r="J140" i="34"/>
  <c r="J142" i="34" s="1"/>
  <c r="H140" i="34"/>
  <c r="H142" i="34" s="1"/>
  <c r="F140" i="34"/>
  <c r="F142" i="34" s="1"/>
  <c r="F155" i="34" s="1"/>
  <c r="F158" i="34" s="1"/>
  <c r="F159" i="34" s="1"/>
  <c r="M140" i="34"/>
  <c r="M142" i="34" s="1"/>
  <c r="I140" i="34"/>
  <c r="I142" i="34" s="1"/>
  <c r="I155" i="34" s="1"/>
  <c r="I158" i="34" s="1"/>
  <c r="I159" i="34" s="1"/>
  <c r="N37" i="27"/>
  <c r="O37" i="27" s="1"/>
  <c r="P37" i="27" s="1"/>
  <c r="M37" i="27"/>
  <c r="D28" i="55"/>
  <c r="E28" i="55" s="1"/>
  <c r="F27" i="55"/>
  <c r="G27" i="55" s="1"/>
  <c r="R44" i="51" s="1"/>
  <c r="F33" i="41"/>
  <c r="G33" i="41" s="1"/>
  <c r="H33" i="41" s="1"/>
  <c r="G34" i="40"/>
  <c r="H34" i="40" s="1"/>
  <c r="O156" i="35"/>
  <c r="C188" i="35"/>
  <c r="H155" i="34"/>
  <c r="O387" i="33"/>
  <c r="G537" i="35"/>
  <c r="G568" i="35"/>
  <c r="M568" i="35"/>
  <c r="M537" i="35"/>
  <c r="F568" i="35"/>
  <c r="F537" i="35"/>
  <c r="L568" i="35"/>
  <c r="L537" i="35"/>
  <c r="K568" i="35"/>
  <c r="K537" i="35"/>
  <c r="J568" i="35"/>
  <c r="J537" i="35"/>
  <c r="I568" i="35"/>
  <c r="I537" i="35"/>
  <c r="N568" i="35"/>
  <c r="N537" i="35"/>
  <c r="J14" i="42"/>
  <c r="I13" i="42"/>
  <c r="D149" i="35"/>
  <c r="O116" i="35"/>
  <c r="C309" i="35"/>
  <c r="C155" i="34"/>
  <c r="C158" i="34" s="1"/>
  <c r="L155" i="34"/>
  <c r="M155" i="34"/>
  <c r="M158" i="34" s="1"/>
  <c r="G155" i="34"/>
  <c r="G158" i="34" s="1"/>
  <c r="G159" i="34" s="1"/>
  <c r="N418" i="33"/>
  <c r="N422" i="33" s="1"/>
  <c r="F418" i="33"/>
  <c r="F422" i="33" s="1"/>
  <c r="M418" i="33"/>
  <c r="M422" i="33" s="1"/>
  <c r="E418" i="33"/>
  <c r="E422" i="33" s="1"/>
  <c r="G418" i="33"/>
  <c r="G422" i="33" s="1"/>
  <c r="L418" i="33"/>
  <c r="L422" i="33" s="1"/>
  <c r="D418" i="33"/>
  <c r="D422" i="33" s="1"/>
  <c r="K418" i="33"/>
  <c r="K422" i="33" s="1"/>
  <c r="C418" i="33"/>
  <c r="C422" i="33" s="1"/>
  <c r="J418" i="33"/>
  <c r="J422" i="33" s="1"/>
  <c r="I418" i="33"/>
  <c r="I422" i="33" s="1"/>
  <c r="H418" i="33"/>
  <c r="H422" i="33" s="1"/>
  <c r="N353" i="33"/>
  <c r="O383" i="33"/>
  <c r="J10" i="35"/>
  <c r="J182" i="34"/>
  <c r="C211" i="35"/>
  <c r="L78" i="34"/>
  <c r="L46" i="34"/>
  <c r="L57" i="34" s="1"/>
  <c r="C567" i="35"/>
  <c r="H49" i="35"/>
  <c r="O16" i="35"/>
  <c r="C57" i="34"/>
  <c r="E78" i="34"/>
  <c r="E46" i="34"/>
  <c r="E57" i="34" s="1"/>
  <c r="O12" i="34"/>
  <c r="D78" i="34"/>
  <c r="D46" i="34"/>
  <c r="D57" i="34" s="1"/>
  <c r="O44" i="34"/>
  <c r="H182" i="34"/>
  <c r="H10" i="35"/>
  <c r="F43" i="35"/>
  <c r="F12" i="35"/>
  <c r="D503" i="35"/>
  <c r="O471" i="35"/>
  <c r="C111" i="34"/>
  <c r="O77" i="34"/>
  <c r="C80" i="34"/>
  <c r="C239" i="35"/>
  <c r="K43" i="35"/>
  <c r="K12" i="35"/>
  <c r="O210" i="35"/>
  <c r="C242" i="35"/>
  <c r="E48" i="35"/>
  <c r="O15" i="35"/>
  <c r="G43" i="35"/>
  <c r="G12" i="35"/>
  <c r="C109" i="35"/>
  <c r="I12" i="35"/>
  <c r="I43" i="35"/>
  <c r="D44" i="35"/>
  <c r="O11" i="35"/>
  <c r="C180" i="35"/>
  <c r="O23" i="34"/>
  <c r="M78" i="34"/>
  <c r="M46" i="34"/>
  <c r="M57" i="34" s="1"/>
  <c r="E440" i="35"/>
  <c r="D536" i="35"/>
  <c r="N43" i="35"/>
  <c r="N12" i="35"/>
  <c r="J155" i="34"/>
  <c r="J158" i="34" s="1"/>
  <c r="J159" i="34" s="1"/>
  <c r="O90" i="34"/>
  <c r="E158" i="34"/>
  <c r="H158" i="34"/>
  <c r="H159" i="34" s="1"/>
  <c r="K5" i="35"/>
  <c r="D5" i="35"/>
  <c r="L5" i="35"/>
  <c r="E5" i="35"/>
  <c r="M5" i="35"/>
  <c r="F5" i="35"/>
  <c r="N5" i="35"/>
  <c r="G5" i="35"/>
  <c r="H5" i="35"/>
  <c r="I5" i="35"/>
  <c r="J5" i="35"/>
  <c r="C5" i="35"/>
  <c r="O124" i="34"/>
  <c r="Q47" i="63" l="1"/>
  <c r="D48" i="63" s="1"/>
  <c r="E48" i="63" s="1" a="1"/>
  <c r="E48" i="63" s="1"/>
  <c r="E48" i="62" a="1"/>
  <c r="E48" i="62" s="1"/>
  <c r="I48" i="62" a="1"/>
  <c r="I48" i="62" s="1"/>
  <c r="N48" i="62" a="1"/>
  <c r="N48" i="62" s="1"/>
  <c r="F48" i="62" a="1"/>
  <c r="F48" i="62" s="1"/>
  <c r="K48" i="62" a="1"/>
  <c r="K48" i="62" s="1"/>
  <c r="Q35" i="51"/>
  <c r="D36" i="51" s="1"/>
  <c r="K36" i="51" s="1" a="1"/>
  <c r="K36" i="51" s="1"/>
  <c r="L174" i="34"/>
  <c r="L176" i="34" s="1"/>
  <c r="I174" i="34"/>
  <c r="I176" i="34" s="1"/>
  <c r="E174" i="34"/>
  <c r="E176" i="34" s="1"/>
  <c r="J174" i="34"/>
  <c r="J176" i="34" s="1"/>
  <c r="J188" i="34" s="1"/>
  <c r="J191" i="34" s="1"/>
  <c r="J192" i="34" s="1"/>
  <c r="F174" i="34"/>
  <c r="F176" i="34" s="1"/>
  <c r="D174" i="34"/>
  <c r="D176" i="34" s="1"/>
  <c r="D188" i="34" s="1"/>
  <c r="D191" i="34" s="1"/>
  <c r="M174" i="34"/>
  <c r="M176" i="34" s="1"/>
  <c r="M188" i="34" s="1"/>
  <c r="K174" i="34"/>
  <c r="K176" i="34" s="1"/>
  <c r="K188" i="34" s="1"/>
  <c r="K191" i="34" s="1"/>
  <c r="K192" i="34" s="1"/>
  <c r="N174" i="34"/>
  <c r="N176" i="34" s="1"/>
  <c r="C174" i="34"/>
  <c r="C176" i="34" s="1"/>
  <c r="H174" i="34"/>
  <c r="H176" i="34" s="1"/>
  <c r="G174" i="34"/>
  <c r="G176" i="34" s="1"/>
  <c r="G188" i="34" s="1"/>
  <c r="G191" i="34" s="1"/>
  <c r="G192" i="34" s="1"/>
  <c r="E39" i="36"/>
  <c r="J40" i="36" s="1"/>
  <c r="J41" i="36" s="1"/>
  <c r="I7" i="4" s="1"/>
  <c r="J39" i="27"/>
  <c r="G43" i="42"/>
  <c r="H43" i="42" s="1"/>
  <c r="J43" i="42" s="1"/>
  <c r="I40" i="27"/>
  <c r="G30" i="47"/>
  <c r="I30" i="47" s="1"/>
  <c r="J30" i="47" s="1"/>
  <c r="C30" i="55"/>
  <c r="M38" i="27"/>
  <c r="N38" i="27"/>
  <c r="O38" i="27" s="1"/>
  <c r="P38" i="27" s="1"/>
  <c r="D29" i="55"/>
  <c r="E29" i="55"/>
  <c r="C344" i="35"/>
  <c r="O312" i="35"/>
  <c r="F28" i="55"/>
  <c r="G28" i="55" s="1"/>
  <c r="F34" i="41"/>
  <c r="G34" i="41" s="1"/>
  <c r="H34" i="41" s="1"/>
  <c r="G35" i="40"/>
  <c r="H35" i="40" s="1"/>
  <c r="C220" i="35"/>
  <c r="O188" i="35"/>
  <c r="O422" i="33"/>
  <c r="L600" i="35"/>
  <c r="L569" i="35"/>
  <c r="F600" i="35"/>
  <c r="F569" i="35"/>
  <c r="N600" i="35"/>
  <c r="N569" i="35"/>
  <c r="J600" i="35"/>
  <c r="J569" i="35"/>
  <c r="M569" i="35"/>
  <c r="M600" i="35"/>
  <c r="G600" i="35"/>
  <c r="G569" i="35"/>
  <c r="I600" i="35"/>
  <c r="I569" i="35"/>
  <c r="K600" i="35"/>
  <c r="K569" i="35"/>
  <c r="I12" i="42"/>
  <c r="J13" i="42"/>
  <c r="C341" i="35"/>
  <c r="D181" i="35"/>
  <c r="O149" i="35"/>
  <c r="H188" i="34"/>
  <c r="H191" i="34" s="1"/>
  <c r="H192" i="34" s="1"/>
  <c r="E188" i="34"/>
  <c r="E191" i="34" s="1"/>
  <c r="L188" i="34"/>
  <c r="I188" i="34"/>
  <c r="I191" i="34" s="1"/>
  <c r="I192" i="34" s="1"/>
  <c r="C188" i="34"/>
  <c r="C191" i="34" s="1"/>
  <c r="F188" i="34"/>
  <c r="F191" i="34" s="1"/>
  <c r="F192" i="34" s="1"/>
  <c r="N188" i="34"/>
  <c r="N191" i="34" s="1"/>
  <c r="N192" i="34" s="1"/>
  <c r="O418" i="33"/>
  <c r="N24" i="34"/>
  <c r="N27" i="34" s="1"/>
  <c r="C24" i="34"/>
  <c r="C27" i="34" s="1"/>
  <c r="H24" i="34"/>
  <c r="H27" i="34" s="1"/>
  <c r="G24" i="34"/>
  <c r="G27" i="34" s="1"/>
  <c r="F24" i="34"/>
  <c r="F27" i="34" s="1"/>
  <c r="M24" i="34"/>
  <c r="M27" i="34" s="1"/>
  <c r="E24" i="34"/>
  <c r="E27" i="34" s="1"/>
  <c r="L24" i="34"/>
  <c r="L27" i="34" s="1"/>
  <c r="D24" i="34"/>
  <c r="D27" i="34" s="1"/>
  <c r="K24" i="34"/>
  <c r="K27" i="34" s="1"/>
  <c r="J24" i="34"/>
  <c r="J27" i="34" s="1"/>
  <c r="I24" i="34"/>
  <c r="I27" i="34" s="1"/>
  <c r="N388" i="33"/>
  <c r="N423" i="33" s="1"/>
  <c r="O46" i="34"/>
  <c r="C212" i="35"/>
  <c r="C217" i="35" s="1"/>
  <c r="H43" i="35"/>
  <c r="H12" i="35"/>
  <c r="G45" i="35"/>
  <c r="G76" i="35"/>
  <c r="K76" i="35"/>
  <c r="K45" i="35"/>
  <c r="D535" i="35"/>
  <c r="O503" i="35"/>
  <c r="H82" i="35"/>
  <c r="O49" i="35"/>
  <c r="D120" i="35"/>
  <c r="C142" i="35"/>
  <c r="C185" i="35"/>
  <c r="D568" i="35"/>
  <c r="E472" i="35"/>
  <c r="D77" i="35"/>
  <c r="O44" i="35"/>
  <c r="C271" i="35"/>
  <c r="I76" i="35"/>
  <c r="I45" i="35"/>
  <c r="C599" i="35"/>
  <c r="C243" i="35"/>
  <c r="M112" i="34"/>
  <c r="M80" i="34"/>
  <c r="M91" i="34" s="1"/>
  <c r="E81" i="35"/>
  <c r="O48" i="35"/>
  <c r="C91" i="34"/>
  <c r="O78" i="34"/>
  <c r="D112" i="34"/>
  <c r="D80" i="34"/>
  <c r="D91" i="34" s="1"/>
  <c r="E112" i="34"/>
  <c r="E80" i="34"/>
  <c r="E91" i="34" s="1"/>
  <c r="N45" i="35"/>
  <c r="N76" i="35"/>
  <c r="O242" i="35"/>
  <c r="C274" i="35"/>
  <c r="C114" i="34"/>
  <c r="O111" i="34"/>
  <c r="C145" i="34"/>
  <c r="F45" i="35"/>
  <c r="F76" i="35"/>
  <c r="O57" i="34"/>
  <c r="L80" i="34"/>
  <c r="L91" i="34" s="1"/>
  <c r="L112" i="34"/>
  <c r="J43" i="35"/>
  <c r="J12" i="35"/>
  <c r="L191" i="34"/>
  <c r="O155" i="34"/>
  <c r="L158" i="34"/>
  <c r="N48" i="63" l="1" a="1"/>
  <c r="N48" i="63" s="1"/>
  <c r="K48" i="63" a="1"/>
  <c r="K48" i="63" s="1"/>
  <c r="F48" i="63" a="1"/>
  <c r="F48" i="63" s="1"/>
  <c r="I48" i="63" a="1"/>
  <c r="I48" i="63" s="1"/>
  <c r="Q48" i="62"/>
  <c r="D49" i="62" s="1"/>
  <c r="N36" i="51" a="1"/>
  <c r="N36" i="51" s="1"/>
  <c r="E36" i="51" a="1"/>
  <c r="E36" i="51" s="1"/>
  <c r="I36" i="51" a="1"/>
  <c r="I36" i="51" s="1"/>
  <c r="F36" i="51" a="1"/>
  <c r="F36" i="51" s="1"/>
  <c r="F29" i="55"/>
  <c r="G29" i="55" s="1"/>
  <c r="R46" i="51" s="1"/>
  <c r="C376" i="35"/>
  <c r="O344" i="35"/>
  <c r="E40" i="36"/>
  <c r="J40" i="27"/>
  <c r="M40" i="27" s="1"/>
  <c r="N40" i="27"/>
  <c r="O40" i="27" s="1"/>
  <c r="P40" i="27" s="1"/>
  <c r="O176" i="34"/>
  <c r="M39" i="27"/>
  <c r="N39" i="27"/>
  <c r="O39" i="27" s="1"/>
  <c r="P39" i="27" s="1"/>
  <c r="C37" i="35" s="1"/>
  <c r="C39" i="35" s="1"/>
  <c r="D30" i="55"/>
  <c r="E30" i="55"/>
  <c r="C13" i="56"/>
  <c r="D14" i="56" s="1"/>
  <c r="D15" i="56" s="1"/>
  <c r="M4" i="35"/>
  <c r="M6" i="35" s="1"/>
  <c r="M18" i="35" s="1"/>
  <c r="M21" i="35" s="1"/>
  <c r="J37" i="35"/>
  <c r="J39" i="35" s="1"/>
  <c r="J51" i="35" s="1"/>
  <c r="L37" i="35"/>
  <c r="L39" i="35" s="1"/>
  <c r="L51" i="35" s="1"/>
  <c r="H4" i="35"/>
  <c r="H6" i="35" s="1"/>
  <c r="M37" i="35"/>
  <c r="M39" i="35" s="1"/>
  <c r="M51" i="35" s="1"/>
  <c r="M54" i="35" s="1"/>
  <c r="J4" i="35"/>
  <c r="J6" i="35" s="1"/>
  <c r="J18" i="35" s="1"/>
  <c r="J21" i="35" s="1"/>
  <c r="J22" i="35" s="1"/>
  <c r="G4" i="35"/>
  <c r="G6" i="35" s="1"/>
  <c r="G18" i="35" s="1"/>
  <c r="G21" i="35" s="1"/>
  <c r="G22" i="35" s="1"/>
  <c r="K4" i="35"/>
  <c r="K6" i="35" s="1"/>
  <c r="K18" i="35" s="1"/>
  <c r="K21" i="35" s="1"/>
  <c r="K22" i="35" s="1"/>
  <c r="N37" i="35"/>
  <c r="N39" i="35" s="1"/>
  <c r="N51" i="35" s="1"/>
  <c r="D4" i="35"/>
  <c r="D6" i="35" s="1"/>
  <c r="I4" i="35"/>
  <c r="I6" i="35" s="1"/>
  <c r="E37" i="35"/>
  <c r="E39" i="35" s="1"/>
  <c r="E51" i="35" s="1"/>
  <c r="G37" i="35"/>
  <c r="G39" i="35" s="1"/>
  <c r="G51" i="35" s="1"/>
  <c r="F37" i="35"/>
  <c r="F39" i="35" s="1"/>
  <c r="F51" i="35" s="1"/>
  <c r="F54" i="35" s="1"/>
  <c r="F55" i="35" s="1"/>
  <c r="D37" i="35"/>
  <c r="D39" i="35" s="1"/>
  <c r="D51" i="35" s="1"/>
  <c r="D54" i="35" s="1"/>
  <c r="I37" i="35"/>
  <c r="I39" i="35" s="1"/>
  <c r="I51" i="35" s="1"/>
  <c r="I54" i="35" s="1"/>
  <c r="I55" i="35" s="1"/>
  <c r="F4" i="35"/>
  <c r="F6" i="35" s="1"/>
  <c r="F18" i="35" s="1"/>
  <c r="F21" i="35" s="1"/>
  <c r="F22" i="35" s="1"/>
  <c r="K37" i="35"/>
  <c r="K39" i="35" s="1"/>
  <c r="K51" i="35" s="1"/>
  <c r="E4" i="35"/>
  <c r="E6" i="35" s="1"/>
  <c r="L4" i="35"/>
  <c r="L6" i="35" s="1"/>
  <c r="N4" i="35"/>
  <c r="N6" i="35" s="1"/>
  <c r="N18" i="35" s="1"/>
  <c r="N21" i="35" s="1"/>
  <c r="N22" i="35" s="1"/>
  <c r="H37" i="35"/>
  <c r="H39" i="35" s="1"/>
  <c r="H51" i="35" s="1"/>
  <c r="H54" i="35" s="1"/>
  <c r="C4" i="35"/>
  <c r="C6" i="35" s="1"/>
  <c r="C18" i="35" s="1"/>
  <c r="C21" i="35" s="1"/>
  <c r="G31" i="47"/>
  <c r="I31" i="47" s="1"/>
  <c r="J31" i="47" s="1"/>
  <c r="C31" i="55"/>
  <c r="D31" i="55" s="1"/>
  <c r="E31" i="55" s="1"/>
  <c r="R45" i="51"/>
  <c r="H14" i="56"/>
  <c r="H15" i="56" s="1"/>
  <c r="H17" i="56" s="1"/>
  <c r="F35" i="41"/>
  <c r="G35" i="41" s="1"/>
  <c r="H35" i="41"/>
  <c r="G36" i="40"/>
  <c r="H36" i="40" s="1"/>
  <c r="O220" i="35"/>
  <c r="C252" i="35"/>
  <c r="D18" i="35"/>
  <c r="D21" i="35" s="1"/>
  <c r="K632" i="35"/>
  <c r="K601" i="35"/>
  <c r="I632" i="35"/>
  <c r="I601" i="35"/>
  <c r="N632" i="35"/>
  <c r="N601" i="35"/>
  <c r="J632" i="35"/>
  <c r="J601" i="35"/>
  <c r="G632" i="35"/>
  <c r="G601" i="35"/>
  <c r="F632" i="35"/>
  <c r="F601" i="35"/>
  <c r="M632" i="35"/>
  <c r="M601" i="35"/>
  <c r="L632" i="35"/>
  <c r="L601" i="35"/>
  <c r="I11" i="42"/>
  <c r="J12" i="42"/>
  <c r="D213" i="35"/>
  <c r="O181" i="35"/>
  <c r="C373" i="35"/>
  <c r="O188" i="34"/>
  <c r="E18" i="35"/>
  <c r="K58" i="34"/>
  <c r="K61" i="34" s="1"/>
  <c r="C58" i="34"/>
  <c r="C61" i="34" s="1"/>
  <c r="J58" i="34"/>
  <c r="J61" i="34" s="1"/>
  <c r="I58" i="34"/>
  <c r="I61" i="34" s="1"/>
  <c r="H58" i="34"/>
  <c r="H61" i="34" s="1"/>
  <c r="G58" i="34"/>
  <c r="G61" i="34" s="1"/>
  <c r="L58" i="34"/>
  <c r="L61" i="34" s="1"/>
  <c r="N58" i="34"/>
  <c r="N61" i="34" s="1"/>
  <c r="F58" i="34"/>
  <c r="F61" i="34" s="1"/>
  <c r="M58" i="34"/>
  <c r="M61" i="34" s="1"/>
  <c r="E58" i="34"/>
  <c r="E61" i="34" s="1"/>
  <c r="D58" i="34"/>
  <c r="D61" i="34" s="1"/>
  <c r="O27" i="34"/>
  <c r="O24" i="34"/>
  <c r="C631" i="35"/>
  <c r="C174" i="35"/>
  <c r="E114" i="35"/>
  <c r="O81" i="35"/>
  <c r="D110" i="35"/>
  <c r="O77" i="35"/>
  <c r="K109" i="35"/>
  <c r="K78" i="35"/>
  <c r="C125" i="34"/>
  <c r="M146" i="34"/>
  <c r="M114" i="34"/>
  <c r="M125" i="34" s="1"/>
  <c r="E504" i="35"/>
  <c r="D153" i="35"/>
  <c r="O112" i="34"/>
  <c r="D146" i="34"/>
  <c r="D114" i="34"/>
  <c r="D125" i="34" s="1"/>
  <c r="C275" i="35"/>
  <c r="I78" i="35"/>
  <c r="I109" i="35"/>
  <c r="O274" i="35"/>
  <c r="C306" i="35"/>
  <c r="F109" i="35"/>
  <c r="F78" i="35"/>
  <c r="D600" i="35"/>
  <c r="H115" i="35"/>
  <c r="O82" i="35"/>
  <c r="H76" i="35"/>
  <c r="H45" i="35"/>
  <c r="L114" i="34"/>
  <c r="L125" i="34" s="1"/>
  <c r="L146" i="34"/>
  <c r="E146" i="34"/>
  <c r="E114" i="34"/>
  <c r="E125" i="34" s="1"/>
  <c r="C148" i="34"/>
  <c r="C179" i="34"/>
  <c r="O145" i="34"/>
  <c r="O91" i="34"/>
  <c r="C303" i="35"/>
  <c r="C244" i="35"/>
  <c r="C276" i="35" s="1"/>
  <c r="G109" i="35"/>
  <c r="G78" i="35"/>
  <c r="N109" i="35"/>
  <c r="N78" i="35"/>
  <c r="J76" i="35"/>
  <c r="J45" i="35"/>
  <c r="O80" i="34"/>
  <c r="D567" i="35"/>
  <c r="O535" i="35"/>
  <c r="O158" i="34"/>
  <c r="L18" i="35"/>
  <c r="L21" i="35" s="1"/>
  <c r="I18" i="35"/>
  <c r="I21" i="35" s="1"/>
  <c r="I22" i="35" s="1"/>
  <c r="H18" i="35"/>
  <c r="H21" i="35" s="1"/>
  <c r="H22" i="35" s="1"/>
  <c r="N54" i="35"/>
  <c r="N55" i="35" s="1"/>
  <c r="G54" i="35"/>
  <c r="G55" i="35" s="1"/>
  <c r="M191" i="34"/>
  <c r="K54" i="35"/>
  <c r="K55" i="35" s="1"/>
  <c r="E54" i="35"/>
  <c r="L54" i="35"/>
  <c r="O6" i="35"/>
  <c r="J54" i="35"/>
  <c r="Q48" i="63" l="1"/>
  <c r="D49" i="63" s="1"/>
  <c r="F49" i="63" s="1" a="1"/>
  <c r="F49" i="63" s="1"/>
  <c r="F49" i="62" a="1"/>
  <c r="F49" i="62" s="1"/>
  <c r="E49" i="62" a="1"/>
  <c r="E49" i="62" s="1"/>
  <c r="I49" i="62" a="1"/>
  <c r="I49" i="62" s="1"/>
  <c r="K49" i="62" a="1"/>
  <c r="K49" i="62" s="1"/>
  <c r="N49" i="62" a="1"/>
  <c r="N49" i="62" s="1"/>
  <c r="Q36" i="51"/>
  <c r="D37" i="51" s="1"/>
  <c r="F37" i="51" s="1" a="1"/>
  <c r="F37" i="51" s="1"/>
  <c r="I70" i="35"/>
  <c r="I72" i="35" s="1"/>
  <c r="I84" i="35" s="1"/>
  <c r="N70" i="35"/>
  <c r="N72" i="35" s="1"/>
  <c r="N84" i="35" s="1"/>
  <c r="L70" i="35"/>
  <c r="L72" i="35" s="1"/>
  <c r="L84" i="35" s="1"/>
  <c r="H70" i="35"/>
  <c r="H72" i="35" s="1"/>
  <c r="H84" i="35" s="1"/>
  <c r="F70" i="35"/>
  <c r="F72" i="35" s="1"/>
  <c r="F84" i="35" s="1"/>
  <c r="F87" i="35" s="1"/>
  <c r="F88" i="35" s="1"/>
  <c r="J70" i="35"/>
  <c r="J72" i="35" s="1"/>
  <c r="J84" i="35" s="1"/>
  <c r="J87" i="35" s="1"/>
  <c r="G70" i="35"/>
  <c r="G72" i="35" s="1"/>
  <c r="G84" i="35" s="1"/>
  <c r="G87" i="35" s="1"/>
  <c r="G88" i="35" s="1"/>
  <c r="K70" i="35"/>
  <c r="K72" i="35" s="1"/>
  <c r="K84" i="35" s="1"/>
  <c r="K87" i="35" s="1"/>
  <c r="K88" i="35" s="1"/>
  <c r="C72" i="35"/>
  <c r="D70" i="35"/>
  <c r="D72" i="35" s="1"/>
  <c r="D84" i="35" s="1"/>
  <c r="E70" i="35"/>
  <c r="E72" i="35" s="1"/>
  <c r="E84" i="35" s="1"/>
  <c r="M70" i="35"/>
  <c r="M72" i="35" s="1"/>
  <c r="M84" i="35" s="1"/>
  <c r="C51" i="35"/>
  <c r="O39" i="35"/>
  <c r="C408" i="35"/>
  <c r="O376" i="35"/>
  <c r="G32" i="47"/>
  <c r="I32" i="47" s="1"/>
  <c r="J32" i="47" s="1"/>
  <c r="C32" i="55"/>
  <c r="G31" i="55"/>
  <c r="R48" i="51" s="1"/>
  <c r="F31" i="55"/>
  <c r="F30" i="55"/>
  <c r="G30" i="55" s="1"/>
  <c r="R47" i="51" s="1"/>
  <c r="F36" i="41"/>
  <c r="G36" i="41" s="1"/>
  <c r="H36" i="41" s="1"/>
  <c r="G37" i="40"/>
  <c r="H37" i="40" s="1"/>
  <c r="O252" i="35"/>
  <c r="C284" i="35"/>
  <c r="L664" i="35"/>
  <c r="L633" i="35"/>
  <c r="J664" i="35"/>
  <c r="J633" i="35"/>
  <c r="M664" i="35"/>
  <c r="M633" i="35"/>
  <c r="N664" i="35"/>
  <c r="N633" i="35"/>
  <c r="F664" i="35"/>
  <c r="F633" i="35"/>
  <c r="I664" i="35"/>
  <c r="I633" i="35"/>
  <c r="G633" i="35"/>
  <c r="G664" i="35"/>
  <c r="K664" i="35"/>
  <c r="K633" i="35"/>
  <c r="I10" i="42"/>
  <c r="J11" i="42"/>
  <c r="C405" i="35"/>
  <c r="D245" i="35"/>
  <c r="O213" i="35"/>
  <c r="K92" i="34"/>
  <c r="K95" i="34" s="1"/>
  <c r="C92" i="34"/>
  <c r="C95" i="34" s="1"/>
  <c r="F92" i="34"/>
  <c r="F95" i="34" s="1"/>
  <c r="D92" i="34"/>
  <c r="D95" i="34" s="1"/>
  <c r="J92" i="34"/>
  <c r="J95" i="34" s="1"/>
  <c r="I92" i="34"/>
  <c r="I95" i="34" s="1"/>
  <c r="L92" i="34"/>
  <c r="L95" i="34" s="1"/>
  <c r="H92" i="34"/>
  <c r="H95" i="34" s="1"/>
  <c r="N92" i="34"/>
  <c r="N95" i="34" s="1"/>
  <c r="G92" i="34"/>
  <c r="G95" i="34" s="1"/>
  <c r="M92" i="34"/>
  <c r="M95" i="34" s="1"/>
  <c r="E92" i="34"/>
  <c r="E95" i="34" s="1"/>
  <c r="O58" i="34"/>
  <c r="O61" i="34"/>
  <c r="N28" i="34"/>
  <c r="J55" i="35"/>
  <c r="H78" i="35"/>
  <c r="H109" i="35"/>
  <c r="O306" i="35"/>
  <c r="C338" i="35"/>
  <c r="O125" i="34"/>
  <c r="O114" i="34"/>
  <c r="E147" i="35"/>
  <c r="E120" i="35"/>
  <c r="O114" i="35"/>
  <c r="N111" i="35"/>
  <c r="N121" i="35" s="1"/>
  <c r="N142" i="35"/>
  <c r="D599" i="35"/>
  <c r="O567" i="35"/>
  <c r="G111" i="35"/>
  <c r="G121" i="35" s="1"/>
  <c r="G142" i="35"/>
  <c r="E180" i="34"/>
  <c r="E148" i="34"/>
  <c r="E159" i="34" s="1"/>
  <c r="H148" i="35"/>
  <c r="H120" i="35"/>
  <c r="O115" i="35"/>
  <c r="I142" i="35"/>
  <c r="I111" i="35"/>
  <c r="I121" i="35" s="1"/>
  <c r="C335" i="35"/>
  <c r="F111" i="35"/>
  <c r="F121" i="35" s="1"/>
  <c r="F142" i="35"/>
  <c r="M180" i="34"/>
  <c r="M148" i="34"/>
  <c r="M159" i="34" s="1"/>
  <c r="H55" i="35"/>
  <c r="C249" i="35"/>
  <c r="O179" i="34"/>
  <c r="C9" i="35"/>
  <c r="C182" i="34"/>
  <c r="D185" i="35"/>
  <c r="K142" i="35"/>
  <c r="K111" i="35"/>
  <c r="K121" i="35" s="1"/>
  <c r="C206" i="35"/>
  <c r="J78" i="35"/>
  <c r="J109" i="35"/>
  <c r="C159" i="34"/>
  <c r="D632" i="35"/>
  <c r="C307" i="35"/>
  <c r="O146" i="34"/>
  <c r="D180" i="34"/>
  <c r="D148" i="34"/>
  <c r="D159" i="34" s="1"/>
  <c r="L148" i="34"/>
  <c r="L159" i="34" s="1"/>
  <c r="L180" i="34"/>
  <c r="E536" i="35"/>
  <c r="D143" i="35"/>
  <c r="O110" i="35"/>
  <c r="C663" i="35"/>
  <c r="O191" i="34"/>
  <c r="E21" i="35"/>
  <c r="O21" i="35" s="1"/>
  <c r="O18" i="35"/>
  <c r="H87" i="35"/>
  <c r="I87" i="35"/>
  <c r="I88" i="35" s="1"/>
  <c r="L87" i="35"/>
  <c r="D87" i="35"/>
  <c r="M87" i="35"/>
  <c r="E87" i="35"/>
  <c r="N87" i="35"/>
  <c r="N88" i="35" s="1"/>
  <c r="N49" i="63" l="1" a="1"/>
  <c r="N49" i="63" s="1"/>
  <c r="I49" i="63" a="1"/>
  <c r="I49" i="63" s="1"/>
  <c r="E49" i="63" a="1"/>
  <c r="E49" i="63" s="1"/>
  <c r="K49" i="63" a="1"/>
  <c r="K49" i="63" s="1"/>
  <c r="Q49" i="62"/>
  <c r="D50" i="62" s="1"/>
  <c r="E37" i="51" a="1"/>
  <c r="E37" i="51" s="1"/>
  <c r="I37" i="51" a="1"/>
  <c r="I37" i="51" s="1"/>
  <c r="K37" i="51" a="1"/>
  <c r="K37" i="51" s="1"/>
  <c r="N37" i="51" a="1"/>
  <c r="N37" i="51" s="1"/>
  <c r="C440" i="35"/>
  <c r="O408" i="35"/>
  <c r="G33" i="47"/>
  <c r="I33" i="47" s="1"/>
  <c r="J33" i="47" s="1"/>
  <c r="C33" i="55"/>
  <c r="C54" i="35"/>
  <c r="O54" i="35" s="1"/>
  <c r="O51" i="35"/>
  <c r="E32" i="55"/>
  <c r="F32" i="55" s="1"/>
  <c r="G32" i="55" s="1"/>
  <c r="R49" i="51" s="1"/>
  <c r="D32" i="55"/>
  <c r="O72" i="35"/>
  <c r="C84" i="35"/>
  <c r="F37" i="41"/>
  <c r="G37" i="41" s="1"/>
  <c r="H37" i="41" s="1"/>
  <c r="G38" i="40"/>
  <c r="H38" i="40" s="1"/>
  <c r="O284" i="35"/>
  <c r="C316" i="35"/>
  <c r="O95" i="34"/>
  <c r="G696" i="35"/>
  <c r="G665" i="35"/>
  <c r="N696" i="35"/>
  <c r="N665" i="35"/>
  <c r="M665" i="35"/>
  <c r="M696" i="35"/>
  <c r="I696" i="35"/>
  <c r="I665" i="35"/>
  <c r="J696" i="35"/>
  <c r="J665" i="35"/>
  <c r="K696" i="35"/>
  <c r="K665" i="35"/>
  <c r="F696" i="35"/>
  <c r="F665" i="35"/>
  <c r="L696" i="35"/>
  <c r="L665" i="35"/>
  <c r="I9" i="42"/>
  <c r="J10" i="42"/>
  <c r="D277" i="35"/>
  <c r="O245" i="35"/>
  <c r="C437" i="35"/>
  <c r="N62" i="34"/>
  <c r="K126" i="34"/>
  <c r="K129" i="34" s="1"/>
  <c r="C126" i="34"/>
  <c r="C129" i="34" s="1"/>
  <c r="J126" i="34"/>
  <c r="J129" i="34" s="1"/>
  <c r="I126" i="34"/>
  <c r="I129" i="34" s="1"/>
  <c r="N126" i="34"/>
  <c r="N129" i="34" s="1"/>
  <c r="H126" i="34"/>
  <c r="H129" i="34" s="1"/>
  <c r="G126" i="34"/>
  <c r="G129" i="34" s="1"/>
  <c r="M126" i="34"/>
  <c r="M129" i="34" s="1"/>
  <c r="E126" i="34"/>
  <c r="E129" i="34" s="1"/>
  <c r="L126" i="34"/>
  <c r="L129" i="34" s="1"/>
  <c r="D126" i="34"/>
  <c r="D129" i="34" s="1"/>
  <c r="F126" i="34"/>
  <c r="F129" i="34" s="1"/>
  <c r="O92" i="34"/>
  <c r="H88" i="35"/>
  <c r="J88" i="35"/>
  <c r="D664" i="35"/>
  <c r="M182" i="34"/>
  <c r="M192" i="34" s="1"/>
  <c r="M10" i="35"/>
  <c r="I144" i="35"/>
  <c r="I154" i="35" s="1"/>
  <c r="I174" i="35"/>
  <c r="E179" i="35"/>
  <c r="E153" i="35"/>
  <c r="O147" i="35"/>
  <c r="C192" i="34"/>
  <c r="G144" i="35"/>
  <c r="G154" i="35" s="1"/>
  <c r="G174" i="35"/>
  <c r="O159" i="34"/>
  <c r="F144" i="35"/>
  <c r="F154" i="35" s="1"/>
  <c r="F174" i="35"/>
  <c r="D631" i="35"/>
  <c r="O599" i="35"/>
  <c r="H111" i="35"/>
  <c r="H121" i="35" s="1"/>
  <c r="H142" i="35"/>
  <c r="O338" i="35"/>
  <c r="C370" i="35"/>
  <c r="C695" i="35"/>
  <c r="O148" i="34"/>
  <c r="K144" i="35"/>
  <c r="K154" i="35" s="1"/>
  <c r="K174" i="35"/>
  <c r="C308" i="35"/>
  <c r="C281" i="35"/>
  <c r="E568" i="35"/>
  <c r="L182" i="34"/>
  <c r="L192" i="34" s="1"/>
  <c r="L10" i="35"/>
  <c r="D182" i="34"/>
  <c r="D192" i="34" s="1"/>
  <c r="D10" i="35"/>
  <c r="O180" i="34"/>
  <c r="C367" i="35"/>
  <c r="H180" i="35"/>
  <c r="H153" i="35"/>
  <c r="O148" i="35"/>
  <c r="N144" i="35"/>
  <c r="N154" i="35" s="1"/>
  <c r="N174" i="35"/>
  <c r="C238" i="35"/>
  <c r="O120" i="35"/>
  <c r="J142" i="35"/>
  <c r="J111" i="35"/>
  <c r="J121" i="35" s="1"/>
  <c r="D175" i="35"/>
  <c r="O143" i="35"/>
  <c r="C42" i="35"/>
  <c r="O9" i="35"/>
  <c r="C12" i="35"/>
  <c r="C339" i="35"/>
  <c r="D217" i="35"/>
  <c r="E182" i="34"/>
  <c r="E192" i="34" s="1"/>
  <c r="E10" i="35"/>
  <c r="Q49" i="63" l="1"/>
  <c r="D50" i="63" s="1"/>
  <c r="F50" i="63" s="1" a="1"/>
  <c r="F50" i="63" s="1"/>
  <c r="F50" i="62" a="1"/>
  <c r="F50" i="62" s="1"/>
  <c r="E50" i="62" a="1"/>
  <c r="E50" i="62" s="1"/>
  <c r="K50" i="62" a="1"/>
  <c r="K50" i="62" s="1"/>
  <c r="I50" i="62" a="1"/>
  <c r="I50" i="62" s="1"/>
  <c r="N50" i="62" a="1"/>
  <c r="N50" i="62" s="1"/>
  <c r="Q37" i="51"/>
  <c r="D38" i="51" s="1"/>
  <c r="F38" i="51" s="1" a="1"/>
  <c r="F38" i="51" s="1"/>
  <c r="G34" i="47"/>
  <c r="I34" i="47" s="1"/>
  <c r="J34" i="47" s="1"/>
  <c r="C34" i="55"/>
  <c r="D33" i="55"/>
  <c r="E33" i="55"/>
  <c r="C87" i="35"/>
  <c r="O87" i="35" s="1"/>
  <c r="O84" i="35"/>
  <c r="C472" i="35"/>
  <c r="O440" i="35"/>
  <c r="F38" i="41"/>
  <c r="G38" i="41" s="1"/>
  <c r="H38" i="41" s="1"/>
  <c r="G39" i="40"/>
  <c r="H39" i="40" s="1"/>
  <c r="O316" i="35"/>
  <c r="C348" i="35"/>
  <c r="C160" i="34"/>
  <c r="C163" i="34" s="1"/>
  <c r="O129" i="34"/>
  <c r="M728" i="35"/>
  <c r="M697" i="35"/>
  <c r="F728" i="35"/>
  <c r="F697" i="35"/>
  <c r="I728" i="35"/>
  <c r="I697" i="35"/>
  <c r="K728" i="35"/>
  <c r="K697" i="35"/>
  <c r="N728" i="35"/>
  <c r="N697" i="35"/>
  <c r="L728" i="35"/>
  <c r="L697" i="35"/>
  <c r="J728" i="35"/>
  <c r="J697" i="35"/>
  <c r="G728" i="35"/>
  <c r="G697" i="35"/>
  <c r="I8" i="42"/>
  <c r="J9" i="42"/>
  <c r="C469" i="35"/>
  <c r="D309" i="35"/>
  <c r="O277" i="35"/>
  <c r="H160" i="34"/>
  <c r="H163" i="34" s="1"/>
  <c r="G160" i="34"/>
  <c r="G163" i="34" s="1"/>
  <c r="N160" i="34"/>
  <c r="N163" i="34" s="1"/>
  <c r="F160" i="34"/>
  <c r="F163" i="34" s="1"/>
  <c r="M160" i="34"/>
  <c r="M163" i="34" s="1"/>
  <c r="E160" i="34"/>
  <c r="E163" i="34" s="1"/>
  <c r="L160" i="34"/>
  <c r="L163" i="34" s="1"/>
  <c r="D160" i="34"/>
  <c r="D163" i="34" s="1"/>
  <c r="K160" i="34"/>
  <c r="K163" i="34" s="1"/>
  <c r="J160" i="34"/>
  <c r="J163" i="34" s="1"/>
  <c r="I160" i="34"/>
  <c r="I163" i="34" s="1"/>
  <c r="O126" i="34"/>
  <c r="N96" i="34"/>
  <c r="C399" i="35"/>
  <c r="E600" i="35"/>
  <c r="H144" i="35"/>
  <c r="H154" i="35" s="1"/>
  <c r="H174" i="35"/>
  <c r="I176" i="35"/>
  <c r="I186" i="35" s="1"/>
  <c r="I206" i="35"/>
  <c r="E211" i="35"/>
  <c r="E185" i="35"/>
  <c r="O179" i="35"/>
  <c r="C270" i="35"/>
  <c r="C727" i="35"/>
  <c r="G206" i="35"/>
  <c r="G176" i="35"/>
  <c r="G186" i="35" s="1"/>
  <c r="H212" i="35"/>
  <c r="H185" i="35"/>
  <c r="O180" i="35"/>
  <c r="C371" i="35"/>
  <c r="M12" i="35"/>
  <c r="M22" i="35" s="1"/>
  <c r="M43" i="35"/>
  <c r="C22" i="35"/>
  <c r="D207" i="35"/>
  <c r="O175" i="35"/>
  <c r="N176" i="35"/>
  <c r="N186" i="35" s="1"/>
  <c r="N206" i="35"/>
  <c r="D43" i="35"/>
  <c r="D12" i="35"/>
  <c r="D22" i="35" s="1"/>
  <c r="O10" i="35"/>
  <c r="C340" i="35"/>
  <c r="C345" i="35" s="1"/>
  <c r="C313" i="35"/>
  <c r="D663" i="35"/>
  <c r="O631" i="35"/>
  <c r="O192" i="34"/>
  <c r="F176" i="35"/>
  <c r="F186" i="35" s="1"/>
  <c r="F206" i="35"/>
  <c r="O182" i="34"/>
  <c r="O153" i="35"/>
  <c r="E12" i="35"/>
  <c r="E22" i="35" s="1"/>
  <c r="E43" i="35"/>
  <c r="D249" i="35"/>
  <c r="O42" i="35"/>
  <c r="C75" i="35"/>
  <c r="C45" i="35"/>
  <c r="J144" i="35"/>
  <c r="J154" i="35" s="1"/>
  <c r="J174" i="35"/>
  <c r="L43" i="35"/>
  <c r="L12" i="35"/>
  <c r="L22" i="35" s="1"/>
  <c r="K176" i="35"/>
  <c r="K186" i="35" s="1"/>
  <c r="K206" i="35"/>
  <c r="O370" i="35"/>
  <c r="C402" i="35"/>
  <c r="D696" i="35"/>
  <c r="K50" i="63" l="1" a="1"/>
  <c r="K50" i="63" s="1"/>
  <c r="N50" i="63" a="1"/>
  <c r="N50" i="63" s="1"/>
  <c r="I50" i="63" a="1"/>
  <c r="I50" i="63" s="1"/>
  <c r="E50" i="63" a="1"/>
  <c r="E50" i="63" s="1"/>
  <c r="K38" i="51" a="1"/>
  <c r="K38" i="51" s="1"/>
  <c r="N38" i="51" a="1"/>
  <c r="N38" i="51" s="1"/>
  <c r="Q50" i="62"/>
  <c r="D51" i="62" s="1"/>
  <c r="I38" i="51" a="1"/>
  <c r="I38" i="51" s="1"/>
  <c r="E38" i="51" a="1"/>
  <c r="E38" i="51" s="1"/>
  <c r="G35" i="47"/>
  <c r="I35" i="47" s="1"/>
  <c r="J35" i="47" s="1"/>
  <c r="C35" i="55"/>
  <c r="C504" i="35"/>
  <c r="O472" i="35"/>
  <c r="F33" i="55"/>
  <c r="G33" i="55" s="1"/>
  <c r="R50" i="51" s="1"/>
  <c r="E34" i="55"/>
  <c r="F34" i="55" s="1"/>
  <c r="G34" i="55" s="1"/>
  <c r="R51" i="51" s="1"/>
  <c r="D34" i="55"/>
  <c r="F39" i="41"/>
  <c r="G39" i="41" s="1"/>
  <c r="H39" i="41" s="1"/>
  <c r="G40" i="40"/>
  <c r="H40" i="40" s="1"/>
  <c r="C380" i="35"/>
  <c r="O348" i="35"/>
  <c r="O163" i="34"/>
  <c r="G760" i="35"/>
  <c r="G729" i="35"/>
  <c r="J760" i="35"/>
  <c r="J729" i="35"/>
  <c r="I760" i="35"/>
  <c r="I729" i="35"/>
  <c r="K729" i="35"/>
  <c r="K760" i="35"/>
  <c r="L760" i="35"/>
  <c r="L729" i="35"/>
  <c r="F760" i="35"/>
  <c r="F729" i="35"/>
  <c r="N760" i="35"/>
  <c r="N729" i="35"/>
  <c r="M760" i="35"/>
  <c r="M729" i="35"/>
  <c r="I7" i="42"/>
  <c r="J8" i="42"/>
  <c r="D341" i="35"/>
  <c r="O309" i="35"/>
  <c r="C501" i="35"/>
  <c r="N130" i="34"/>
  <c r="N193" i="34"/>
  <c r="N196" i="34" s="1"/>
  <c r="F193" i="34"/>
  <c r="F196" i="34" s="1"/>
  <c r="M193" i="34"/>
  <c r="M196" i="34" s="1"/>
  <c r="E193" i="34"/>
  <c r="E196" i="34" s="1"/>
  <c r="L193" i="34"/>
  <c r="L196" i="34" s="1"/>
  <c r="D193" i="34"/>
  <c r="D196" i="34" s="1"/>
  <c r="K193" i="34"/>
  <c r="K196" i="34" s="1"/>
  <c r="C193" i="34"/>
  <c r="C196" i="34" s="1"/>
  <c r="J193" i="34"/>
  <c r="J196" i="34" s="1"/>
  <c r="I193" i="34"/>
  <c r="I196" i="34" s="1"/>
  <c r="H193" i="34"/>
  <c r="H196" i="34" s="1"/>
  <c r="G193" i="34"/>
  <c r="G196" i="34" s="1"/>
  <c r="O160" i="34"/>
  <c r="O12" i="35"/>
  <c r="O402" i="35"/>
  <c r="C434" i="35"/>
  <c r="C759" i="35"/>
  <c r="H176" i="35"/>
  <c r="H186" i="35" s="1"/>
  <c r="H206" i="35"/>
  <c r="C403" i="35"/>
  <c r="C108" i="35"/>
  <c r="C78" i="35"/>
  <c r="O75" i="35"/>
  <c r="D45" i="35"/>
  <c r="D55" i="35" s="1"/>
  <c r="D76" i="35"/>
  <c r="O43" i="35"/>
  <c r="K208" i="35"/>
  <c r="K218" i="35" s="1"/>
  <c r="K238" i="35"/>
  <c r="N208" i="35"/>
  <c r="N218" i="35" s="1"/>
  <c r="N238" i="35"/>
  <c r="C302" i="35"/>
  <c r="E45" i="35"/>
  <c r="E55" i="35" s="1"/>
  <c r="E76" i="35"/>
  <c r="D695" i="35"/>
  <c r="O663" i="35"/>
  <c r="E632" i="35"/>
  <c r="M45" i="35"/>
  <c r="M55" i="35" s="1"/>
  <c r="M76" i="35"/>
  <c r="H244" i="35"/>
  <c r="H276" i="35" s="1"/>
  <c r="O276" i="35" s="1"/>
  <c r="H217" i="35"/>
  <c r="O212" i="35"/>
  <c r="O185" i="35"/>
  <c r="C431" i="35"/>
  <c r="L45" i="35"/>
  <c r="L55" i="35" s="1"/>
  <c r="L76" i="35"/>
  <c r="D281" i="35"/>
  <c r="F238" i="35"/>
  <c r="F208" i="35"/>
  <c r="F218" i="35" s="1"/>
  <c r="C372" i="35"/>
  <c r="D239" i="35"/>
  <c r="O207" i="35"/>
  <c r="E243" i="35"/>
  <c r="E217" i="35"/>
  <c r="O211" i="35"/>
  <c r="C55" i="35"/>
  <c r="D728" i="35"/>
  <c r="J176" i="35"/>
  <c r="J186" i="35" s="1"/>
  <c r="J206" i="35"/>
  <c r="O22" i="35"/>
  <c r="G208" i="35"/>
  <c r="G218" i="35" s="1"/>
  <c r="G238" i="35"/>
  <c r="I208" i="35"/>
  <c r="I218" i="35" s="1"/>
  <c r="I238" i="35"/>
  <c r="Q50" i="63" l="1"/>
  <c r="D51" i="63" s="1"/>
  <c r="I51" i="63" s="1" a="1"/>
  <c r="I51" i="63" s="1"/>
  <c r="Q38" i="51"/>
  <c r="D39" i="51" s="1"/>
  <c r="I39" i="51" s="1" a="1"/>
  <c r="I39" i="51" s="1"/>
  <c r="I51" i="62" a="1"/>
  <c r="I51" i="62" s="1"/>
  <c r="F51" i="62" a="1"/>
  <c r="F51" i="62" s="1"/>
  <c r="K51" i="62" a="1"/>
  <c r="K51" i="62" s="1"/>
  <c r="N51" i="62" a="1"/>
  <c r="N51" i="62" s="1"/>
  <c r="E51" i="62" a="1"/>
  <c r="E51" i="62" s="1"/>
  <c r="C536" i="35"/>
  <c r="O504" i="35"/>
  <c r="G36" i="47"/>
  <c r="I36" i="47" s="1"/>
  <c r="J36" i="47" s="1"/>
  <c r="C36" i="55"/>
  <c r="D35" i="55"/>
  <c r="E35" i="55" s="1"/>
  <c r="F40" i="41"/>
  <c r="G40" i="41" s="1"/>
  <c r="H40" i="41" s="1"/>
  <c r="G41" i="40"/>
  <c r="H41" i="40" s="1"/>
  <c r="O380" i="35"/>
  <c r="C412" i="35"/>
  <c r="N792" i="35"/>
  <c r="N761" i="35"/>
  <c r="I792" i="35"/>
  <c r="I761" i="35"/>
  <c r="K792" i="35"/>
  <c r="K761" i="35"/>
  <c r="M792" i="35"/>
  <c r="M761" i="35"/>
  <c r="F792" i="35"/>
  <c r="F761" i="35"/>
  <c r="J792" i="35"/>
  <c r="J761" i="35"/>
  <c r="L792" i="35"/>
  <c r="L761" i="35"/>
  <c r="G792" i="35"/>
  <c r="G761" i="35"/>
  <c r="J7" i="42"/>
  <c r="C533" i="35"/>
  <c r="D373" i="35"/>
  <c r="O341" i="35"/>
  <c r="O193" i="34"/>
  <c r="O196" i="34"/>
  <c r="J23" i="35"/>
  <c r="J26" i="35" s="1"/>
  <c r="I23" i="35"/>
  <c r="I26" i="35" s="1"/>
  <c r="K23" i="35"/>
  <c r="K26" i="35" s="1"/>
  <c r="H23" i="35"/>
  <c r="H26" i="35" s="1"/>
  <c r="C23" i="35"/>
  <c r="C26" i="35" s="1"/>
  <c r="G23" i="35"/>
  <c r="G26" i="35" s="1"/>
  <c r="N23" i="35"/>
  <c r="N26" i="35" s="1"/>
  <c r="F23" i="35"/>
  <c r="F26" i="35" s="1"/>
  <c r="M23" i="35"/>
  <c r="M26" i="35" s="1"/>
  <c r="E23" i="35"/>
  <c r="E26" i="35" s="1"/>
  <c r="L23" i="35"/>
  <c r="L26" i="35" s="1"/>
  <c r="D23" i="35"/>
  <c r="D26" i="35" s="1"/>
  <c r="N164" i="34"/>
  <c r="N197" i="34" s="1"/>
  <c r="H249" i="35"/>
  <c r="O244" i="35"/>
  <c r="L109" i="35"/>
  <c r="L78" i="35"/>
  <c r="L88" i="35" s="1"/>
  <c r="E275" i="35"/>
  <c r="E249" i="35"/>
  <c r="O243" i="35"/>
  <c r="I240" i="35"/>
  <c r="I250" i="35" s="1"/>
  <c r="I270" i="35"/>
  <c r="N240" i="35"/>
  <c r="N250" i="35" s="1"/>
  <c r="N270" i="35"/>
  <c r="D313" i="35"/>
  <c r="E664" i="35"/>
  <c r="H208" i="35"/>
  <c r="H218" i="35" s="1"/>
  <c r="H238" i="35"/>
  <c r="D760" i="35"/>
  <c r="D792" i="35" s="1"/>
  <c r="O55" i="35"/>
  <c r="C463" i="35"/>
  <c r="C791" i="35"/>
  <c r="D109" i="35"/>
  <c r="D78" i="35"/>
  <c r="D88" i="35" s="1"/>
  <c r="O76" i="35"/>
  <c r="G240" i="35"/>
  <c r="G250" i="35" s="1"/>
  <c r="G270" i="35"/>
  <c r="O45" i="35"/>
  <c r="K240" i="35"/>
  <c r="K250" i="35" s="1"/>
  <c r="K270" i="35"/>
  <c r="C88" i="35"/>
  <c r="J208" i="35"/>
  <c r="J218" i="35" s="1"/>
  <c r="J238" i="35"/>
  <c r="C334" i="35"/>
  <c r="D271" i="35"/>
  <c r="O239" i="35"/>
  <c r="M109" i="35"/>
  <c r="M78" i="35"/>
  <c r="M88" i="35" s="1"/>
  <c r="C404" i="35"/>
  <c r="C377" i="35"/>
  <c r="F240" i="35"/>
  <c r="F250" i="35" s="1"/>
  <c r="F270" i="35"/>
  <c r="D727" i="35"/>
  <c r="O695" i="35"/>
  <c r="O108" i="35"/>
  <c r="C141" i="35"/>
  <c r="C111" i="35"/>
  <c r="O434" i="35"/>
  <c r="C466" i="35"/>
  <c r="O217" i="35"/>
  <c r="E109" i="35"/>
  <c r="E78" i="35"/>
  <c r="E88" i="35" s="1"/>
  <c r="C435" i="35"/>
  <c r="N51" i="63" l="1" a="1"/>
  <c r="N51" i="63" s="1"/>
  <c r="K51" i="63" a="1"/>
  <c r="K51" i="63" s="1"/>
  <c r="E51" i="63" a="1"/>
  <c r="E51" i="63" s="1"/>
  <c r="F51" i="63" a="1"/>
  <c r="F51" i="63" s="1"/>
  <c r="F39" i="51" a="1"/>
  <c r="F39" i="51" s="1"/>
  <c r="K39" i="51" a="1"/>
  <c r="K39" i="51" s="1"/>
  <c r="N39" i="51" a="1"/>
  <c r="N39" i="51" s="1"/>
  <c r="E39" i="51" a="1"/>
  <c r="E39" i="51" s="1"/>
  <c r="Q51" i="62"/>
  <c r="D52" i="62" s="1"/>
  <c r="E52" i="62" s="1" a="1"/>
  <c r="E52" i="62" s="1"/>
  <c r="F35" i="55"/>
  <c r="G35" i="55"/>
  <c r="R52" i="51" s="1"/>
  <c r="G37" i="47"/>
  <c r="I37" i="47" s="1"/>
  <c r="J37" i="47" s="1"/>
  <c r="C37" i="55"/>
  <c r="D36" i="55"/>
  <c r="E36" i="55" s="1"/>
  <c r="C568" i="35"/>
  <c r="O536" i="35"/>
  <c r="F41" i="41"/>
  <c r="G41" i="41" s="1"/>
  <c r="H41" i="41" s="1"/>
  <c r="G42" i="40"/>
  <c r="H42" i="40" s="1"/>
  <c r="O412" i="35"/>
  <c r="C444" i="35"/>
  <c r="L824" i="35"/>
  <c r="L793" i="35"/>
  <c r="K824" i="35"/>
  <c r="K793" i="35"/>
  <c r="M824" i="35"/>
  <c r="M793" i="35"/>
  <c r="J824" i="35"/>
  <c r="J793" i="35"/>
  <c r="I824" i="35"/>
  <c r="I793" i="35"/>
  <c r="G824" i="35"/>
  <c r="G793" i="35"/>
  <c r="F824" i="35"/>
  <c r="F793" i="35"/>
  <c r="N824" i="35"/>
  <c r="N793" i="35"/>
  <c r="J6" i="42"/>
  <c r="O10" i="42" s="1"/>
  <c r="O12" i="42" s="1"/>
  <c r="D405" i="35"/>
  <c r="O373" i="35"/>
  <c r="C565" i="35"/>
  <c r="C56" i="35"/>
  <c r="C59" i="35" s="1"/>
  <c r="L56" i="35"/>
  <c r="L59" i="35" s="1"/>
  <c r="D56" i="35"/>
  <c r="D59" i="35" s="1"/>
  <c r="K56" i="35"/>
  <c r="K59" i="35" s="1"/>
  <c r="J56" i="35"/>
  <c r="J59" i="35" s="1"/>
  <c r="I56" i="35"/>
  <c r="I59" i="35" s="1"/>
  <c r="H56" i="35"/>
  <c r="H59" i="35" s="1"/>
  <c r="G56" i="35"/>
  <c r="G59" i="35" s="1"/>
  <c r="N56" i="35"/>
  <c r="N59" i="35" s="1"/>
  <c r="F56" i="35"/>
  <c r="F59" i="35" s="1"/>
  <c r="M56" i="35"/>
  <c r="M59" i="35" s="1"/>
  <c r="E56" i="35"/>
  <c r="E59" i="35" s="1"/>
  <c r="O23" i="35"/>
  <c r="O78" i="35"/>
  <c r="M111" i="35"/>
  <c r="M121" i="35" s="1"/>
  <c r="M142" i="35"/>
  <c r="D142" i="35"/>
  <c r="D111" i="35"/>
  <c r="D121" i="35" s="1"/>
  <c r="O109" i="35"/>
  <c r="C823" i="35"/>
  <c r="F272" i="35"/>
  <c r="F282" i="35" s="1"/>
  <c r="F302" i="35"/>
  <c r="D303" i="35"/>
  <c r="O271" i="35"/>
  <c r="D824" i="35"/>
  <c r="N272" i="35"/>
  <c r="N282" i="35" s="1"/>
  <c r="N302" i="35"/>
  <c r="L111" i="35"/>
  <c r="L121" i="35" s="1"/>
  <c r="L142" i="35"/>
  <c r="E307" i="35"/>
  <c r="E281" i="35"/>
  <c r="O275" i="35"/>
  <c r="D759" i="35"/>
  <c r="O727" i="35"/>
  <c r="O466" i="35"/>
  <c r="C498" i="35"/>
  <c r="H240" i="35"/>
  <c r="H250" i="35" s="1"/>
  <c r="H270" i="35"/>
  <c r="C366" i="35"/>
  <c r="G272" i="35"/>
  <c r="G282" i="35" s="1"/>
  <c r="G302" i="35"/>
  <c r="I272" i="35"/>
  <c r="I282" i="35" s="1"/>
  <c r="I302" i="35"/>
  <c r="D345" i="35"/>
  <c r="C436" i="35"/>
  <c r="C495" i="35"/>
  <c r="H308" i="35"/>
  <c r="H281" i="35"/>
  <c r="C144" i="35"/>
  <c r="C173" i="35"/>
  <c r="O141" i="35"/>
  <c r="E696" i="35"/>
  <c r="C467" i="35"/>
  <c r="K272" i="35"/>
  <c r="K282" i="35" s="1"/>
  <c r="K302" i="35"/>
  <c r="E111" i="35"/>
  <c r="E121" i="35" s="1"/>
  <c r="E142" i="35"/>
  <c r="C121" i="35"/>
  <c r="J240" i="35"/>
  <c r="J250" i="35" s="1"/>
  <c r="J270" i="35"/>
  <c r="O88" i="35"/>
  <c r="O249" i="35"/>
  <c r="C409" i="35"/>
  <c r="Q51" i="63" l="1"/>
  <c r="D52" i="63" s="1"/>
  <c r="E52" i="63" s="1" a="1"/>
  <c r="E52" i="63" s="1"/>
  <c r="Q39" i="51"/>
  <c r="D40" i="51" s="1"/>
  <c r="N40" i="51" s="1" a="1"/>
  <c r="N40" i="51" s="1"/>
  <c r="F52" i="62" a="1"/>
  <c r="F52" i="62" s="1"/>
  <c r="N52" i="62" a="1"/>
  <c r="N52" i="62" s="1"/>
  <c r="K52" i="62" a="1"/>
  <c r="K52" i="62" s="1"/>
  <c r="I52" i="62" a="1"/>
  <c r="I52" i="62" s="1"/>
  <c r="F36" i="55"/>
  <c r="G36" i="55" s="1"/>
  <c r="R53" i="51" s="1"/>
  <c r="C600" i="35"/>
  <c r="O568" i="35"/>
  <c r="D37" i="55"/>
  <c r="E37" i="55"/>
  <c r="G38" i="47"/>
  <c r="I38" i="47" s="1"/>
  <c r="J38" i="47" s="1"/>
  <c r="C38" i="55"/>
  <c r="F42" i="41"/>
  <c r="G42" i="41" s="1"/>
  <c r="H42" i="41" s="1"/>
  <c r="G43" i="40"/>
  <c r="H43" i="40" s="1"/>
  <c r="O444" i="35"/>
  <c r="C476" i="35"/>
  <c r="F856" i="35"/>
  <c r="F857" i="35" s="1"/>
  <c r="F825" i="35"/>
  <c r="M825" i="35"/>
  <c r="M856" i="35"/>
  <c r="M857" i="35" s="1"/>
  <c r="J856" i="35"/>
  <c r="J857" i="35" s="1"/>
  <c r="J825" i="35"/>
  <c r="G825" i="35"/>
  <c r="G856" i="35"/>
  <c r="G857" i="35" s="1"/>
  <c r="K856" i="35"/>
  <c r="K857" i="35" s="1"/>
  <c r="K825" i="35"/>
  <c r="N856" i="35"/>
  <c r="N857" i="35" s="1"/>
  <c r="N825" i="35"/>
  <c r="I856" i="35"/>
  <c r="I857" i="35" s="1"/>
  <c r="I825" i="35"/>
  <c r="L856" i="35"/>
  <c r="L857" i="35" s="1"/>
  <c r="L825" i="35"/>
  <c r="C597" i="35"/>
  <c r="D437" i="35"/>
  <c r="O405" i="35"/>
  <c r="H89" i="35"/>
  <c r="H92" i="35" s="1"/>
  <c r="C89" i="35"/>
  <c r="C92" i="35" s="1"/>
  <c r="G89" i="35"/>
  <c r="G92" i="35" s="1"/>
  <c r="N89" i="35"/>
  <c r="N92" i="35" s="1"/>
  <c r="F89" i="35"/>
  <c r="F92" i="35" s="1"/>
  <c r="K89" i="35"/>
  <c r="K92" i="35" s="1"/>
  <c r="M89" i="35"/>
  <c r="M92" i="35" s="1"/>
  <c r="E89" i="35"/>
  <c r="E92" i="35" s="1"/>
  <c r="L89" i="35"/>
  <c r="L92" i="35" s="1"/>
  <c r="D89" i="35"/>
  <c r="D92" i="35" s="1"/>
  <c r="J89" i="35"/>
  <c r="J92" i="35" s="1"/>
  <c r="I89" i="35"/>
  <c r="I92" i="35" s="1"/>
  <c r="O56" i="35"/>
  <c r="O59" i="35"/>
  <c r="O26" i="35"/>
  <c r="N27" i="35"/>
  <c r="O111" i="35"/>
  <c r="C527" i="35"/>
  <c r="D791" i="35"/>
  <c r="O759" i="35"/>
  <c r="H340" i="35"/>
  <c r="H313" i="35"/>
  <c r="O308" i="35"/>
  <c r="C855" i="35"/>
  <c r="O173" i="35"/>
  <c r="C205" i="35"/>
  <c r="C176" i="35"/>
  <c r="C468" i="35"/>
  <c r="C473" i="35" s="1"/>
  <c r="D856" i="35"/>
  <c r="C398" i="35"/>
  <c r="C430" i="35" s="1"/>
  <c r="I304" i="35"/>
  <c r="I314" i="35" s="1"/>
  <c r="I334" i="35"/>
  <c r="E144" i="35"/>
  <c r="E154" i="35" s="1"/>
  <c r="E174" i="35"/>
  <c r="K334" i="35"/>
  <c r="K304" i="35"/>
  <c r="K314" i="35" s="1"/>
  <c r="C154" i="35"/>
  <c r="H272" i="35"/>
  <c r="H282" i="35" s="1"/>
  <c r="H302" i="35"/>
  <c r="O281" i="35"/>
  <c r="D144" i="35"/>
  <c r="D154" i="35" s="1"/>
  <c r="D174" i="35"/>
  <c r="O142" i="35"/>
  <c r="G304" i="35"/>
  <c r="G314" i="35" s="1"/>
  <c r="G334" i="35"/>
  <c r="E339" i="35"/>
  <c r="E313" i="35"/>
  <c r="O307" i="35"/>
  <c r="D335" i="35"/>
  <c r="O303" i="35"/>
  <c r="M144" i="35"/>
  <c r="M154" i="35" s="1"/>
  <c r="M174" i="35"/>
  <c r="O121" i="35"/>
  <c r="N334" i="35"/>
  <c r="N304" i="35"/>
  <c r="N314" i="35" s="1"/>
  <c r="E728" i="35"/>
  <c r="J272" i="35"/>
  <c r="J282" i="35" s="1"/>
  <c r="J302" i="35"/>
  <c r="C499" i="35"/>
  <c r="L144" i="35"/>
  <c r="L154" i="35" s="1"/>
  <c r="L174" i="35"/>
  <c r="F304" i="35"/>
  <c r="F314" i="35" s="1"/>
  <c r="F334" i="35"/>
  <c r="D377" i="35"/>
  <c r="O498" i="35"/>
  <c r="C530" i="35"/>
  <c r="C441" i="35"/>
  <c r="K52" i="63" l="1" a="1"/>
  <c r="K52" i="63" s="1"/>
  <c r="N52" i="63" a="1"/>
  <c r="N52" i="63" s="1"/>
  <c r="F52" i="63" a="1"/>
  <c r="F52" i="63" s="1"/>
  <c r="I52" i="63" a="1"/>
  <c r="I52" i="63" s="1"/>
  <c r="I40" i="51" a="1"/>
  <c r="I40" i="51" s="1"/>
  <c r="K40" i="51" a="1"/>
  <c r="K40" i="51" s="1"/>
  <c r="E40" i="51" a="1"/>
  <c r="E40" i="51" s="1"/>
  <c r="F40" i="51" a="1"/>
  <c r="F40" i="51" s="1"/>
  <c r="Q52" i="62"/>
  <c r="D53" i="62" s="1"/>
  <c r="E53" i="62" s="1" a="1"/>
  <c r="E53" i="62" s="1"/>
  <c r="G39" i="47"/>
  <c r="I39" i="47" s="1"/>
  <c r="J39" i="47" s="1"/>
  <c r="C39" i="55"/>
  <c r="D39" i="55" s="1"/>
  <c r="E39" i="55" s="1"/>
  <c r="C632" i="35"/>
  <c r="O600" i="35"/>
  <c r="F37" i="55"/>
  <c r="G37" i="55"/>
  <c r="R54" i="51" s="1"/>
  <c r="D38" i="55"/>
  <c r="E38" i="55"/>
  <c r="F43" i="41"/>
  <c r="G43" i="41" s="1"/>
  <c r="H43" i="41" s="1"/>
  <c r="G44" i="40"/>
  <c r="H44" i="40" s="1"/>
  <c r="O476" i="35"/>
  <c r="C508" i="35"/>
  <c r="O92" i="35"/>
  <c r="E136" i="35"/>
  <c r="E138" i="35" s="1"/>
  <c r="M136" i="35"/>
  <c r="M138" i="35" s="1"/>
  <c r="F136" i="35"/>
  <c r="F138" i="35" s="1"/>
  <c r="N136" i="35"/>
  <c r="N138" i="35" s="1"/>
  <c r="G136" i="35"/>
  <c r="G138" i="35" s="1"/>
  <c r="H136" i="35"/>
  <c r="H138" i="35" s="1"/>
  <c r="I136" i="35"/>
  <c r="I138" i="35" s="1"/>
  <c r="K136" i="35"/>
  <c r="K138" i="35" s="1"/>
  <c r="D136" i="35"/>
  <c r="D138" i="35" s="1"/>
  <c r="L136" i="35"/>
  <c r="L138" i="35" s="1"/>
  <c r="J136" i="35"/>
  <c r="J138" i="35" s="1"/>
  <c r="D469" i="35"/>
  <c r="O437" i="35"/>
  <c r="C629" i="35"/>
  <c r="J122" i="35"/>
  <c r="J125" i="35" s="1"/>
  <c r="I122" i="35"/>
  <c r="I125" i="35" s="1"/>
  <c r="C122" i="35"/>
  <c r="C125" i="35" s="1"/>
  <c r="H122" i="35"/>
  <c r="H125" i="35" s="1"/>
  <c r="G122" i="35"/>
  <c r="G125" i="35" s="1"/>
  <c r="N122" i="35"/>
  <c r="N125" i="35" s="1"/>
  <c r="F122" i="35"/>
  <c r="F125" i="35" s="1"/>
  <c r="K122" i="35"/>
  <c r="K125" i="35" s="1"/>
  <c r="M122" i="35"/>
  <c r="M125" i="35" s="1"/>
  <c r="E122" i="35"/>
  <c r="E125" i="35" s="1"/>
  <c r="L122" i="35"/>
  <c r="L125" i="35" s="1"/>
  <c r="D122" i="35"/>
  <c r="D125" i="35" s="1"/>
  <c r="N60" i="35"/>
  <c r="O89" i="35"/>
  <c r="G336" i="35"/>
  <c r="G346" i="35" s="1"/>
  <c r="G366" i="35"/>
  <c r="M176" i="35"/>
  <c r="M186" i="35" s="1"/>
  <c r="M206" i="35"/>
  <c r="H304" i="35"/>
  <c r="H314" i="35" s="1"/>
  <c r="H334" i="35"/>
  <c r="E176" i="35"/>
  <c r="E186" i="35" s="1"/>
  <c r="E206" i="35"/>
  <c r="C500" i="35"/>
  <c r="O530" i="35"/>
  <c r="C562" i="35"/>
  <c r="L176" i="35"/>
  <c r="L186" i="35" s="1"/>
  <c r="L206" i="35"/>
  <c r="I336" i="35"/>
  <c r="I346" i="35" s="1"/>
  <c r="I366" i="35"/>
  <c r="C186" i="35"/>
  <c r="H372" i="35"/>
  <c r="H345" i="35"/>
  <c r="O340" i="35"/>
  <c r="F366" i="35"/>
  <c r="F336" i="35"/>
  <c r="F346" i="35" s="1"/>
  <c r="E760" i="35"/>
  <c r="D367" i="35"/>
  <c r="O335" i="35"/>
  <c r="C208" i="35"/>
  <c r="C237" i="35"/>
  <c r="O205" i="35"/>
  <c r="J304" i="35"/>
  <c r="J314" i="35" s="1"/>
  <c r="J334" i="35"/>
  <c r="D176" i="35"/>
  <c r="D186" i="35" s="1"/>
  <c r="D206" i="35"/>
  <c r="O174" i="35"/>
  <c r="O154" i="35"/>
  <c r="D823" i="35"/>
  <c r="O791" i="35"/>
  <c r="K336" i="35"/>
  <c r="K346" i="35" s="1"/>
  <c r="K366" i="35"/>
  <c r="O144" i="35"/>
  <c r="C462" i="35"/>
  <c r="C559" i="35"/>
  <c r="D409" i="35"/>
  <c r="N336" i="35"/>
  <c r="N346" i="35" s="1"/>
  <c r="N366" i="35"/>
  <c r="O313" i="35"/>
  <c r="C531" i="35"/>
  <c r="E371" i="35"/>
  <c r="E345" i="35"/>
  <c r="O339" i="35"/>
  <c r="Q52" i="63" l="1"/>
  <c r="D53" i="63" s="1"/>
  <c r="K53" i="63" s="1" a="1"/>
  <c r="K53" i="63" s="1"/>
  <c r="Q40" i="51"/>
  <c r="D41" i="51" s="1"/>
  <c r="N41" i="51" s="1" a="1"/>
  <c r="N41" i="51" s="1"/>
  <c r="F53" i="62" a="1"/>
  <c r="F53" i="62" s="1"/>
  <c r="K53" i="62" a="1"/>
  <c r="K53" i="62" s="1"/>
  <c r="N53" i="62" a="1"/>
  <c r="N53" i="62" s="1"/>
  <c r="I53" i="62" a="1"/>
  <c r="I53" i="62" s="1"/>
  <c r="F38" i="55"/>
  <c r="G38" i="55"/>
  <c r="R55" i="51" s="1"/>
  <c r="G40" i="47"/>
  <c r="I40" i="47" s="1"/>
  <c r="J40" i="47" s="1"/>
  <c r="C40" i="55"/>
  <c r="C664" i="35"/>
  <c r="O632" i="35"/>
  <c r="F39" i="55"/>
  <c r="G39" i="55" s="1"/>
  <c r="R56" i="51" s="1"/>
  <c r="D2" i="43"/>
  <c r="C136" i="35" s="1"/>
  <c r="C138" i="35" s="1"/>
  <c r="D5" i="43"/>
  <c r="D13" i="43"/>
  <c r="D21" i="43"/>
  <c r="D18" i="43"/>
  <c r="D6" i="43"/>
  <c r="D14" i="43"/>
  <c r="D22" i="43"/>
  <c r="D7" i="43"/>
  <c r="D15" i="43"/>
  <c r="D23" i="43"/>
  <c r="D8" i="43"/>
  <c r="D16" i="43"/>
  <c r="D24" i="43"/>
  <c r="D10" i="43"/>
  <c r="D9" i="43"/>
  <c r="D17" i="43"/>
  <c r="D3" i="43"/>
  <c r="D11" i="43"/>
  <c r="D19" i="43"/>
  <c r="D4" i="43"/>
  <c r="D12" i="43"/>
  <c r="D20" i="43"/>
  <c r="F44" i="41"/>
  <c r="G44" i="41" s="1"/>
  <c r="H44" i="41" s="1"/>
  <c r="G45" i="40"/>
  <c r="H45" i="40" s="1"/>
  <c r="O508" i="35"/>
  <c r="C540" i="35"/>
  <c r="O125" i="35"/>
  <c r="C661" i="35"/>
  <c r="D501" i="35"/>
  <c r="O469" i="35"/>
  <c r="H155" i="35"/>
  <c r="H157" i="35" s="1"/>
  <c r="G155" i="35"/>
  <c r="G157" i="35" s="1"/>
  <c r="N155" i="35"/>
  <c r="N157" i="35" s="1"/>
  <c r="F155" i="35"/>
  <c r="F157" i="35" s="1"/>
  <c r="M155" i="35"/>
  <c r="M157" i="35" s="1"/>
  <c r="E155" i="35"/>
  <c r="E157" i="35" s="1"/>
  <c r="I155" i="35"/>
  <c r="I157" i="35" s="1"/>
  <c r="L155" i="35"/>
  <c r="L157" i="35" s="1"/>
  <c r="D155" i="35"/>
  <c r="D157" i="35" s="1"/>
  <c r="K155" i="35"/>
  <c r="K157" i="35" s="1"/>
  <c r="C155" i="35"/>
  <c r="J155" i="35"/>
  <c r="J157" i="35" s="1"/>
  <c r="O122" i="35"/>
  <c r="O345" i="35"/>
  <c r="N93" i="35"/>
  <c r="E792" i="35"/>
  <c r="O562" i="35"/>
  <c r="C594" i="35"/>
  <c r="E208" i="35"/>
  <c r="E218" i="35" s="1"/>
  <c r="E238" i="35"/>
  <c r="C591" i="35"/>
  <c r="H336" i="35"/>
  <c r="H346" i="35" s="1"/>
  <c r="H366" i="35"/>
  <c r="O176" i="35"/>
  <c r="N398" i="35"/>
  <c r="N368" i="35"/>
  <c r="N378" i="35" s="1"/>
  <c r="D855" i="35"/>
  <c r="O855" i="35" s="1"/>
  <c r="O823" i="35"/>
  <c r="F398" i="35"/>
  <c r="F368" i="35"/>
  <c r="F378" i="35" s="1"/>
  <c r="J336" i="35"/>
  <c r="J346" i="35" s="1"/>
  <c r="J366" i="35"/>
  <c r="C240" i="35"/>
  <c r="C269" i="35"/>
  <c r="O237" i="35"/>
  <c r="M208" i="35"/>
  <c r="M218" i="35" s="1"/>
  <c r="M238" i="35"/>
  <c r="C494" i="35"/>
  <c r="C218" i="35"/>
  <c r="L208" i="35"/>
  <c r="L218" i="35" s="1"/>
  <c r="L238" i="35"/>
  <c r="K368" i="35"/>
  <c r="K378" i="35" s="1"/>
  <c r="K398" i="35"/>
  <c r="E403" i="35"/>
  <c r="E377" i="35"/>
  <c r="O371" i="35"/>
  <c r="H404" i="35"/>
  <c r="H377" i="35"/>
  <c r="O372" i="35"/>
  <c r="C532" i="35"/>
  <c r="C505" i="35"/>
  <c r="G368" i="35"/>
  <c r="G378" i="35" s="1"/>
  <c r="G398" i="35"/>
  <c r="I368" i="35"/>
  <c r="I378" i="35" s="1"/>
  <c r="I398" i="35"/>
  <c r="C563" i="35"/>
  <c r="D441" i="35"/>
  <c r="D208" i="35"/>
  <c r="D218" i="35" s="1"/>
  <c r="D238" i="35"/>
  <c r="O206" i="35"/>
  <c r="D399" i="35"/>
  <c r="O367" i="35"/>
  <c r="O186" i="35"/>
  <c r="I53" i="63" l="1" a="1"/>
  <c r="I53" i="63" s="1"/>
  <c r="E53" i="63" a="1"/>
  <c r="E53" i="63" s="1"/>
  <c r="F53" i="63" a="1"/>
  <c r="F53" i="63" s="1"/>
  <c r="N53" i="63" a="1"/>
  <c r="N53" i="63" s="1"/>
  <c r="E41" i="51" a="1"/>
  <c r="E41" i="51" s="1"/>
  <c r="I41" i="51" a="1"/>
  <c r="I41" i="51" s="1"/>
  <c r="F41" i="51" a="1"/>
  <c r="F41" i="51" s="1"/>
  <c r="K41" i="51" a="1"/>
  <c r="K41" i="51" s="1"/>
  <c r="Q53" i="62"/>
  <c r="D54" i="62" s="1"/>
  <c r="F54" i="62" s="1" a="1"/>
  <c r="F54" i="62" s="1"/>
  <c r="C696" i="35"/>
  <c r="O664" i="35"/>
  <c r="D40" i="55"/>
  <c r="E40" i="55" s="1"/>
  <c r="F40" i="55" s="1"/>
  <c r="G40" i="55" s="1"/>
  <c r="R57" i="51" s="1"/>
  <c r="G41" i="47"/>
  <c r="I41" i="47" s="1"/>
  <c r="J41" i="47" s="1"/>
  <c r="C41" i="55"/>
  <c r="G2" i="43"/>
  <c r="F45" i="41"/>
  <c r="G45" i="41" s="1"/>
  <c r="H45" i="41" s="1"/>
  <c r="G46" i="40"/>
  <c r="H46" i="40" s="1"/>
  <c r="O540" i="35"/>
  <c r="C572" i="35"/>
  <c r="O138" i="35"/>
  <c r="C157" i="35"/>
  <c r="J168" i="35"/>
  <c r="J170" i="35" s="1"/>
  <c r="K168" i="35"/>
  <c r="K170" i="35" s="1"/>
  <c r="D168" i="35"/>
  <c r="D170" i="35" s="1"/>
  <c r="L168" i="35"/>
  <c r="L170" i="35" s="1"/>
  <c r="E168" i="35"/>
  <c r="E170" i="35" s="1"/>
  <c r="M168" i="35"/>
  <c r="M170" i="35" s="1"/>
  <c r="F168" i="35"/>
  <c r="F170" i="35" s="1"/>
  <c r="N168" i="35"/>
  <c r="N170" i="35" s="1"/>
  <c r="H168" i="35"/>
  <c r="H170" i="35" s="1"/>
  <c r="I168" i="35"/>
  <c r="I170" i="35" s="1"/>
  <c r="G168" i="35"/>
  <c r="G170" i="35" s="1"/>
  <c r="C168" i="35"/>
  <c r="C170" i="35" s="1"/>
  <c r="G3" i="43"/>
  <c r="D533" i="35"/>
  <c r="O501" i="35"/>
  <c r="C693" i="35"/>
  <c r="H187" i="35"/>
  <c r="I187" i="35"/>
  <c r="G187" i="35"/>
  <c r="N187" i="35"/>
  <c r="F187" i="35"/>
  <c r="J187" i="35"/>
  <c r="M187" i="35"/>
  <c r="E187" i="35"/>
  <c r="L187" i="35"/>
  <c r="D187" i="35"/>
  <c r="K187" i="35"/>
  <c r="C187" i="35"/>
  <c r="O155" i="35"/>
  <c r="N126" i="35"/>
  <c r="C564" i="35"/>
  <c r="C569" i="35" s="1"/>
  <c r="O377" i="35"/>
  <c r="O208" i="35"/>
  <c r="C250" i="35"/>
  <c r="E270" i="35"/>
  <c r="E240" i="35"/>
  <c r="E250" i="35" s="1"/>
  <c r="C595" i="35"/>
  <c r="J368" i="35"/>
  <c r="J378" i="35" s="1"/>
  <c r="J398" i="35"/>
  <c r="K400" i="35"/>
  <c r="K410" i="35" s="1"/>
  <c r="K430" i="35"/>
  <c r="C526" i="35"/>
  <c r="N430" i="35"/>
  <c r="N400" i="35"/>
  <c r="N410" i="35" s="1"/>
  <c r="O218" i="35"/>
  <c r="D473" i="35"/>
  <c r="E435" i="35"/>
  <c r="E409" i="35"/>
  <c r="O403" i="35"/>
  <c r="M270" i="35"/>
  <c r="M240" i="35"/>
  <c r="M250" i="35" s="1"/>
  <c r="O594" i="35"/>
  <c r="C626" i="35"/>
  <c r="D240" i="35"/>
  <c r="D250" i="35" s="1"/>
  <c r="D270" i="35"/>
  <c r="O238" i="35"/>
  <c r="H436" i="35"/>
  <c r="H409" i="35"/>
  <c r="O404" i="35"/>
  <c r="L240" i="35"/>
  <c r="L250" i="35" s="1"/>
  <c r="L270" i="35"/>
  <c r="H368" i="35"/>
  <c r="H378" i="35" s="1"/>
  <c r="H398" i="35"/>
  <c r="D431" i="35"/>
  <c r="O399" i="35"/>
  <c r="G430" i="35"/>
  <c r="G400" i="35"/>
  <c r="G410" i="35" s="1"/>
  <c r="E824" i="35"/>
  <c r="C272" i="35"/>
  <c r="C301" i="35"/>
  <c r="O269" i="35"/>
  <c r="I400" i="35"/>
  <c r="I410" i="35" s="1"/>
  <c r="I430" i="35"/>
  <c r="C537" i="35"/>
  <c r="F430" i="35"/>
  <c r="F400" i="35"/>
  <c r="F410" i="35" s="1"/>
  <c r="C623" i="35"/>
  <c r="Q53" i="63" l="1"/>
  <c r="D54" i="63" s="1"/>
  <c r="N54" i="63" s="1" a="1"/>
  <c r="N54" i="63" s="1"/>
  <c r="Q41" i="51"/>
  <c r="D42" i="51" s="1"/>
  <c r="N42" i="51" s="1" a="1"/>
  <c r="N42" i="51" s="1"/>
  <c r="N54" i="62" a="1"/>
  <c r="N54" i="62" s="1"/>
  <c r="K54" i="62" a="1"/>
  <c r="K54" i="62" s="1"/>
  <c r="I54" i="62" a="1"/>
  <c r="I54" i="62" s="1"/>
  <c r="E54" i="62" a="1"/>
  <c r="E54" i="62" s="1"/>
  <c r="C728" i="35"/>
  <c r="O696" i="35"/>
  <c r="G42" i="47"/>
  <c r="I42" i="47" s="1"/>
  <c r="J42" i="47" s="1"/>
  <c r="C42" i="55"/>
  <c r="D41" i="55"/>
  <c r="E41" i="55" s="1"/>
  <c r="F46" i="41"/>
  <c r="G46" i="41" s="1"/>
  <c r="H46" i="41" s="1"/>
  <c r="G47" i="40"/>
  <c r="H47" i="40" s="1"/>
  <c r="O572" i="35"/>
  <c r="C604" i="35"/>
  <c r="E189" i="35"/>
  <c r="M189" i="35"/>
  <c r="L189" i="35"/>
  <c r="G189" i="35"/>
  <c r="D189" i="35"/>
  <c r="I189" i="35"/>
  <c r="K189" i="35"/>
  <c r="H189" i="35"/>
  <c r="J189" i="35"/>
  <c r="C189" i="35"/>
  <c r="N189" i="35"/>
  <c r="F189" i="35"/>
  <c r="O170" i="35"/>
  <c r="F200" i="35"/>
  <c r="F202" i="35" s="1"/>
  <c r="N200" i="35"/>
  <c r="N202" i="35" s="1"/>
  <c r="G200" i="35"/>
  <c r="G202" i="35" s="1"/>
  <c r="C200" i="35"/>
  <c r="C202" i="35" s="1"/>
  <c r="H200" i="35"/>
  <c r="H202" i="35" s="1"/>
  <c r="I200" i="35"/>
  <c r="I202" i="35" s="1"/>
  <c r="J200" i="35"/>
  <c r="J202" i="35" s="1"/>
  <c r="D200" i="35"/>
  <c r="D202" i="35" s="1"/>
  <c r="L200" i="35"/>
  <c r="L202" i="35" s="1"/>
  <c r="E200" i="35"/>
  <c r="E202" i="35" s="1"/>
  <c r="M200" i="35"/>
  <c r="M202" i="35" s="1"/>
  <c r="K200" i="35"/>
  <c r="K202" i="35" s="1"/>
  <c r="G4" i="43"/>
  <c r="C725" i="35"/>
  <c r="D565" i="35"/>
  <c r="O533" i="35"/>
  <c r="J219" i="35"/>
  <c r="K219" i="35"/>
  <c r="I219" i="35"/>
  <c r="H219" i="35"/>
  <c r="L219" i="35"/>
  <c r="G219" i="35"/>
  <c r="N219" i="35"/>
  <c r="F219" i="35"/>
  <c r="D219" i="35"/>
  <c r="M219" i="35"/>
  <c r="E219" i="35"/>
  <c r="C219" i="35"/>
  <c r="O187" i="35"/>
  <c r="O157" i="35"/>
  <c r="N158" i="35"/>
  <c r="D505" i="35"/>
  <c r="K432" i="35"/>
  <c r="K442" i="35" s="1"/>
  <c r="K462" i="35"/>
  <c r="O250" i="35"/>
  <c r="D463" i="35"/>
  <c r="O431" i="35"/>
  <c r="E856" i="35"/>
  <c r="H400" i="35"/>
  <c r="H410" i="35" s="1"/>
  <c r="H430" i="35"/>
  <c r="H468" i="35"/>
  <c r="H441" i="35"/>
  <c r="O436" i="35"/>
  <c r="M272" i="35"/>
  <c r="M282" i="35" s="1"/>
  <c r="M302" i="35"/>
  <c r="O240" i="35"/>
  <c r="F432" i="35"/>
  <c r="F442" i="35" s="1"/>
  <c r="F462" i="35"/>
  <c r="I432" i="35"/>
  <c r="I442" i="35" s="1"/>
  <c r="I462" i="35"/>
  <c r="J400" i="35"/>
  <c r="J410" i="35" s="1"/>
  <c r="J430" i="35"/>
  <c r="D272" i="35"/>
  <c r="D282" i="35" s="1"/>
  <c r="D302" i="35"/>
  <c r="O270" i="35"/>
  <c r="E272" i="35"/>
  <c r="E282" i="35" s="1"/>
  <c r="E302" i="35"/>
  <c r="G432" i="35"/>
  <c r="G442" i="35" s="1"/>
  <c r="G462" i="35"/>
  <c r="O409" i="35"/>
  <c r="C627" i="35"/>
  <c r="C655" i="35"/>
  <c r="C304" i="35"/>
  <c r="C333" i="35"/>
  <c r="O301" i="35"/>
  <c r="C282" i="35"/>
  <c r="L272" i="35"/>
  <c r="L282" i="35" s="1"/>
  <c r="L302" i="35"/>
  <c r="E467" i="35"/>
  <c r="E441" i="35"/>
  <c r="O435" i="35"/>
  <c r="N432" i="35"/>
  <c r="N442" i="35" s="1"/>
  <c r="N462" i="35"/>
  <c r="C596" i="35"/>
  <c r="C558" i="35"/>
  <c r="O626" i="35"/>
  <c r="C658" i="35"/>
  <c r="K54" i="63" l="1" a="1"/>
  <c r="K54" i="63" s="1"/>
  <c r="I54" i="63" a="1"/>
  <c r="I54" i="63" s="1"/>
  <c r="E54" i="63" a="1"/>
  <c r="E54" i="63" s="1"/>
  <c r="F54" i="63" a="1"/>
  <c r="F54" i="63" s="1"/>
  <c r="I42" i="51" a="1"/>
  <c r="I42" i="51" s="1"/>
  <c r="K42" i="51" a="1"/>
  <c r="K42" i="51" s="1"/>
  <c r="F42" i="51" a="1"/>
  <c r="F42" i="51" s="1"/>
  <c r="E42" i="51" a="1"/>
  <c r="E42" i="51" s="1"/>
  <c r="Q54" i="62"/>
  <c r="D55" i="62" s="1"/>
  <c r="K55" i="62" s="1" a="1"/>
  <c r="K55" i="62" s="1"/>
  <c r="C760" i="35"/>
  <c r="O728" i="35"/>
  <c r="G43" i="47"/>
  <c r="I43" i="47" s="1"/>
  <c r="J43" i="47" s="1"/>
  <c r="C43" i="55"/>
  <c r="D42" i="55"/>
  <c r="E42" i="55"/>
  <c r="F42" i="55" s="1"/>
  <c r="G42" i="55" s="1"/>
  <c r="R59" i="51" s="1"/>
  <c r="F41" i="55"/>
  <c r="G41" i="55" s="1"/>
  <c r="R58" i="51" s="1"/>
  <c r="F47" i="41"/>
  <c r="G47" i="41" s="1"/>
  <c r="H47" i="41" s="1"/>
  <c r="G48" i="40"/>
  <c r="H48" i="40" s="1"/>
  <c r="G221" i="35"/>
  <c r="O604" i="35"/>
  <c r="C636" i="35"/>
  <c r="I221" i="35"/>
  <c r="H221" i="35"/>
  <c r="K221" i="35"/>
  <c r="C221" i="35"/>
  <c r="M221" i="35"/>
  <c r="E221" i="35"/>
  <c r="N221" i="35"/>
  <c r="L221" i="35"/>
  <c r="F221" i="35"/>
  <c r="D221" i="35"/>
  <c r="J221" i="35"/>
  <c r="O189" i="35"/>
  <c r="O202" i="35"/>
  <c r="J232" i="35"/>
  <c r="J234" i="35" s="1"/>
  <c r="K232" i="35"/>
  <c r="K234" i="35" s="1"/>
  <c r="D232" i="35"/>
  <c r="D234" i="35" s="1"/>
  <c r="L232" i="35"/>
  <c r="L234" i="35" s="1"/>
  <c r="E232" i="35"/>
  <c r="E234" i="35" s="1"/>
  <c r="M232" i="35"/>
  <c r="M234" i="35" s="1"/>
  <c r="F232" i="35"/>
  <c r="F234" i="35" s="1"/>
  <c r="N232" i="35"/>
  <c r="N234" i="35" s="1"/>
  <c r="H232" i="35"/>
  <c r="H234" i="35" s="1"/>
  <c r="I232" i="35"/>
  <c r="I234" i="35" s="1"/>
  <c r="G232" i="35"/>
  <c r="G234" i="35" s="1"/>
  <c r="C232" i="35"/>
  <c r="C234" i="35" s="1"/>
  <c r="G5" i="43"/>
  <c r="D597" i="35"/>
  <c r="O565" i="35"/>
  <c r="C757" i="35"/>
  <c r="I251" i="35"/>
  <c r="D251" i="35"/>
  <c r="H251" i="35"/>
  <c r="G251" i="35"/>
  <c r="N251" i="35"/>
  <c r="F251" i="35"/>
  <c r="M251" i="35"/>
  <c r="E251" i="35"/>
  <c r="L251" i="35"/>
  <c r="K251" i="35"/>
  <c r="C251" i="35"/>
  <c r="J251" i="35"/>
  <c r="N190" i="35"/>
  <c r="O219" i="35"/>
  <c r="E499" i="35"/>
  <c r="E473" i="35"/>
  <c r="O467" i="35"/>
  <c r="C590" i="35"/>
  <c r="C622" i="35" s="1"/>
  <c r="L304" i="35"/>
  <c r="L314" i="35" s="1"/>
  <c r="L334" i="35"/>
  <c r="C314" i="35"/>
  <c r="J432" i="35"/>
  <c r="J442" i="35" s="1"/>
  <c r="J462" i="35"/>
  <c r="G464" i="35"/>
  <c r="G474" i="35" s="1"/>
  <c r="G494" i="35"/>
  <c r="K494" i="35"/>
  <c r="K464" i="35"/>
  <c r="K474" i="35" s="1"/>
  <c r="C628" i="35"/>
  <c r="C601" i="35"/>
  <c r="E304" i="35"/>
  <c r="E314" i="35" s="1"/>
  <c r="E334" i="35"/>
  <c r="M334" i="35"/>
  <c r="M304" i="35"/>
  <c r="M314" i="35" s="1"/>
  <c r="O272" i="35"/>
  <c r="C659" i="35"/>
  <c r="I464" i="35"/>
  <c r="I474" i="35" s="1"/>
  <c r="I494" i="35"/>
  <c r="D537" i="35"/>
  <c r="O282" i="35"/>
  <c r="D495" i="35"/>
  <c r="O463" i="35"/>
  <c r="C336" i="35"/>
  <c r="C365" i="35"/>
  <c r="O333" i="35"/>
  <c r="H462" i="35"/>
  <c r="H432" i="35"/>
  <c r="H442" i="35" s="1"/>
  <c r="O658" i="35"/>
  <c r="C690" i="35"/>
  <c r="F464" i="35"/>
  <c r="F474" i="35" s="1"/>
  <c r="F494" i="35"/>
  <c r="C687" i="35"/>
  <c r="N464" i="35"/>
  <c r="N474" i="35" s="1"/>
  <c r="N494" i="35"/>
  <c r="O441" i="35"/>
  <c r="D304" i="35"/>
  <c r="D314" i="35" s="1"/>
  <c r="D334" i="35"/>
  <c r="O302" i="35"/>
  <c r="H500" i="35"/>
  <c r="H473" i="35"/>
  <c r="O468" i="35"/>
  <c r="Q54" i="63" l="1"/>
  <c r="D55" i="63" s="1"/>
  <c r="I55" i="63" s="1" a="1"/>
  <c r="I55" i="63" s="1"/>
  <c r="Q42" i="51"/>
  <c r="D43" i="51" s="1"/>
  <c r="F43" i="51" s="1" a="1"/>
  <c r="F43" i="51" s="1"/>
  <c r="F55" i="62" a="1"/>
  <c r="F55" i="62" s="1"/>
  <c r="I55" i="62" a="1"/>
  <c r="I55" i="62" s="1"/>
  <c r="N55" i="62" a="1"/>
  <c r="N55" i="62" s="1"/>
  <c r="E55" i="62" a="1"/>
  <c r="E55" i="62" s="1"/>
  <c r="C792" i="35"/>
  <c r="O760" i="35"/>
  <c r="G44" i="47"/>
  <c r="I44" i="47" s="1"/>
  <c r="J44" i="47" s="1"/>
  <c r="C44" i="55"/>
  <c r="D43" i="55"/>
  <c r="E43" i="55" s="1"/>
  <c r="F48" i="41"/>
  <c r="G48" i="41" s="1"/>
  <c r="H48" i="41" s="1"/>
  <c r="G49" i="40"/>
  <c r="H49" i="40" s="1"/>
  <c r="G253" i="35"/>
  <c r="O636" i="35"/>
  <c r="C668" i="35"/>
  <c r="C253" i="35"/>
  <c r="L253" i="35"/>
  <c r="D253" i="35"/>
  <c r="I253" i="35"/>
  <c r="K253" i="35"/>
  <c r="H253" i="35"/>
  <c r="J253" i="35"/>
  <c r="O221" i="35"/>
  <c r="N253" i="35"/>
  <c r="F253" i="35"/>
  <c r="M253" i="35"/>
  <c r="E253" i="35"/>
  <c r="F264" i="35"/>
  <c r="F266" i="35" s="1"/>
  <c r="N264" i="35"/>
  <c r="N266" i="35" s="1"/>
  <c r="G264" i="35"/>
  <c r="G266" i="35" s="1"/>
  <c r="C264" i="35"/>
  <c r="C266" i="35" s="1"/>
  <c r="H264" i="35"/>
  <c r="H266" i="35" s="1"/>
  <c r="I264" i="35"/>
  <c r="I266" i="35" s="1"/>
  <c r="J264" i="35"/>
  <c r="J266" i="35" s="1"/>
  <c r="D264" i="35"/>
  <c r="D266" i="35" s="1"/>
  <c r="L264" i="35"/>
  <c r="L266" i="35" s="1"/>
  <c r="E264" i="35"/>
  <c r="E266" i="35" s="1"/>
  <c r="M264" i="35"/>
  <c r="M266" i="35" s="1"/>
  <c r="K264" i="35"/>
  <c r="K266" i="35" s="1"/>
  <c r="G6" i="43"/>
  <c r="O234" i="35"/>
  <c r="C789" i="35"/>
  <c r="D629" i="35"/>
  <c r="O597" i="35"/>
  <c r="J283" i="35"/>
  <c r="I283" i="35"/>
  <c r="E283" i="35"/>
  <c r="H283" i="35"/>
  <c r="M283" i="35"/>
  <c r="G283" i="35"/>
  <c r="N283" i="35"/>
  <c r="F283" i="35"/>
  <c r="L283" i="35"/>
  <c r="D283" i="35"/>
  <c r="K283" i="35"/>
  <c r="C283" i="35"/>
  <c r="O251" i="35"/>
  <c r="N222" i="35"/>
  <c r="O304" i="35"/>
  <c r="M366" i="35"/>
  <c r="M336" i="35"/>
  <c r="M346" i="35" s="1"/>
  <c r="K526" i="35"/>
  <c r="K496" i="35"/>
  <c r="K506" i="35" s="1"/>
  <c r="C368" i="35"/>
  <c r="C397" i="35"/>
  <c r="O365" i="35"/>
  <c r="C722" i="35"/>
  <c r="O690" i="35"/>
  <c r="G496" i="35"/>
  <c r="G506" i="35" s="1"/>
  <c r="G526" i="35"/>
  <c r="C654" i="35"/>
  <c r="C686" i="35" s="1"/>
  <c r="C718" i="35" s="1"/>
  <c r="I496" i="35"/>
  <c r="I506" i="35" s="1"/>
  <c r="I526" i="35"/>
  <c r="N496" i="35"/>
  <c r="N506" i="35" s="1"/>
  <c r="N526" i="35"/>
  <c r="C691" i="35"/>
  <c r="E366" i="35"/>
  <c r="E336" i="35"/>
  <c r="E346" i="35" s="1"/>
  <c r="L336" i="35"/>
  <c r="L346" i="35" s="1"/>
  <c r="L366" i="35"/>
  <c r="D336" i="35"/>
  <c r="D346" i="35" s="1"/>
  <c r="D366" i="35"/>
  <c r="O334" i="35"/>
  <c r="C719" i="35"/>
  <c r="J464" i="35"/>
  <c r="J474" i="35" s="1"/>
  <c r="J494" i="35"/>
  <c r="C346" i="35"/>
  <c r="H532" i="35"/>
  <c r="H505" i="35"/>
  <c r="O500" i="35"/>
  <c r="D527" i="35"/>
  <c r="O495" i="35"/>
  <c r="H494" i="35"/>
  <c r="H464" i="35"/>
  <c r="H474" i="35" s="1"/>
  <c r="O473" i="35"/>
  <c r="D569" i="35"/>
  <c r="F526" i="35"/>
  <c r="F496" i="35"/>
  <c r="F506" i="35" s="1"/>
  <c r="C660" i="35"/>
  <c r="C633" i="35"/>
  <c r="O314" i="35"/>
  <c r="E531" i="35"/>
  <c r="E505" i="35"/>
  <c r="O499" i="35"/>
  <c r="E55" i="63" l="1" a="1"/>
  <c r="E55" i="63" s="1"/>
  <c r="F55" i="63" a="1"/>
  <c r="F55" i="63" s="1"/>
  <c r="N55" i="63" a="1"/>
  <c r="N55" i="63" s="1"/>
  <c r="K55" i="63" a="1"/>
  <c r="K55" i="63" s="1"/>
  <c r="K43" i="51" a="1"/>
  <c r="K43" i="51" s="1"/>
  <c r="N43" i="51" a="1"/>
  <c r="N43" i="51" s="1"/>
  <c r="I43" i="51" a="1"/>
  <c r="I43" i="51" s="1"/>
  <c r="E43" i="51" a="1"/>
  <c r="E43" i="51" s="1"/>
  <c r="Q55" i="62"/>
  <c r="D56" i="62" s="1"/>
  <c r="K56" i="62" s="1" a="1"/>
  <c r="K56" i="62" s="1"/>
  <c r="C824" i="35"/>
  <c r="O792" i="35"/>
  <c r="G45" i="47"/>
  <c r="I45" i="47" s="1"/>
  <c r="J45" i="47" s="1"/>
  <c r="C45" i="55"/>
  <c r="D44" i="55"/>
  <c r="E44" i="55" s="1"/>
  <c r="F43" i="55"/>
  <c r="G43" i="55"/>
  <c r="R60" i="51" s="1"/>
  <c r="F49" i="41"/>
  <c r="G49" i="41" s="1"/>
  <c r="H49" i="41" s="1"/>
  <c r="G50" i="40"/>
  <c r="H50" i="40" s="1"/>
  <c r="O668" i="35"/>
  <c r="C700" i="35"/>
  <c r="G285" i="35"/>
  <c r="I285" i="35"/>
  <c r="J285" i="35"/>
  <c r="H285" i="35"/>
  <c r="K285" i="35"/>
  <c r="C285" i="35"/>
  <c r="M285" i="35"/>
  <c r="E285" i="35"/>
  <c r="N285" i="35"/>
  <c r="L285" i="35"/>
  <c r="F285" i="35"/>
  <c r="D285" i="35"/>
  <c r="O253" i="35"/>
  <c r="J296" i="35"/>
  <c r="J298" i="35" s="1"/>
  <c r="K296" i="35"/>
  <c r="K298" i="35" s="1"/>
  <c r="D296" i="35"/>
  <c r="D298" i="35" s="1"/>
  <c r="L296" i="35"/>
  <c r="L298" i="35" s="1"/>
  <c r="E296" i="35"/>
  <c r="E298" i="35" s="1"/>
  <c r="M296" i="35"/>
  <c r="M298" i="35" s="1"/>
  <c r="F296" i="35"/>
  <c r="F298" i="35" s="1"/>
  <c r="N296" i="35"/>
  <c r="N298" i="35" s="1"/>
  <c r="H296" i="35"/>
  <c r="H298" i="35" s="1"/>
  <c r="I296" i="35"/>
  <c r="I298" i="35" s="1"/>
  <c r="C296" i="35"/>
  <c r="C298" i="35" s="1"/>
  <c r="G296" i="35"/>
  <c r="G298" i="35" s="1"/>
  <c r="G7" i="43"/>
  <c r="O266" i="35"/>
  <c r="D661" i="35"/>
  <c r="O629" i="35"/>
  <c r="C821" i="35"/>
  <c r="J315" i="35"/>
  <c r="I315" i="35"/>
  <c r="K315" i="35"/>
  <c r="H315" i="35"/>
  <c r="G315" i="35"/>
  <c r="C315" i="35"/>
  <c r="N315" i="35"/>
  <c r="F315" i="35"/>
  <c r="M315" i="35"/>
  <c r="E315" i="35"/>
  <c r="L315" i="35"/>
  <c r="D315" i="35"/>
  <c r="N254" i="35"/>
  <c r="O283" i="35"/>
  <c r="O336" i="35"/>
  <c r="C723" i="35"/>
  <c r="F558" i="35"/>
  <c r="F528" i="35"/>
  <c r="F538" i="35" s="1"/>
  <c r="N558" i="35"/>
  <c r="N528" i="35"/>
  <c r="N538" i="35" s="1"/>
  <c r="H564" i="35"/>
  <c r="H537" i="35"/>
  <c r="O532" i="35"/>
  <c r="E563" i="35"/>
  <c r="E537" i="35"/>
  <c r="O531" i="35"/>
  <c r="O346" i="35"/>
  <c r="K528" i="35"/>
  <c r="K538" i="35" s="1"/>
  <c r="K558" i="35"/>
  <c r="C378" i="35"/>
  <c r="O505" i="35"/>
  <c r="D559" i="35"/>
  <c r="O527" i="35"/>
  <c r="L368" i="35"/>
  <c r="L378" i="35" s="1"/>
  <c r="L398" i="35"/>
  <c r="I528" i="35"/>
  <c r="I538" i="35" s="1"/>
  <c r="I558" i="35"/>
  <c r="C750" i="35"/>
  <c r="C782" i="35" s="1"/>
  <c r="J496" i="35"/>
  <c r="J506" i="35" s="1"/>
  <c r="J526" i="35"/>
  <c r="M398" i="35"/>
  <c r="M368" i="35"/>
  <c r="M378" i="35" s="1"/>
  <c r="C400" i="35"/>
  <c r="C429" i="35"/>
  <c r="O397" i="35"/>
  <c r="D368" i="35"/>
  <c r="D378" i="35" s="1"/>
  <c r="D398" i="35"/>
  <c r="O366" i="35"/>
  <c r="D601" i="35"/>
  <c r="O722" i="35"/>
  <c r="C754" i="35"/>
  <c r="G528" i="35"/>
  <c r="G538" i="35" s="1"/>
  <c r="G558" i="35"/>
  <c r="H496" i="35"/>
  <c r="H506" i="35" s="1"/>
  <c r="H526" i="35"/>
  <c r="C692" i="35"/>
  <c r="C697" i="35" s="1"/>
  <c r="C665" i="35"/>
  <c r="C751" i="35"/>
  <c r="E398" i="35"/>
  <c r="E368" i="35"/>
  <c r="E378" i="35" s="1"/>
  <c r="Q55" i="63" l="1"/>
  <c r="D56" i="63" s="1"/>
  <c r="N56" i="63" s="1" a="1"/>
  <c r="N56" i="63" s="1"/>
  <c r="Q43" i="51"/>
  <c r="D44" i="51" s="1"/>
  <c r="N44" i="51" s="1" a="1"/>
  <c r="N44" i="51" s="1"/>
  <c r="I56" i="62" a="1"/>
  <c r="I56" i="62" s="1"/>
  <c r="F56" i="62" a="1"/>
  <c r="F56" i="62" s="1"/>
  <c r="E56" i="62" a="1"/>
  <c r="E56" i="62" s="1"/>
  <c r="N56" i="62" a="1"/>
  <c r="N56" i="62" s="1"/>
  <c r="C856" i="35"/>
  <c r="O856" i="35" s="1"/>
  <c r="O824" i="35"/>
  <c r="G46" i="47"/>
  <c r="I46" i="47" s="1"/>
  <c r="J46" i="47" s="1"/>
  <c r="C46" i="55"/>
  <c r="D45" i="55"/>
  <c r="E45" i="55"/>
  <c r="F44" i="55"/>
  <c r="G44" i="55"/>
  <c r="R61" i="51" s="1"/>
  <c r="F50" i="41"/>
  <c r="G50" i="41" s="1"/>
  <c r="H50" i="41" s="1"/>
  <c r="G51" i="40"/>
  <c r="H51" i="40" s="1"/>
  <c r="O700" i="35"/>
  <c r="C732" i="35"/>
  <c r="C317" i="35"/>
  <c r="D317" i="35"/>
  <c r="H317" i="35"/>
  <c r="G317" i="35"/>
  <c r="E317" i="35"/>
  <c r="I317" i="35"/>
  <c r="L317" i="35"/>
  <c r="J317" i="35"/>
  <c r="N317" i="35"/>
  <c r="F317" i="35"/>
  <c r="K317" i="35"/>
  <c r="M317" i="35"/>
  <c r="O285" i="35"/>
  <c r="O298" i="35"/>
  <c r="F328" i="35"/>
  <c r="F330" i="35" s="1"/>
  <c r="N328" i="35"/>
  <c r="N330" i="35" s="1"/>
  <c r="G328" i="35"/>
  <c r="G330" i="35" s="1"/>
  <c r="C328" i="35"/>
  <c r="C330" i="35" s="1"/>
  <c r="H328" i="35"/>
  <c r="H330" i="35" s="1"/>
  <c r="I328" i="35"/>
  <c r="I330" i="35" s="1"/>
  <c r="J328" i="35"/>
  <c r="J330" i="35" s="1"/>
  <c r="D328" i="35"/>
  <c r="D330" i="35" s="1"/>
  <c r="L328" i="35"/>
  <c r="L330" i="35" s="1"/>
  <c r="E328" i="35"/>
  <c r="E330" i="35" s="1"/>
  <c r="M328" i="35"/>
  <c r="M330" i="35" s="1"/>
  <c r="K328" i="35"/>
  <c r="K330" i="35" s="1"/>
  <c r="G8" i="43"/>
  <c r="C853" i="35"/>
  <c r="D693" i="35"/>
  <c r="O661" i="35"/>
  <c r="N286" i="35"/>
  <c r="J347" i="35"/>
  <c r="I347" i="35"/>
  <c r="H347" i="35"/>
  <c r="M347" i="35"/>
  <c r="G347" i="35"/>
  <c r="N347" i="35"/>
  <c r="F347" i="35"/>
  <c r="E347" i="35"/>
  <c r="L347" i="35"/>
  <c r="D347" i="35"/>
  <c r="K347" i="35"/>
  <c r="C347" i="35"/>
  <c r="O315" i="35"/>
  <c r="C432" i="35"/>
  <c r="C461" i="35"/>
  <c r="O429" i="35"/>
  <c r="N560" i="35"/>
  <c r="N570" i="35" s="1"/>
  <c r="N590" i="35"/>
  <c r="C783" i="35"/>
  <c r="D633" i="35"/>
  <c r="M400" i="35"/>
  <c r="M410" i="35" s="1"/>
  <c r="M430" i="35"/>
  <c r="L400" i="35"/>
  <c r="L410" i="35" s="1"/>
  <c r="L430" i="35"/>
  <c r="O378" i="35"/>
  <c r="O537" i="35"/>
  <c r="F560" i="35"/>
  <c r="F570" i="35" s="1"/>
  <c r="F590" i="35"/>
  <c r="C410" i="35"/>
  <c r="H528" i="35"/>
  <c r="H538" i="35" s="1"/>
  <c r="H558" i="35"/>
  <c r="G560" i="35"/>
  <c r="G570" i="35" s="1"/>
  <c r="G590" i="35"/>
  <c r="O368" i="35"/>
  <c r="E595" i="35"/>
  <c r="E569" i="35"/>
  <c r="O563" i="35"/>
  <c r="D400" i="35"/>
  <c r="D410" i="35" s="1"/>
  <c r="D430" i="35"/>
  <c r="O398" i="35"/>
  <c r="J528" i="35"/>
  <c r="J538" i="35" s="1"/>
  <c r="J558" i="35"/>
  <c r="K560" i="35"/>
  <c r="K570" i="35" s="1"/>
  <c r="K590" i="35"/>
  <c r="I560" i="35"/>
  <c r="I570" i="35" s="1"/>
  <c r="I590" i="35"/>
  <c r="E430" i="35"/>
  <c r="E400" i="35"/>
  <c r="E410" i="35" s="1"/>
  <c r="D591" i="35"/>
  <c r="O559" i="35"/>
  <c r="C755" i="35"/>
  <c r="C724" i="35"/>
  <c r="C786" i="35"/>
  <c r="O754" i="35"/>
  <c r="C814" i="35"/>
  <c r="C846" i="35" s="1"/>
  <c r="H596" i="35"/>
  <c r="H569" i="35"/>
  <c r="O564" i="35"/>
  <c r="K56" i="63" l="1" a="1"/>
  <c r="K56" i="63" s="1"/>
  <c r="F56" i="63" a="1"/>
  <c r="F56" i="63" s="1"/>
  <c r="I56" i="63" a="1"/>
  <c r="I56" i="63" s="1"/>
  <c r="E56" i="63" a="1"/>
  <c r="E56" i="63" s="1"/>
  <c r="I44" i="51" a="1"/>
  <c r="I44" i="51" s="1"/>
  <c r="E44" i="51" a="1"/>
  <c r="E44" i="51" s="1"/>
  <c r="K44" i="51" a="1"/>
  <c r="K44" i="51" s="1"/>
  <c r="F44" i="51" a="1"/>
  <c r="F44" i="51" s="1"/>
  <c r="Q56" i="62"/>
  <c r="D57" i="62" s="1"/>
  <c r="I57" i="62" s="1" a="1"/>
  <c r="I57" i="62" s="1"/>
  <c r="G47" i="47"/>
  <c r="I47" i="47" s="1"/>
  <c r="J47" i="47" s="1"/>
  <c r="C47" i="55"/>
  <c r="D46" i="55"/>
  <c r="E46" i="55" s="1"/>
  <c r="F45" i="55"/>
  <c r="G45" i="55" s="1"/>
  <c r="R62" i="51" s="1"/>
  <c r="F51" i="41"/>
  <c r="G51" i="41" s="1"/>
  <c r="H51" i="41"/>
  <c r="G52" i="40"/>
  <c r="H52" i="40" s="1"/>
  <c r="O732" i="35"/>
  <c r="C764" i="35"/>
  <c r="H349" i="35"/>
  <c r="J349" i="35"/>
  <c r="I349" i="35"/>
  <c r="K349" i="35"/>
  <c r="C349" i="35"/>
  <c r="O317" i="35"/>
  <c r="M349" i="35"/>
  <c r="G349" i="35"/>
  <c r="E349" i="35"/>
  <c r="N349" i="35"/>
  <c r="L349" i="35"/>
  <c r="F349" i="35"/>
  <c r="D349" i="35"/>
  <c r="O330" i="35"/>
  <c r="J360" i="35"/>
  <c r="J362" i="35" s="1"/>
  <c r="K360" i="35"/>
  <c r="K362" i="35" s="1"/>
  <c r="D360" i="35"/>
  <c r="D362" i="35" s="1"/>
  <c r="L360" i="35"/>
  <c r="L362" i="35" s="1"/>
  <c r="E360" i="35"/>
  <c r="E362" i="35" s="1"/>
  <c r="M360" i="35"/>
  <c r="M362" i="35" s="1"/>
  <c r="F360" i="35"/>
  <c r="F362" i="35" s="1"/>
  <c r="N360" i="35"/>
  <c r="N362" i="35" s="1"/>
  <c r="H360" i="35"/>
  <c r="H362" i="35" s="1"/>
  <c r="I360" i="35"/>
  <c r="I362" i="35" s="1"/>
  <c r="G360" i="35"/>
  <c r="G362" i="35" s="1"/>
  <c r="C360" i="35"/>
  <c r="C362" i="35" s="1"/>
  <c r="G9" i="43"/>
  <c r="D725" i="35"/>
  <c r="O693" i="35"/>
  <c r="H379" i="35"/>
  <c r="G379" i="35"/>
  <c r="N379" i="35"/>
  <c r="F379" i="35"/>
  <c r="I379" i="35"/>
  <c r="M379" i="35"/>
  <c r="E379" i="35"/>
  <c r="L379" i="35"/>
  <c r="D379" i="35"/>
  <c r="K379" i="35"/>
  <c r="C379" i="35"/>
  <c r="J379" i="35"/>
  <c r="O347" i="35"/>
  <c r="N318" i="35"/>
  <c r="O400" i="35"/>
  <c r="E627" i="35"/>
  <c r="E601" i="35"/>
  <c r="O595" i="35"/>
  <c r="O786" i="35"/>
  <c r="C818" i="35"/>
  <c r="O569" i="35"/>
  <c r="E432" i="35"/>
  <c r="E442" i="35" s="1"/>
  <c r="E462" i="35"/>
  <c r="F592" i="35"/>
  <c r="F602" i="35" s="1"/>
  <c r="F622" i="35"/>
  <c r="I592" i="35"/>
  <c r="I602" i="35" s="1"/>
  <c r="I622" i="35"/>
  <c r="D623" i="35"/>
  <c r="O591" i="35"/>
  <c r="L432" i="35"/>
  <c r="L442" i="35" s="1"/>
  <c r="L462" i="35"/>
  <c r="N592" i="35"/>
  <c r="N602" i="35" s="1"/>
  <c r="N622" i="35"/>
  <c r="D432" i="35"/>
  <c r="D442" i="35" s="1"/>
  <c r="D462" i="35"/>
  <c r="O430" i="35"/>
  <c r="G592" i="35"/>
  <c r="G602" i="35" s="1"/>
  <c r="G622" i="35"/>
  <c r="C464" i="35"/>
  <c r="O461" i="35"/>
  <c r="C493" i="35"/>
  <c r="J560" i="35"/>
  <c r="J570" i="35" s="1"/>
  <c r="J590" i="35"/>
  <c r="H628" i="35"/>
  <c r="H601" i="35"/>
  <c r="O596" i="35"/>
  <c r="C442" i="35"/>
  <c r="C756" i="35"/>
  <c r="C761" i="35" s="1"/>
  <c r="C729" i="35"/>
  <c r="O410" i="35"/>
  <c r="M432" i="35"/>
  <c r="M442" i="35" s="1"/>
  <c r="M462" i="35"/>
  <c r="C787" i="35"/>
  <c r="H560" i="35"/>
  <c r="H570" i="35" s="1"/>
  <c r="H590" i="35"/>
  <c r="D665" i="35"/>
  <c r="K592" i="35"/>
  <c r="K602" i="35" s="1"/>
  <c r="K622" i="35"/>
  <c r="C815" i="35"/>
  <c r="C847" i="35" s="1"/>
  <c r="Q56" i="63" l="1"/>
  <c r="D57" i="63" s="1"/>
  <c r="E57" i="63" s="1" a="1"/>
  <c r="E57" i="63" s="1"/>
  <c r="Q44" i="51"/>
  <c r="D45" i="51" s="1"/>
  <c r="E45" i="51" s="1" a="1"/>
  <c r="E45" i="51" s="1"/>
  <c r="E57" i="62" a="1"/>
  <c r="E57" i="62" s="1"/>
  <c r="F57" i="62" a="1"/>
  <c r="F57" i="62" s="1"/>
  <c r="K57" i="62" a="1"/>
  <c r="K57" i="62" s="1"/>
  <c r="N57" i="62" a="1"/>
  <c r="N57" i="62" s="1"/>
  <c r="G48" i="47"/>
  <c r="I48" i="47" s="1"/>
  <c r="J48" i="47" s="1"/>
  <c r="C48" i="55"/>
  <c r="D47" i="55"/>
  <c r="E47" i="55" s="1"/>
  <c r="F46" i="55"/>
  <c r="G46" i="55"/>
  <c r="R63" i="51" s="1"/>
  <c r="N381" i="35"/>
  <c r="F381" i="35"/>
  <c r="F52" i="41"/>
  <c r="G52" i="41" s="1"/>
  <c r="H52" i="41" s="1"/>
  <c r="G53" i="40"/>
  <c r="H53" i="40" s="1"/>
  <c r="O764" i="35"/>
  <c r="C796" i="35"/>
  <c r="J381" i="35"/>
  <c r="I381" i="35"/>
  <c r="K381" i="35"/>
  <c r="C381" i="35"/>
  <c r="H381" i="35"/>
  <c r="M381" i="35"/>
  <c r="E381" i="35"/>
  <c r="L381" i="35"/>
  <c r="G381" i="35"/>
  <c r="D381" i="35"/>
  <c r="O349" i="35"/>
  <c r="E392" i="35"/>
  <c r="E394" i="35" s="1"/>
  <c r="M392" i="35"/>
  <c r="M394" i="35" s="1"/>
  <c r="F392" i="35"/>
  <c r="F394" i="35" s="1"/>
  <c r="C392" i="35"/>
  <c r="C394" i="35" s="1"/>
  <c r="G392" i="35"/>
  <c r="G394" i="35" s="1"/>
  <c r="H392" i="35"/>
  <c r="H394" i="35" s="1"/>
  <c r="I392" i="35"/>
  <c r="I394" i="35" s="1"/>
  <c r="N392" i="35"/>
  <c r="N394" i="35" s="1"/>
  <c r="K392" i="35"/>
  <c r="K394" i="35" s="1"/>
  <c r="D392" i="35"/>
  <c r="D394" i="35" s="1"/>
  <c r="L392" i="35"/>
  <c r="L394" i="35" s="1"/>
  <c r="J392" i="35"/>
  <c r="J394" i="35" s="1"/>
  <c r="G10" i="43"/>
  <c r="O362" i="35"/>
  <c r="D757" i="35"/>
  <c r="O725" i="35"/>
  <c r="J411" i="35"/>
  <c r="I411" i="35"/>
  <c r="H411" i="35"/>
  <c r="C411" i="35"/>
  <c r="G411" i="35"/>
  <c r="N411" i="35"/>
  <c r="F411" i="35"/>
  <c r="K411" i="35"/>
  <c r="M411" i="35"/>
  <c r="E411" i="35"/>
  <c r="L411" i="35"/>
  <c r="D411" i="35"/>
  <c r="N350" i="35"/>
  <c r="O379" i="35"/>
  <c r="O432" i="35"/>
  <c r="D655" i="35"/>
  <c r="O623" i="35"/>
  <c r="I624" i="35"/>
  <c r="I634" i="35" s="1"/>
  <c r="I654" i="35"/>
  <c r="D697" i="35"/>
  <c r="H592" i="35"/>
  <c r="H602" i="35" s="1"/>
  <c r="H622" i="35"/>
  <c r="N624" i="35"/>
  <c r="N634" i="35" s="1"/>
  <c r="N654" i="35"/>
  <c r="F624" i="35"/>
  <c r="F634" i="35" s="1"/>
  <c r="F654" i="35"/>
  <c r="O818" i="35"/>
  <c r="C850" i="35"/>
  <c r="M494" i="35"/>
  <c r="M464" i="35"/>
  <c r="M474" i="35" s="1"/>
  <c r="J592" i="35"/>
  <c r="J602" i="35" s="1"/>
  <c r="J622" i="35"/>
  <c r="K624" i="35"/>
  <c r="K634" i="35" s="1"/>
  <c r="K654" i="35"/>
  <c r="C474" i="35"/>
  <c r="G624" i="35"/>
  <c r="G634" i="35" s="1"/>
  <c r="G654" i="35"/>
  <c r="L494" i="35"/>
  <c r="L464" i="35"/>
  <c r="L474" i="35" s="1"/>
  <c r="E494" i="35"/>
  <c r="E464" i="35"/>
  <c r="E474" i="35" s="1"/>
  <c r="O442" i="35"/>
  <c r="D494" i="35"/>
  <c r="O462" i="35"/>
  <c r="D464" i="35"/>
  <c r="D474" i="35" s="1"/>
  <c r="C496" i="35"/>
  <c r="C525" i="35"/>
  <c r="O493" i="35"/>
  <c r="C788" i="35"/>
  <c r="O601" i="35"/>
  <c r="C819" i="35"/>
  <c r="H660" i="35"/>
  <c r="H633" i="35"/>
  <c r="O628" i="35"/>
  <c r="E659" i="35"/>
  <c r="E633" i="35"/>
  <c r="O627" i="35"/>
  <c r="F57" i="63" l="1" a="1"/>
  <c r="F57" i="63" s="1"/>
  <c r="N57" i="63" a="1"/>
  <c r="N57" i="63" s="1"/>
  <c r="K57" i="63" a="1"/>
  <c r="K57" i="63" s="1"/>
  <c r="I57" i="63" a="1"/>
  <c r="I57" i="63" s="1"/>
  <c r="K45" i="51" a="1"/>
  <c r="K45" i="51" s="1"/>
  <c r="F45" i="51" a="1"/>
  <c r="F45" i="51" s="1"/>
  <c r="N45" i="51" a="1"/>
  <c r="N45" i="51" s="1"/>
  <c r="I45" i="51" a="1"/>
  <c r="I45" i="51" s="1"/>
  <c r="Q57" i="62"/>
  <c r="D58" i="62" s="1"/>
  <c r="K58" i="62" s="1" a="1"/>
  <c r="K58" i="62" s="1"/>
  <c r="N382" i="35"/>
  <c r="G49" i="47"/>
  <c r="I49" i="47" s="1"/>
  <c r="J49" i="47" s="1"/>
  <c r="C49" i="55"/>
  <c r="D48" i="55"/>
  <c r="E48" i="55" s="1"/>
  <c r="F48" i="55" s="1"/>
  <c r="G48" i="55" s="1"/>
  <c r="R65" i="51" s="1"/>
  <c r="F47" i="55"/>
  <c r="G47" i="55" s="1"/>
  <c r="R64" i="51" s="1"/>
  <c r="F53" i="41"/>
  <c r="G53" i="41" s="1"/>
  <c r="H53" i="41" s="1"/>
  <c r="G54" i="40"/>
  <c r="H54" i="40" s="1"/>
  <c r="F413" i="35"/>
  <c r="O796" i="35"/>
  <c r="C828" i="35"/>
  <c r="I413" i="35"/>
  <c r="G413" i="35"/>
  <c r="H413" i="35"/>
  <c r="J413" i="35"/>
  <c r="C413" i="35"/>
  <c r="L413" i="35"/>
  <c r="D413" i="35"/>
  <c r="M413" i="35"/>
  <c r="K413" i="35"/>
  <c r="E413" i="35"/>
  <c r="N413" i="35"/>
  <c r="O381" i="35"/>
  <c r="J424" i="35"/>
  <c r="J426" i="35" s="1"/>
  <c r="K424" i="35"/>
  <c r="K426" i="35" s="1"/>
  <c r="D424" i="35"/>
  <c r="D426" i="35" s="1"/>
  <c r="L424" i="35"/>
  <c r="L426" i="35" s="1"/>
  <c r="E424" i="35"/>
  <c r="E426" i="35" s="1"/>
  <c r="M424" i="35"/>
  <c r="M426" i="35" s="1"/>
  <c r="F424" i="35"/>
  <c r="F426" i="35" s="1"/>
  <c r="N424" i="35"/>
  <c r="N426" i="35" s="1"/>
  <c r="H424" i="35"/>
  <c r="H426" i="35" s="1"/>
  <c r="I424" i="35"/>
  <c r="I426" i="35" s="1"/>
  <c r="G424" i="35"/>
  <c r="G426" i="35" s="1"/>
  <c r="C424" i="35"/>
  <c r="C426" i="35" s="1"/>
  <c r="G11" i="43"/>
  <c r="O394" i="35"/>
  <c r="D789" i="35"/>
  <c r="O757" i="35"/>
  <c r="H443" i="35"/>
  <c r="C443" i="35"/>
  <c r="G443" i="35"/>
  <c r="N443" i="35"/>
  <c r="F443" i="35"/>
  <c r="M443" i="35"/>
  <c r="E443" i="35"/>
  <c r="K443" i="35"/>
  <c r="L443" i="35"/>
  <c r="D443" i="35"/>
  <c r="J443" i="35"/>
  <c r="I443" i="35"/>
  <c r="O411" i="35"/>
  <c r="E691" i="35"/>
  <c r="E665" i="35"/>
  <c r="O659" i="35"/>
  <c r="O474" i="35"/>
  <c r="O850" i="35"/>
  <c r="K656" i="35"/>
  <c r="K666" i="35" s="1"/>
  <c r="K686" i="35"/>
  <c r="F656" i="35"/>
  <c r="F666" i="35" s="1"/>
  <c r="F686" i="35"/>
  <c r="D729" i="35"/>
  <c r="C528" i="35"/>
  <c r="C557" i="35"/>
  <c r="O525" i="35"/>
  <c r="C851" i="35"/>
  <c r="C820" i="35"/>
  <c r="C793" i="35"/>
  <c r="D526" i="35"/>
  <c r="O494" i="35"/>
  <c r="D496" i="35"/>
  <c r="D506" i="35" s="1"/>
  <c r="L526" i="35"/>
  <c r="L496" i="35"/>
  <c r="L506" i="35" s="1"/>
  <c r="J624" i="35"/>
  <c r="J634" i="35" s="1"/>
  <c r="J654" i="35"/>
  <c r="I656" i="35"/>
  <c r="I666" i="35" s="1"/>
  <c r="I686" i="35"/>
  <c r="O464" i="35"/>
  <c r="E526" i="35"/>
  <c r="E496" i="35"/>
  <c r="E506" i="35" s="1"/>
  <c r="G686" i="35"/>
  <c r="G656" i="35"/>
  <c r="G666" i="35" s="1"/>
  <c r="N656" i="35"/>
  <c r="N666" i="35" s="1"/>
  <c r="N686" i="35"/>
  <c r="C506" i="35"/>
  <c r="H692" i="35"/>
  <c r="H665" i="35"/>
  <c r="O660" i="35"/>
  <c r="O633" i="35"/>
  <c r="M526" i="35"/>
  <c r="M496" i="35"/>
  <c r="M506" i="35" s="1"/>
  <c r="H624" i="35"/>
  <c r="H634" i="35" s="1"/>
  <c r="H654" i="35"/>
  <c r="D687" i="35"/>
  <c r="O655" i="35"/>
  <c r="Q57" i="63" l="1"/>
  <c r="D58" i="63" s="1"/>
  <c r="F58" i="63" s="1" a="1"/>
  <c r="F58" i="63" s="1"/>
  <c r="Q45" i="51"/>
  <c r="D46" i="51" s="1"/>
  <c r="F46" i="51" s="1" a="1"/>
  <c r="F46" i="51" s="1"/>
  <c r="E58" i="62" a="1"/>
  <c r="E58" i="62" s="1"/>
  <c r="F58" i="62" a="1"/>
  <c r="F58" i="62" s="1"/>
  <c r="N58" i="62" a="1"/>
  <c r="N58" i="62" s="1"/>
  <c r="I58" i="62" a="1"/>
  <c r="I58" i="62" s="1"/>
  <c r="G50" i="47"/>
  <c r="I50" i="47" s="1"/>
  <c r="J50" i="47" s="1"/>
  <c r="C50" i="55"/>
  <c r="D49" i="55"/>
  <c r="E49" i="55" s="1"/>
  <c r="F54" i="41"/>
  <c r="G54" i="41" s="1"/>
  <c r="H54" i="41" s="1"/>
  <c r="G55" i="40"/>
  <c r="H55" i="40" s="1"/>
  <c r="O828" i="35"/>
  <c r="C860" i="35"/>
  <c r="O860" i="35" s="1"/>
  <c r="I445" i="35"/>
  <c r="E445" i="35"/>
  <c r="C445" i="35"/>
  <c r="D445" i="35"/>
  <c r="L445" i="35"/>
  <c r="K445" i="35"/>
  <c r="H445" i="35"/>
  <c r="J445" i="35"/>
  <c r="O413" i="35"/>
  <c r="N445" i="35"/>
  <c r="G445" i="35"/>
  <c r="F445" i="35"/>
  <c r="M445" i="35"/>
  <c r="O426" i="35"/>
  <c r="F456" i="35"/>
  <c r="F458" i="35" s="1"/>
  <c r="N456" i="35"/>
  <c r="N458" i="35" s="1"/>
  <c r="G456" i="35"/>
  <c r="G458" i="35" s="1"/>
  <c r="C456" i="35"/>
  <c r="C458" i="35" s="1"/>
  <c r="H456" i="35"/>
  <c r="H458" i="35" s="1"/>
  <c r="I456" i="35"/>
  <c r="I458" i="35" s="1"/>
  <c r="J456" i="35"/>
  <c r="J458" i="35" s="1"/>
  <c r="D456" i="35"/>
  <c r="D458" i="35" s="1"/>
  <c r="L456" i="35"/>
  <c r="L458" i="35" s="1"/>
  <c r="E456" i="35"/>
  <c r="E458" i="35" s="1"/>
  <c r="M456" i="35"/>
  <c r="M458" i="35" s="1"/>
  <c r="K456" i="35"/>
  <c r="K458" i="35" s="1"/>
  <c r="G12" i="43"/>
  <c r="D821" i="35"/>
  <c r="O789" i="35"/>
  <c r="H475" i="35"/>
  <c r="G475" i="35"/>
  <c r="N475" i="35"/>
  <c r="F475" i="35"/>
  <c r="J475" i="35"/>
  <c r="M475" i="35"/>
  <c r="E475" i="35"/>
  <c r="L475" i="35"/>
  <c r="D475" i="35"/>
  <c r="I475" i="35"/>
  <c r="K475" i="35"/>
  <c r="C475" i="35"/>
  <c r="O443" i="35"/>
  <c r="N414" i="35"/>
  <c r="G718" i="35"/>
  <c r="G688" i="35"/>
  <c r="G698" i="35" s="1"/>
  <c r="D761" i="35"/>
  <c r="F718" i="35"/>
  <c r="F688" i="35"/>
  <c r="F698" i="35" s="1"/>
  <c r="L528" i="35"/>
  <c r="L538" i="35" s="1"/>
  <c r="L558" i="35"/>
  <c r="D719" i="35"/>
  <c r="O687" i="35"/>
  <c r="O506" i="35"/>
  <c r="M558" i="35"/>
  <c r="M528" i="35"/>
  <c r="M538" i="35" s="1"/>
  <c r="E558" i="35"/>
  <c r="E528" i="35"/>
  <c r="E538" i="35" s="1"/>
  <c r="K688" i="35"/>
  <c r="K698" i="35" s="1"/>
  <c r="K718" i="35"/>
  <c r="J656" i="35"/>
  <c r="J666" i="35" s="1"/>
  <c r="J686" i="35"/>
  <c r="H724" i="35"/>
  <c r="H697" i="35"/>
  <c r="O692" i="35"/>
  <c r="O496" i="35"/>
  <c r="C560" i="35"/>
  <c r="C589" i="35"/>
  <c r="O557" i="35"/>
  <c r="O665" i="35"/>
  <c r="C852" i="35"/>
  <c r="C825" i="35"/>
  <c r="H656" i="35"/>
  <c r="H666" i="35" s="1"/>
  <c r="H686" i="35"/>
  <c r="N718" i="35"/>
  <c r="N688" i="35"/>
  <c r="N698" i="35" s="1"/>
  <c r="I688" i="35"/>
  <c r="I698" i="35" s="1"/>
  <c r="I718" i="35"/>
  <c r="D528" i="35"/>
  <c r="D538" i="35" s="1"/>
  <c r="D558" i="35"/>
  <c r="O526" i="35"/>
  <c r="C538" i="35"/>
  <c r="E723" i="35"/>
  <c r="E697" i="35"/>
  <c r="O691" i="35"/>
  <c r="I58" i="63" l="1" a="1"/>
  <c r="I58" i="63" s="1"/>
  <c r="N58" i="63" a="1"/>
  <c r="N58" i="63" s="1"/>
  <c r="K58" i="63" a="1"/>
  <c r="K58" i="63" s="1"/>
  <c r="E58" i="63" a="1"/>
  <c r="E58" i="63" s="1"/>
  <c r="K46" i="51" a="1"/>
  <c r="K46" i="51" s="1"/>
  <c r="N46" i="51" a="1"/>
  <c r="N46" i="51" s="1"/>
  <c r="I46" i="51" a="1"/>
  <c r="I46" i="51" s="1"/>
  <c r="E46" i="51" a="1"/>
  <c r="E46" i="51" s="1"/>
  <c r="Q58" i="62"/>
  <c r="D59" i="62" s="1"/>
  <c r="I59" i="62" s="1" a="1"/>
  <c r="I59" i="62" s="1"/>
  <c r="G51" i="47"/>
  <c r="I51" i="47" s="1"/>
  <c r="J51" i="47" s="1"/>
  <c r="C51" i="55"/>
  <c r="D50" i="55"/>
  <c r="E50" i="55" s="1"/>
  <c r="F50" i="55" s="1"/>
  <c r="G50" i="55" s="1"/>
  <c r="R67" i="51" s="1"/>
  <c r="F49" i="55"/>
  <c r="G49" i="55" s="1"/>
  <c r="R66" i="51" s="1"/>
  <c r="F55" i="41"/>
  <c r="G55" i="41" s="1"/>
  <c r="H55" i="41" s="1"/>
  <c r="G56" i="40"/>
  <c r="H56" i="40" s="1"/>
  <c r="E477" i="35"/>
  <c r="M477" i="35"/>
  <c r="K477" i="35"/>
  <c r="L477" i="35"/>
  <c r="C477" i="35"/>
  <c r="G477" i="35"/>
  <c r="H477" i="35"/>
  <c r="F477" i="35"/>
  <c r="N477" i="35"/>
  <c r="D477" i="35"/>
  <c r="J477" i="35"/>
  <c r="I477" i="35"/>
  <c r="O445" i="35"/>
  <c r="O458" i="35"/>
  <c r="J488" i="35"/>
  <c r="J490" i="35" s="1"/>
  <c r="K488" i="35"/>
  <c r="K490" i="35" s="1"/>
  <c r="D488" i="35"/>
  <c r="D490" i="35" s="1"/>
  <c r="L488" i="35"/>
  <c r="L490" i="35" s="1"/>
  <c r="E488" i="35"/>
  <c r="E490" i="35" s="1"/>
  <c r="M488" i="35"/>
  <c r="M490" i="35" s="1"/>
  <c r="F488" i="35"/>
  <c r="F490" i="35" s="1"/>
  <c r="N488" i="35"/>
  <c r="N490" i="35" s="1"/>
  <c r="H488" i="35"/>
  <c r="H490" i="35" s="1"/>
  <c r="I488" i="35"/>
  <c r="I490" i="35" s="1"/>
  <c r="G488" i="35"/>
  <c r="G490" i="35" s="1"/>
  <c r="C488" i="35"/>
  <c r="C490" i="35" s="1"/>
  <c r="G13" i="43"/>
  <c r="D853" i="35"/>
  <c r="O853" i="35" s="1"/>
  <c r="O821" i="35"/>
  <c r="N446" i="35"/>
  <c r="G507" i="35"/>
  <c r="N507" i="35"/>
  <c r="F507" i="35"/>
  <c r="M507" i="35"/>
  <c r="E507" i="35"/>
  <c r="L507" i="35"/>
  <c r="D507" i="35"/>
  <c r="K507" i="35"/>
  <c r="C507" i="35"/>
  <c r="J507" i="35"/>
  <c r="I507" i="35"/>
  <c r="H507" i="35"/>
  <c r="O475" i="35"/>
  <c r="I720" i="35"/>
  <c r="I730" i="35" s="1"/>
  <c r="I750" i="35"/>
  <c r="K720" i="35"/>
  <c r="K730" i="35" s="1"/>
  <c r="K750" i="35"/>
  <c r="D751" i="35"/>
  <c r="O719" i="35"/>
  <c r="O697" i="35"/>
  <c r="E560" i="35"/>
  <c r="E570" i="35" s="1"/>
  <c r="E590" i="35"/>
  <c r="E755" i="35"/>
  <c r="E729" i="35"/>
  <c r="O723" i="35"/>
  <c r="H756" i="35"/>
  <c r="H729" i="35"/>
  <c r="O724" i="35"/>
  <c r="D793" i="35"/>
  <c r="M560" i="35"/>
  <c r="M570" i="35" s="1"/>
  <c r="M590" i="35"/>
  <c r="L560" i="35"/>
  <c r="L570" i="35" s="1"/>
  <c r="L590" i="35"/>
  <c r="C857" i="35"/>
  <c r="O538" i="35"/>
  <c r="O528" i="35"/>
  <c r="G720" i="35"/>
  <c r="G730" i="35" s="1"/>
  <c r="G750" i="35"/>
  <c r="D560" i="35"/>
  <c r="D570" i="35" s="1"/>
  <c r="D590" i="35"/>
  <c r="O558" i="35"/>
  <c r="N720" i="35"/>
  <c r="N730" i="35" s="1"/>
  <c r="N750" i="35"/>
  <c r="J688" i="35"/>
  <c r="J698" i="35" s="1"/>
  <c r="J718" i="35"/>
  <c r="H688" i="35"/>
  <c r="H698" i="35" s="1"/>
  <c r="H718" i="35"/>
  <c r="C592" i="35"/>
  <c r="C621" i="35"/>
  <c r="O589" i="35"/>
  <c r="C570" i="35"/>
  <c r="F720" i="35"/>
  <c r="F730" i="35" s="1"/>
  <c r="F750" i="35"/>
  <c r="Q58" i="63" l="1"/>
  <c r="D59" i="63" s="1"/>
  <c r="F59" i="63" s="1" a="1"/>
  <c r="F59" i="63" s="1"/>
  <c r="Q46" i="51"/>
  <c r="D47" i="51" s="1"/>
  <c r="N47" i="51" s="1" a="1"/>
  <c r="N47" i="51" s="1"/>
  <c r="K59" i="62" a="1"/>
  <c r="K59" i="62" s="1"/>
  <c r="E59" i="62" a="1"/>
  <c r="E59" i="62" s="1"/>
  <c r="N59" i="62" a="1"/>
  <c r="N59" i="62" s="1"/>
  <c r="F59" i="62" a="1"/>
  <c r="F59" i="62" s="1"/>
  <c r="G52" i="47"/>
  <c r="I52" i="47" s="1"/>
  <c r="J52" i="47" s="1"/>
  <c r="C52" i="55"/>
  <c r="D51" i="55"/>
  <c r="E51" i="55" s="1"/>
  <c r="F56" i="41"/>
  <c r="G56" i="41" s="1"/>
  <c r="H56" i="41" s="1"/>
  <c r="G57" i="40"/>
  <c r="H57" i="40" s="1"/>
  <c r="H509" i="35"/>
  <c r="J509" i="35"/>
  <c r="N509" i="35"/>
  <c r="F509" i="35"/>
  <c r="M509" i="35"/>
  <c r="E509" i="35"/>
  <c r="C509" i="35"/>
  <c r="L509" i="35"/>
  <c r="G509" i="35"/>
  <c r="D509" i="35"/>
  <c r="I509" i="35"/>
  <c r="K509" i="35"/>
  <c r="O477" i="35"/>
  <c r="F520" i="35"/>
  <c r="F522" i="35" s="1"/>
  <c r="N520" i="35"/>
  <c r="N522" i="35" s="1"/>
  <c r="G520" i="35"/>
  <c r="G522" i="35" s="1"/>
  <c r="C520" i="35"/>
  <c r="C522" i="35" s="1"/>
  <c r="H520" i="35"/>
  <c r="H522" i="35" s="1"/>
  <c r="I520" i="35"/>
  <c r="I522" i="35" s="1"/>
  <c r="J520" i="35"/>
  <c r="J522" i="35" s="1"/>
  <c r="D520" i="35"/>
  <c r="D522" i="35" s="1"/>
  <c r="L520" i="35"/>
  <c r="L522" i="35" s="1"/>
  <c r="E520" i="35"/>
  <c r="E522" i="35" s="1"/>
  <c r="M520" i="35"/>
  <c r="M522" i="35" s="1"/>
  <c r="K520" i="35"/>
  <c r="K522" i="35" s="1"/>
  <c r="G14" i="43"/>
  <c r="O490" i="35"/>
  <c r="J539" i="35"/>
  <c r="I539" i="35"/>
  <c r="C539" i="35"/>
  <c r="H539" i="35"/>
  <c r="K539" i="35"/>
  <c r="G539" i="35"/>
  <c r="N539" i="35"/>
  <c r="F539" i="35"/>
  <c r="M539" i="35"/>
  <c r="E539" i="35"/>
  <c r="L539" i="35"/>
  <c r="D539" i="35"/>
  <c r="O507" i="35"/>
  <c r="N478" i="35"/>
  <c r="O560" i="35"/>
  <c r="O729" i="35"/>
  <c r="C624" i="35"/>
  <c r="C653" i="35"/>
  <c r="O621" i="35"/>
  <c r="D783" i="35"/>
  <c r="O751" i="35"/>
  <c r="D592" i="35"/>
  <c r="D602" i="35" s="1"/>
  <c r="D622" i="35"/>
  <c r="O590" i="35"/>
  <c r="L592" i="35"/>
  <c r="L602" i="35" s="1"/>
  <c r="L622" i="35"/>
  <c r="D825" i="35"/>
  <c r="K752" i="35"/>
  <c r="K762" i="35" s="1"/>
  <c r="K782" i="35"/>
  <c r="E592" i="35"/>
  <c r="E602" i="35" s="1"/>
  <c r="E622" i="35"/>
  <c r="G782" i="35"/>
  <c r="G752" i="35"/>
  <c r="G762" i="35" s="1"/>
  <c r="I752" i="35"/>
  <c r="I762" i="35" s="1"/>
  <c r="I782" i="35"/>
  <c r="E787" i="35"/>
  <c r="E761" i="35"/>
  <c r="O755" i="35"/>
  <c r="C602" i="35"/>
  <c r="F782" i="35"/>
  <c r="F752" i="35"/>
  <c r="F762" i="35" s="1"/>
  <c r="J720" i="35"/>
  <c r="J730" i="35" s="1"/>
  <c r="J750" i="35"/>
  <c r="M622" i="35"/>
  <c r="M592" i="35"/>
  <c r="M602" i="35" s="1"/>
  <c r="H788" i="35"/>
  <c r="H761" i="35"/>
  <c r="O756" i="35"/>
  <c r="N782" i="35"/>
  <c r="N752" i="35"/>
  <c r="N762" i="35" s="1"/>
  <c r="H720" i="35"/>
  <c r="H730" i="35" s="1"/>
  <c r="H750" i="35"/>
  <c r="O570" i="35"/>
  <c r="E59" i="63" l="1" a="1"/>
  <c r="E59" i="63" s="1"/>
  <c r="I59" i="63" a="1"/>
  <c r="I59" i="63" s="1"/>
  <c r="K59" i="63" a="1"/>
  <c r="K59" i="63" s="1"/>
  <c r="N59" i="63" a="1"/>
  <c r="N59" i="63" s="1"/>
  <c r="I47" i="51" a="1"/>
  <c r="I47" i="51" s="1"/>
  <c r="K47" i="51" a="1"/>
  <c r="K47" i="51" s="1"/>
  <c r="E47" i="51" a="1"/>
  <c r="E47" i="51" s="1"/>
  <c r="F47" i="51" a="1"/>
  <c r="F47" i="51" s="1"/>
  <c r="Q59" i="62"/>
  <c r="D60" i="62" s="1"/>
  <c r="E60" i="62" s="1" a="1"/>
  <c r="E60" i="62" s="1"/>
  <c r="G53" i="47"/>
  <c r="I53" i="47" s="1"/>
  <c r="J53" i="47" s="1"/>
  <c r="C53" i="55"/>
  <c r="D52" i="55"/>
  <c r="E52" i="55" s="1"/>
  <c r="F51" i="55"/>
  <c r="G51" i="55" s="1"/>
  <c r="R68" i="51" s="1"/>
  <c r="G541" i="35"/>
  <c r="N541" i="35"/>
  <c r="F57" i="41"/>
  <c r="G57" i="41" s="1"/>
  <c r="H57" i="41" s="1"/>
  <c r="G58" i="40"/>
  <c r="H58" i="40" s="1"/>
  <c r="F541" i="35"/>
  <c r="M541" i="35"/>
  <c r="L541" i="35"/>
  <c r="E541" i="35"/>
  <c r="D541" i="35"/>
  <c r="J541" i="35"/>
  <c r="I541" i="35"/>
  <c r="H541" i="35"/>
  <c r="K541" i="35"/>
  <c r="C541" i="35"/>
  <c r="O509" i="35"/>
  <c r="O522" i="35"/>
  <c r="J552" i="35"/>
  <c r="J554" i="35" s="1"/>
  <c r="K552" i="35"/>
  <c r="K554" i="35" s="1"/>
  <c r="D552" i="35"/>
  <c r="D554" i="35" s="1"/>
  <c r="L552" i="35"/>
  <c r="L554" i="35" s="1"/>
  <c r="E552" i="35"/>
  <c r="E554" i="35" s="1"/>
  <c r="M552" i="35"/>
  <c r="M554" i="35" s="1"/>
  <c r="F552" i="35"/>
  <c r="F554" i="35" s="1"/>
  <c r="N552" i="35"/>
  <c r="N554" i="35" s="1"/>
  <c r="H552" i="35"/>
  <c r="H554" i="35" s="1"/>
  <c r="I552" i="35"/>
  <c r="I554" i="35" s="1"/>
  <c r="C552" i="35"/>
  <c r="C554" i="35" s="1"/>
  <c r="G552" i="35"/>
  <c r="G554" i="35" s="1"/>
  <c r="G15" i="43"/>
  <c r="N510" i="35"/>
  <c r="H571" i="35"/>
  <c r="G571" i="35"/>
  <c r="N571" i="35"/>
  <c r="F571" i="35"/>
  <c r="M571" i="35"/>
  <c r="E571" i="35"/>
  <c r="L571" i="35"/>
  <c r="D571" i="35"/>
  <c r="K571" i="35"/>
  <c r="C571" i="35"/>
  <c r="J571" i="35"/>
  <c r="I571" i="35"/>
  <c r="O539" i="35"/>
  <c r="M624" i="35"/>
  <c r="M634" i="35" s="1"/>
  <c r="M654" i="35"/>
  <c r="D815" i="35"/>
  <c r="O783" i="35"/>
  <c r="E819" i="35"/>
  <c r="E793" i="35"/>
  <c r="O787" i="35"/>
  <c r="L624" i="35"/>
  <c r="L634" i="35" s="1"/>
  <c r="L654" i="35"/>
  <c r="J782" i="35"/>
  <c r="J752" i="35"/>
  <c r="J762" i="35" s="1"/>
  <c r="D857" i="35"/>
  <c r="N784" i="35"/>
  <c r="N794" i="35" s="1"/>
  <c r="N814" i="35"/>
  <c r="I784" i="35"/>
  <c r="I794" i="35" s="1"/>
  <c r="I814" i="35"/>
  <c r="E624" i="35"/>
  <c r="E634" i="35" s="1"/>
  <c r="E654" i="35"/>
  <c r="C656" i="35"/>
  <c r="C685" i="35"/>
  <c r="O653" i="35"/>
  <c r="H752" i="35"/>
  <c r="H762" i="35" s="1"/>
  <c r="H782" i="35"/>
  <c r="C634" i="35"/>
  <c r="G784" i="35"/>
  <c r="G794" i="35" s="1"/>
  <c r="G814" i="35"/>
  <c r="O761" i="35"/>
  <c r="F784" i="35"/>
  <c r="F794" i="35" s="1"/>
  <c r="F814" i="35"/>
  <c r="K784" i="35"/>
  <c r="K794" i="35" s="1"/>
  <c r="K814" i="35"/>
  <c r="D624" i="35"/>
  <c r="D634" i="35" s="1"/>
  <c r="D654" i="35"/>
  <c r="O622" i="35"/>
  <c r="O592" i="35"/>
  <c r="H820" i="35"/>
  <c r="H793" i="35"/>
  <c r="O788" i="35"/>
  <c r="O602" i="35"/>
  <c r="Q59" i="63" l="1"/>
  <c r="D60" i="63" s="1"/>
  <c r="I60" i="63" s="1" a="1"/>
  <c r="I60" i="63" s="1"/>
  <c r="Q47" i="51"/>
  <c r="D48" i="51" s="1"/>
  <c r="I48" i="51" s="1" a="1"/>
  <c r="I48" i="51" s="1"/>
  <c r="F60" i="62" a="1"/>
  <c r="F60" i="62" s="1"/>
  <c r="K60" i="62" a="1"/>
  <c r="K60" i="62" s="1"/>
  <c r="I60" i="62" a="1"/>
  <c r="I60" i="62" s="1"/>
  <c r="N60" i="62" a="1"/>
  <c r="N60" i="62" s="1"/>
  <c r="G54" i="47"/>
  <c r="I54" i="47" s="1"/>
  <c r="J54" i="47" s="1"/>
  <c r="C54" i="55"/>
  <c r="D53" i="55"/>
  <c r="E53" i="55"/>
  <c r="F52" i="55"/>
  <c r="G52" i="55"/>
  <c r="R69" i="51" s="1"/>
  <c r="F58" i="41"/>
  <c r="G58" i="41" s="1"/>
  <c r="H58" i="41" s="1"/>
  <c r="G59" i="40"/>
  <c r="H59" i="40" s="1"/>
  <c r="C573" i="35"/>
  <c r="K573" i="35"/>
  <c r="H573" i="35"/>
  <c r="G573" i="35"/>
  <c r="L573" i="35"/>
  <c r="F573" i="35"/>
  <c r="M573" i="35"/>
  <c r="E573" i="35"/>
  <c r="D573" i="35"/>
  <c r="I573" i="35"/>
  <c r="J573" i="35"/>
  <c r="N573" i="35"/>
  <c r="O541" i="35"/>
  <c r="O554" i="35"/>
  <c r="F584" i="35"/>
  <c r="F586" i="35" s="1"/>
  <c r="N584" i="35"/>
  <c r="N586" i="35" s="1"/>
  <c r="G584" i="35"/>
  <c r="G586" i="35" s="1"/>
  <c r="C584" i="35"/>
  <c r="C586" i="35" s="1"/>
  <c r="H584" i="35"/>
  <c r="H586" i="35" s="1"/>
  <c r="I584" i="35"/>
  <c r="I586" i="35" s="1"/>
  <c r="J584" i="35"/>
  <c r="J586" i="35" s="1"/>
  <c r="D584" i="35"/>
  <c r="D586" i="35" s="1"/>
  <c r="L584" i="35"/>
  <c r="L586" i="35" s="1"/>
  <c r="E584" i="35"/>
  <c r="E586" i="35" s="1"/>
  <c r="M584" i="35"/>
  <c r="M586" i="35" s="1"/>
  <c r="K584" i="35"/>
  <c r="K586" i="35" s="1"/>
  <c r="G16" i="43"/>
  <c r="N542" i="35"/>
  <c r="H603" i="35"/>
  <c r="G603" i="35"/>
  <c r="N603" i="35"/>
  <c r="F603" i="35"/>
  <c r="M603" i="35"/>
  <c r="E603" i="35"/>
  <c r="I603" i="35"/>
  <c r="L603" i="35"/>
  <c r="D603" i="35"/>
  <c r="K603" i="35"/>
  <c r="C603" i="35"/>
  <c r="J603" i="35"/>
  <c r="O571" i="35"/>
  <c r="N816" i="35"/>
  <c r="N826" i="35" s="1"/>
  <c r="N846" i="35"/>
  <c r="N848" i="35" s="1"/>
  <c r="N858" i="35" s="1"/>
  <c r="C688" i="35"/>
  <c r="C717" i="35"/>
  <c r="O685" i="35"/>
  <c r="K816" i="35"/>
  <c r="K826" i="35" s="1"/>
  <c r="K846" i="35"/>
  <c r="K848" i="35" s="1"/>
  <c r="K858" i="35" s="1"/>
  <c r="E656" i="35"/>
  <c r="E666" i="35" s="1"/>
  <c r="E686" i="35"/>
  <c r="O815" i="35"/>
  <c r="D847" i="35"/>
  <c r="O847" i="35" s="1"/>
  <c r="H784" i="35"/>
  <c r="H794" i="35" s="1"/>
  <c r="H814" i="35"/>
  <c r="D656" i="35"/>
  <c r="D666" i="35" s="1"/>
  <c r="D686" i="35"/>
  <c r="O654" i="35"/>
  <c r="O793" i="35"/>
  <c r="E851" i="35"/>
  <c r="E825" i="35"/>
  <c r="O819" i="35"/>
  <c r="G816" i="35"/>
  <c r="G826" i="35" s="1"/>
  <c r="G846" i="35"/>
  <c r="G848" i="35" s="1"/>
  <c r="G858" i="35" s="1"/>
  <c r="F816" i="35"/>
  <c r="F826" i="35" s="1"/>
  <c r="F846" i="35"/>
  <c r="F848" i="35" s="1"/>
  <c r="F858" i="35" s="1"/>
  <c r="O634" i="35"/>
  <c r="J784" i="35"/>
  <c r="J794" i="35" s="1"/>
  <c r="J814" i="35"/>
  <c r="M656" i="35"/>
  <c r="M666" i="35" s="1"/>
  <c r="M686" i="35"/>
  <c r="C666" i="35"/>
  <c r="H852" i="35"/>
  <c r="H825" i="35"/>
  <c r="O820" i="35"/>
  <c r="O624" i="35"/>
  <c r="I816" i="35"/>
  <c r="I826" i="35" s="1"/>
  <c r="I846" i="35"/>
  <c r="I848" i="35" s="1"/>
  <c r="I858" i="35" s="1"/>
  <c r="L656" i="35"/>
  <c r="L666" i="35" s="1"/>
  <c r="L686" i="35"/>
  <c r="E60" i="63" l="1" a="1"/>
  <c r="E60" i="63" s="1"/>
  <c r="N60" i="63" a="1"/>
  <c r="N60" i="63" s="1"/>
  <c r="K60" i="63" a="1"/>
  <c r="K60" i="63" s="1"/>
  <c r="F60" i="63" a="1"/>
  <c r="F60" i="63" s="1"/>
  <c r="K48" i="51" a="1"/>
  <c r="K48" i="51" s="1"/>
  <c r="E48" i="51" a="1"/>
  <c r="E48" i="51" s="1"/>
  <c r="F48" i="51" a="1"/>
  <c r="F48" i="51" s="1"/>
  <c r="N48" i="51" a="1"/>
  <c r="N48" i="51" s="1"/>
  <c r="Q60" i="62"/>
  <c r="D61" i="62" s="1"/>
  <c r="F61" i="62" s="1" a="1"/>
  <c r="F61" i="62" s="1"/>
  <c r="G55" i="47"/>
  <c r="I55" i="47" s="1"/>
  <c r="J55" i="47" s="1"/>
  <c r="C55" i="55"/>
  <c r="D54" i="55"/>
  <c r="E54" i="55" s="1"/>
  <c r="F53" i="55"/>
  <c r="G53" i="55" s="1"/>
  <c r="R70" i="51" s="1"/>
  <c r="F59" i="41"/>
  <c r="G59" i="41" s="1"/>
  <c r="H59" i="41"/>
  <c r="G60" i="40"/>
  <c r="H60" i="40" s="1"/>
  <c r="H605" i="35"/>
  <c r="K605" i="35"/>
  <c r="I605" i="35"/>
  <c r="L605" i="35"/>
  <c r="C605" i="35"/>
  <c r="M605" i="35"/>
  <c r="G605" i="35"/>
  <c r="O573" i="35"/>
  <c r="E605" i="35"/>
  <c r="N605" i="35"/>
  <c r="F605" i="35"/>
  <c r="D605" i="35"/>
  <c r="J605" i="35"/>
  <c r="O586" i="35"/>
  <c r="J616" i="35"/>
  <c r="J618" i="35" s="1"/>
  <c r="K616" i="35"/>
  <c r="K618" i="35" s="1"/>
  <c r="D616" i="35"/>
  <c r="D618" i="35" s="1"/>
  <c r="L616" i="35"/>
  <c r="L618" i="35" s="1"/>
  <c r="E616" i="35"/>
  <c r="E618" i="35" s="1"/>
  <c r="M616" i="35"/>
  <c r="M618" i="35" s="1"/>
  <c r="F616" i="35"/>
  <c r="F618" i="35" s="1"/>
  <c r="N616" i="35"/>
  <c r="N618" i="35" s="1"/>
  <c r="H616" i="35"/>
  <c r="H618" i="35" s="1"/>
  <c r="I616" i="35"/>
  <c r="I618" i="35" s="1"/>
  <c r="C616" i="35"/>
  <c r="C618" i="35" s="1"/>
  <c r="G616" i="35"/>
  <c r="G618" i="35" s="1"/>
  <c r="G17" i="43"/>
  <c r="H635" i="35"/>
  <c r="G635" i="35"/>
  <c r="N635" i="35"/>
  <c r="F635" i="35"/>
  <c r="M635" i="35"/>
  <c r="E635" i="35"/>
  <c r="C635" i="35"/>
  <c r="L635" i="35"/>
  <c r="D635" i="35"/>
  <c r="K635" i="35"/>
  <c r="J635" i="35"/>
  <c r="I635" i="35"/>
  <c r="O603" i="35"/>
  <c r="N574" i="35"/>
  <c r="H846" i="35"/>
  <c r="H848" i="35" s="1"/>
  <c r="H816" i="35"/>
  <c r="H826" i="35" s="1"/>
  <c r="O825" i="35"/>
  <c r="C720" i="35"/>
  <c r="C749" i="35"/>
  <c r="O717" i="35"/>
  <c r="O666" i="35"/>
  <c r="O656" i="35"/>
  <c r="E688" i="35"/>
  <c r="E698" i="35" s="1"/>
  <c r="E718" i="35"/>
  <c r="H857" i="35"/>
  <c r="O852" i="35"/>
  <c r="C698" i="35"/>
  <c r="D688" i="35"/>
  <c r="D698" i="35" s="1"/>
  <c r="D718" i="35"/>
  <c r="O686" i="35"/>
  <c r="L688" i="35"/>
  <c r="L698" i="35" s="1"/>
  <c r="L718" i="35"/>
  <c r="E857" i="35"/>
  <c r="O851" i="35"/>
  <c r="M718" i="35"/>
  <c r="M688" i="35"/>
  <c r="M698" i="35" s="1"/>
  <c r="J816" i="35"/>
  <c r="J826" i="35" s="1"/>
  <c r="J846" i="35"/>
  <c r="J848" i="35" s="1"/>
  <c r="J858" i="35" s="1"/>
  <c r="Q60" i="63" l="1"/>
  <c r="D61" i="63" s="1"/>
  <c r="N61" i="63" s="1" a="1"/>
  <c r="N61" i="63" s="1"/>
  <c r="Q48" i="51"/>
  <c r="D49" i="51" s="1"/>
  <c r="I49" i="51" s="1" a="1"/>
  <c r="I49" i="51" s="1"/>
  <c r="K61" i="62" a="1"/>
  <c r="K61" i="62" s="1"/>
  <c r="I61" i="62" a="1"/>
  <c r="I61" i="62" s="1"/>
  <c r="N61" i="62" a="1"/>
  <c r="N61" i="62" s="1"/>
  <c r="E61" i="62" a="1"/>
  <c r="E61" i="62" s="1"/>
  <c r="G56" i="47"/>
  <c r="I56" i="47" s="1"/>
  <c r="J56" i="47" s="1"/>
  <c r="C56" i="55"/>
  <c r="D55" i="55"/>
  <c r="E55" i="55" s="1"/>
  <c r="F54" i="55"/>
  <c r="G54" i="55"/>
  <c r="R71" i="51" s="1"/>
  <c r="F60" i="41"/>
  <c r="G60" i="41" s="1"/>
  <c r="H60" i="41" s="1"/>
  <c r="G61" i="40"/>
  <c r="H61" i="40" s="1"/>
  <c r="G637" i="35"/>
  <c r="E637" i="35"/>
  <c r="F637" i="35"/>
  <c r="M637" i="35"/>
  <c r="L637" i="35"/>
  <c r="C637" i="35"/>
  <c r="D637" i="35"/>
  <c r="I637" i="35"/>
  <c r="K637" i="35"/>
  <c r="H637" i="35"/>
  <c r="J637" i="35"/>
  <c r="N637" i="35"/>
  <c r="O605" i="35"/>
  <c r="O618" i="35"/>
  <c r="F648" i="35"/>
  <c r="F650" i="35" s="1"/>
  <c r="N648" i="35"/>
  <c r="N650" i="35" s="1"/>
  <c r="G648" i="35"/>
  <c r="G650" i="35" s="1"/>
  <c r="C648" i="35"/>
  <c r="C650" i="35" s="1"/>
  <c r="H648" i="35"/>
  <c r="H650" i="35" s="1"/>
  <c r="I648" i="35"/>
  <c r="I650" i="35" s="1"/>
  <c r="J648" i="35"/>
  <c r="J650" i="35" s="1"/>
  <c r="D648" i="35"/>
  <c r="D650" i="35" s="1"/>
  <c r="L648" i="35"/>
  <c r="L650" i="35" s="1"/>
  <c r="E648" i="35"/>
  <c r="E650" i="35" s="1"/>
  <c r="M648" i="35"/>
  <c r="M650" i="35" s="1"/>
  <c r="K648" i="35"/>
  <c r="K650" i="35" s="1"/>
  <c r="G18" i="43"/>
  <c r="N606" i="35"/>
  <c r="I667" i="35"/>
  <c r="L667" i="35"/>
  <c r="H667" i="35"/>
  <c r="M667" i="35"/>
  <c r="G667" i="35"/>
  <c r="N667" i="35"/>
  <c r="F667" i="35"/>
  <c r="E667" i="35"/>
  <c r="D667" i="35"/>
  <c r="K667" i="35"/>
  <c r="C667" i="35"/>
  <c r="J667" i="35"/>
  <c r="O635" i="35"/>
  <c r="H858" i="35"/>
  <c r="O688" i="35"/>
  <c r="O857" i="35"/>
  <c r="C730" i="35"/>
  <c r="E720" i="35"/>
  <c r="E730" i="35" s="1"/>
  <c r="E750" i="35"/>
  <c r="D720" i="35"/>
  <c r="D730" i="35" s="1"/>
  <c r="D750" i="35"/>
  <c r="O718" i="35"/>
  <c r="L720" i="35"/>
  <c r="L730" i="35" s="1"/>
  <c r="L750" i="35"/>
  <c r="C752" i="35"/>
  <c r="C781" i="35"/>
  <c r="O749" i="35"/>
  <c r="M720" i="35"/>
  <c r="M730" i="35" s="1"/>
  <c r="M750" i="35"/>
  <c r="O698" i="35"/>
  <c r="E61" i="63" l="1" a="1"/>
  <c r="E61" i="63" s="1"/>
  <c r="K61" i="63" a="1"/>
  <c r="K61" i="63" s="1"/>
  <c r="I61" i="63" a="1"/>
  <c r="I61" i="63" s="1"/>
  <c r="F61" i="63" a="1"/>
  <c r="F61" i="63" s="1"/>
  <c r="F49" i="51" a="1"/>
  <c r="F49" i="51" s="1"/>
  <c r="N49" i="51" a="1"/>
  <c r="N49" i="51" s="1"/>
  <c r="K49" i="51" a="1"/>
  <c r="K49" i="51" s="1"/>
  <c r="E49" i="51" a="1"/>
  <c r="E49" i="51" s="1"/>
  <c r="Q61" i="62"/>
  <c r="D62" i="62" s="1"/>
  <c r="K62" i="62" s="1" a="1"/>
  <c r="K62" i="62" s="1"/>
  <c r="G57" i="47"/>
  <c r="I57" i="47" s="1"/>
  <c r="J57" i="47" s="1"/>
  <c r="C57" i="55"/>
  <c r="D56" i="55"/>
  <c r="E56" i="55" s="1"/>
  <c r="F56" i="55" s="1"/>
  <c r="G56" i="55" s="1"/>
  <c r="R73" i="51" s="1"/>
  <c r="F55" i="55"/>
  <c r="G55" i="55" s="1"/>
  <c r="R72" i="51" s="1"/>
  <c r="F61" i="41"/>
  <c r="G61" i="41" s="1"/>
  <c r="H61" i="41" s="1"/>
  <c r="G62" i="40"/>
  <c r="H62" i="40" s="1"/>
  <c r="E669" i="35"/>
  <c r="N669" i="35"/>
  <c r="K669" i="35"/>
  <c r="C669" i="35"/>
  <c r="M669" i="35"/>
  <c r="L669" i="35"/>
  <c r="F669" i="35"/>
  <c r="D669" i="35"/>
  <c r="O637" i="35"/>
  <c r="J669" i="35"/>
  <c r="G669" i="35"/>
  <c r="I669" i="35"/>
  <c r="H669" i="35"/>
  <c r="O650" i="35"/>
  <c r="J680" i="35"/>
  <c r="J682" i="35" s="1"/>
  <c r="K680" i="35"/>
  <c r="K682" i="35" s="1"/>
  <c r="D680" i="35"/>
  <c r="D682" i="35" s="1"/>
  <c r="L680" i="35"/>
  <c r="L682" i="35" s="1"/>
  <c r="E680" i="35"/>
  <c r="E682" i="35" s="1"/>
  <c r="M680" i="35"/>
  <c r="M682" i="35" s="1"/>
  <c r="F680" i="35"/>
  <c r="F682" i="35" s="1"/>
  <c r="N680" i="35"/>
  <c r="N682" i="35" s="1"/>
  <c r="H680" i="35"/>
  <c r="H682" i="35" s="1"/>
  <c r="I680" i="35"/>
  <c r="I682" i="35" s="1"/>
  <c r="G680" i="35"/>
  <c r="G682" i="35" s="1"/>
  <c r="C680" i="35"/>
  <c r="C682" i="35" s="1"/>
  <c r="G19" i="43"/>
  <c r="H699" i="35"/>
  <c r="G699" i="35"/>
  <c r="N699" i="35"/>
  <c r="F699" i="35"/>
  <c r="M699" i="35"/>
  <c r="E699" i="35"/>
  <c r="I699" i="35"/>
  <c r="L699" i="35"/>
  <c r="D699" i="35"/>
  <c r="K699" i="35"/>
  <c r="C699" i="35"/>
  <c r="J699" i="35"/>
  <c r="O667" i="35"/>
  <c r="N638" i="35"/>
  <c r="E752" i="35"/>
  <c r="E762" i="35" s="1"/>
  <c r="E782" i="35"/>
  <c r="O720" i="35"/>
  <c r="C784" i="35"/>
  <c r="C813" i="35"/>
  <c r="O781" i="35"/>
  <c r="O730" i="35"/>
  <c r="L752" i="35"/>
  <c r="L762" i="35" s="1"/>
  <c r="L782" i="35"/>
  <c r="D752" i="35"/>
  <c r="D762" i="35" s="1"/>
  <c r="D782" i="35"/>
  <c r="O750" i="35"/>
  <c r="C762" i="35"/>
  <c r="M782" i="35"/>
  <c r="M752" i="35"/>
  <c r="M762" i="35" s="1"/>
  <c r="Q61" i="63" l="1"/>
  <c r="D62" i="63" s="1"/>
  <c r="F62" i="63" s="1" a="1"/>
  <c r="F62" i="63" s="1"/>
  <c r="Q49" i="51"/>
  <c r="D50" i="51" s="1"/>
  <c r="N50" i="51" s="1" a="1"/>
  <c r="N50" i="51" s="1"/>
  <c r="F62" i="62" a="1"/>
  <c r="F62" i="62" s="1"/>
  <c r="E62" i="62" a="1"/>
  <c r="E62" i="62" s="1"/>
  <c r="N62" i="62" a="1"/>
  <c r="N62" i="62" s="1"/>
  <c r="I62" i="62" a="1"/>
  <c r="I62" i="62" s="1"/>
  <c r="G58" i="47"/>
  <c r="I58" i="47" s="1"/>
  <c r="J58" i="47" s="1"/>
  <c r="C58" i="55"/>
  <c r="D57" i="55"/>
  <c r="E57" i="55"/>
  <c r="H701" i="35"/>
  <c r="F62" i="41"/>
  <c r="G62" i="41" s="1"/>
  <c r="H62" i="41" s="1"/>
  <c r="G63" i="40"/>
  <c r="H63" i="40" s="1"/>
  <c r="C701" i="35"/>
  <c r="G701" i="35"/>
  <c r="D701" i="35"/>
  <c r="M701" i="35"/>
  <c r="E701" i="35"/>
  <c r="K701" i="35"/>
  <c r="L701" i="35"/>
  <c r="J701" i="35"/>
  <c r="I701" i="35"/>
  <c r="N701" i="35"/>
  <c r="F701" i="35"/>
  <c r="O669" i="35"/>
  <c r="F712" i="35"/>
  <c r="F714" i="35" s="1"/>
  <c r="N712" i="35"/>
  <c r="N714" i="35" s="1"/>
  <c r="G712" i="35"/>
  <c r="G714" i="35" s="1"/>
  <c r="C712" i="35"/>
  <c r="C714" i="35" s="1"/>
  <c r="H712" i="35"/>
  <c r="H714" i="35" s="1"/>
  <c r="I712" i="35"/>
  <c r="I714" i="35" s="1"/>
  <c r="J712" i="35"/>
  <c r="J714" i="35" s="1"/>
  <c r="D712" i="35"/>
  <c r="D714" i="35" s="1"/>
  <c r="L712" i="35"/>
  <c r="L714" i="35" s="1"/>
  <c r="E712" i="35"/>
  <c r="E714" i="35" s="1"/>
  <c r="M712" i="35"/>
  <c r="M714" i="35" s="1"/>
  <c r="K712" i="35"/>
  <c r="K714" i="35" s="1"/>
  <c r="G20" i="43"/>
  <c r="O682" i="35"/>
  <c r="N670" i="35"/>
  <c r="I731" i="35"/>
  <c r="H731" i="35"/>
  <c r="G731" i="35"/>
  <c r="N731" i="35"/>
  <c r="F731" i="35"/>
  <c r="M731" i="35"/>
  <c r="E731" i="35"/>
  <c r="L731" i="35"/>
  <c r="D731" i="35"/>
  <c r="K731" i="35"/>
  <c r="C731" i="35"/>
  <c r="J731" i="35"/>
  <c r="O699" i="35"/>
  <c r="O752" i="35"/>
  <c r="O762" i="35"/>
  <c r="C794" i="35"/>
  <c r="L784" i="35"/>
  <c r="L794" i="35" s="1"/>
  <c r="L814" i="35"/>
  <c r="E784" i="35"/>
  <c r="E794" i="35" s="1"/>
  <c r="E814" i="35"/>
  <c r="C816" i="35"/>
  <c r="C845" i="35"/>
  <c r="O813" i="35"/>
  <c r="D784" i="35"/>
  <c r="D794" i="35" s="1"/>
  <c r="D814" i="35"/>
  <c r="O782" i="35"/>
  <c r="M784" i="35"/>
  <c r="M794" i="35" s="1"/>
  <c r="M814" i="35"/>
  <c r="K62" i="63" l="1" a="1"/>
  <c r="K62" i="63" s="1"/>
  <c r="I62" i="63" a="1"/>
  <c r="I62" i="63" s="1"/>
  <c r="N62" i="63" a="1"/>
  <c r="N62" i="63" s="1"/>
  <c r="E62" i="63" a="1"/>
  <c r="E62" i="63" s="1"/>
  <c r="K50" i="51" a="1"/>
  <c r="K50" i="51" s="1"/>
  <c r="I50" i="51" a="1"/>
  <c r="I50" i="51" s="1"/>
  <c r="F50" i="51" a="1"/>
  <c r="F50" i="51" s="1"/>
  <c r="E50" i="51" a="1"/>
  <c r="E50" i="51" s="1"/>
  <c r="Q62" i="62"/>
  <c r="D63" i="62" s="1"/>
  <c r="I63" i="62" s="1" a="1"/>
  <c r="I63" i="62" s="1"/>
  <c r="G59" i="47"/>
  <c r="I59" i="47" s="1"/>
  <c r="J59" i="47" s="1"/>
  <c r="C59" i="55"/>
  <c r="D58" i="55"/>
  <c r="E58" i="55" s="1"/>
  <c r="F58" i="55" s="1"/>
  <c r="G58" i="55" s="1"/>
  <c r="R75" i="51" s="1"/>
  <c r="F57" i="55"/>
  <c r="G57" i="55" s="1"/>
  <c r="R74" i="51" s="1"/>
  <c r="F63" i="41"/>
  <c r="G63" i="41" s="1"/>
  <c r="H63" i="41" s="1"/>
  <c r="G64" i="40"/>
  <c r="H64" i="40" s="1"/>
  <c r="J733" i="35"/>
  <c r="I733" i="35"/>
  <c r="H733" i="35"/>
  <c r="K733" i="35"/>
  <c r="D733" i="35"/>
  <c r="O701" i="35"/>
  <c r="C733" i="35"/>
  <c r="M733" i="35"/>
  <c r="G733" i="35"/>
  <c r="E733" i="35"/>
  <c r="N733" i="35"/>
  <c r="L733" i="35"/>
  <c r="F733" i="35"/>
  <c r="O714" i="35"/>
  <c r="J744" i="35"/>
  <c r="J746" i="35" s="1"/>
  <c r="K744" i="35"/>
  <c r="K746" i="35" s="1"/>
  <c r="D744" i="35"/>
  <c r="D746" i="35" s="1"/>
  <c r="L744" i="35"/>
  <c r="L746" i="35" s="1"/>
  <c r="E744" i="35"/>
  <c r="E746" i="35" s="1"/>
  <c r="E765" i="35" s="1"/>
  <c r="M744" i="35"/>
  <c r="M746" i="35" s="1"/>
  <c r="F744" i="35"/>
  <c r="F746" i="35" s="1"/>
  <c r="N744" i="35"/>
  <c r="N746" i="35" s="1"/>
  <c r="H744" i="35"/>
  <c r="H746" i="35" s="1"/>
  <c r="I744" i="35"/>
  <c r="I746" i="35" s="1"/>
  <c r="G744" i="35"/>
  <c r="G746" i="35" s="1"/>
  <c r="C744" i="35"/>
  <c r="C746" i="35" s="1"/>
  <c r="G21" i="43"/>
  <c r="G763" i="35"/>
  <c r="N763" i="35"/>
  <c r="F763" i="35"/>
  <c r="M763" i="35"/>
  <c r="E763" i="35"/>
  <c r="L763" i="35"/>
  <c r="D763" i="35"/>
  <c r="K763" i="35"/>
  <c r="C763" i="35"/>
  <c r="I763" i="35"/>
  <c r="H763" i="35"/>
  <c r="J763" i="35"/>
  <c r="O731" i="35"/>
  <c r="N702" i="35"/>
  <c r="M846" i="35"/>
  <c r="M848" i="35" s="1"/>
  <c r="M858" i="35" s="1"/>
  <c r="M816" i="35"/>
  <c r="M826" i="35" s="1"/>
  <c r="L816" i="35"/>
  <c r="L826" i="35" s="1"/>
  <c r="L846" i="35"/>
  <c r="L848" i="35" s="1"/>
  <c r="L858" i="35" s="1"/>
  <c r="O784" i="35"/>
  <c r="E816" i="35"/>
  <c r="E826" i="35" s="1"/>
  <c r="E846" i="35"/>
  <c r="E848" i="35" s="1"/>
  <c r="E858" i="35" s="1"/>
  <c r="O794" i="35"/>
  <c r="C848" i="35"/>
  <c r="O845" i="35"/>
  <c r="D816" i="35"/>
  <c r="D826" i="35" s="1"/>
  <c r="D846" i="35"/>
  <c r="O814" i="35"/>
  <c r="C826" i="35"/>
  <c r="Q62" i="63" l="1"/>
  <c r="D63" i="63" s="1"/>
  <c r="E63" i="63" s="1" a="1"/>
  <c r="E63" i="63" s="1"/>
  <c r="Q50" i="51"/>
  <c r="D51" i="51" s="1"/>
  <c r="N51" i="51" s="1" a="1"/>
  <c r="N51" i="51" s="1"/>
  <c r="K63" i="62" a="1"/>
  <c r="K63" i="62" s="1"/>
  <c r="F63" i="62" a="1"/>
  <c r="F63" i="62" s="1"/>
  <c r="E63" i="62" a="1"/>
  <c r="E63" i="62" s="1"/>
  <c r="N63" i="62" a="1"/>
  <c r="N63" i="62" s="1"/>
  <c r="G60" i="47"/>
  <c r="I60" i="47" s="1"/>
  <c r="J60" i="47" s="1"/>
  <c r="C60" i="55"/>
  <c r="D59" i="55"/>
  <c r="E59" i="55" s="1"/>
  <c r="I765" i="35"/>
  <c r="F64" i="41"/>
  <c r="G64" i="41" s="1"/>
  <c r="H64" i="41" s="1"/>
  <c r="G65" i="40"/>
  <c r="H65" i="40" s="1"/>
  <c r="M765" i="35"/>
  <c r="C765" i="35"/>
  <c r="G765" i="35"/>
  <c r="L765" i="35"/>
  <c r="D765" i="35"/>
  <c r="K765" i="35"/>
  <c r="H765" i="35"/>
  <c r="J765" i="35"/>
  <c r="N765" i="35"/>
  <c r="F765" i="35"/>
  <c r="O733" i="35"/>
  <c r="F776" i="35"/>
  <c r="F778" i="35" s="1"/>
  <c r="N776" i="35"/>
  <c r="N778" i="35" s="1"/>
  <c r="G776" i="35"/>
  <c r="G778" i="35" s="1"/>
  <c r="C776" i="35"/>
  <c r="C778" i="35" s="1"/>
  <c r="H776" i="35"/>
  <c r="H778" i="35" s="1"/>
  <c r="I776" i="35"/>
  <c r="I778" i="35" s="1"/>
  <c r="K776" i="35"/>
  <c r="K778" i="35" s="1"/>
  <c r="J776" i="35"/>
  <c r="J778" i="35" s="1"/>
  <c r="D776" i="35"/>
  <c r="D778" i="35" s="1"/>
  <c r="L776" i="35"/>
  <c r="L778" i="35" s="1"/>
  <c r="E776" i="35"/>
  <c r="E778" i="35" s="1"/>
  <c r="M776" i="35"/>
  <c r="M778" i="35" s="1"/>
  <c r="G22" i="43"/>
  <c r="O746" i="35"/>
  <c r="N734" i="35"/>
  <c r="G795" i="35"/>
  <c r="N795" i="35"/>
  <c r="F795" i="35"/>
  <c r="M795" i="35"/>
  <c r="E795" i="35"/>
  <c r="L795" i="35"/>
  <c r="D795" i="35"/>
  <c r="K795" i="35"/>
  <c r="C795" i="35"/>
  <c r="J795" i="35"/>
  <c r="I795" i="35"/>
  <c r="H795" i="35"/>
  <c r="O763" i="35"/>
  <c r="O816" i="35"/>
  <c r="D848" i="35"/>
  <c r="D858" i="35" s="1"/>
  <c r="O846" i="35"/>
  <c r="C858" i="35"/>
  <c r="O826" i="35"/>
  <c r="K63" i="63" l="1" a="1"/>
  <c r="K63" i="63" s="1"/>
  <c r="F63" i="63" a="1"/>
  <c r="F63" i="63" s="1"/>
  <c r="I63" i="63" a="1"/>
  <c r="I63" i="63" s="1"/>
  <c r="N63" i="63" a="1"/>
  <c r="N63" i="63" s="1"/>
  <c r="I51" i="51" a="1"/>
  <c r="I51" i="51" s="1"/>
  <c r="E51" i="51" a="1"/>
  <c r="E51" i="51" s="1"/>
  <c r="K51" i="51" a="1"/>
  <c r="K51" i="51" s="1"/>
  <c r="F51" i="51" a="1"/>
  <c r="F51" i="51" s="1"/>
  <c r="Q63" i="62"/>
  <c r="D64" i="62" s="1"/>
  <c r="I64" i="62" s="1" a="1"/>
  <c r="I64" i="62" s="1"/>
  <c r="G61" i="47"/>
  <c r="I61" i="47" s="1"/>
  <c r="J61" i="47" s="1"/>
  <c r="C61" i="55"/>
  <c r="D60" i="55"/>
  <c r="E60" i="55" s="1"/>
  <c r="F59" i="55"/>
  <c r="G59" i="55"/>
  <c r="R76" i="51" s="1"/>
  <c r="F65" i="41"/>
  <c r="G65" i="41" s="1"/>
  <c r="H65" i="41" s="1"/>
  <c r="G66" i="40"/>
  <c r="H66" i="40" s="1"/>
  <c r="M797" i="35"/>
  <c r="J797" i="35"/>
  <c r="O765" i="35"/>
  <c r="I797" i="35"/>
  <c r="H797" i="35"/>
  <c r="C797" i="35"/>
  <c r="K797" i="35"/>
  <c r="E797" i="35"/>
  <c r="G797" i="35"/>
  <c r="L797" i="35"/>
  <c r="N797" i="35"/>
  <c r="D797" i="35"/>
  <c r="F797" i="35"/>
  <c r="O778" i="35"/>
  <c r="G23" i="43"/>
  <c r="G808" i="35"/>
  <c r="G810" i="35" s="1"/>
  <c r="C808" i="35"/>
  <c r="C810" i="35" s="1"/>
  <c r="H808" i="35"/>
  <c r="H810" i="35" s="1"/>
  <c r="I808" i="35"/>
  <c r="I810" i="35" s="1"/>
  <c r="J808" i="35"/>
  <c r="J810" i="35" s="1"/>
  <c r="K808" i="35"/>
  <c r="K810" i="35" s="1"/>
  <c r="E808" i="35"/>
  <c r="E810" i="35" s="1"/>
  <c r="M808" i="35"/>
  <c r="M810" i="35" s="1"/>
  <c r="F808" i="35"/>
  <c r="F810" i="35" s="1"/>
  <c r="N808" i="35"/>
  <c r="N810" i="35" s="1"/>
  <c r="D808" i="35"/>
  <c r="D810" i="35" s="1"/>
  <c r="L808" i="35"/>
  <c r="L810" i="35" s="1"/>
  <c r="J827" i="35"/>
  <c r="I827" i="35"/>
  <c r="H827" i="35"/>
  <c r="C827" i="35"/>
  <c r="G827" i="35"/>
  <c r="N827" i="35"/>
  <c r="F827" i="35"/>
  <c r="K827" i="35"/>
  <c r="M827" i="35"/>
  <c r="E827" i="35"/>
  <c r="L827" i="35"/>
  <c r="D827" i="35"/>
  <c r="O795" i="35"/>
  <c r="N766" i="35"/>
  <c r="O848" i="35"/>
  <c r="O858" i="35"/>
  <c r="Q63" i="63" l="1"/>
  <c r="D64" i="63" s="1"/>
  <c r="K64" i="63" s="1" a="1"/>
  <c r="K64" i="63" s="1"/>
  <c r="Q51" i="51"/>
  <c r="D52" i="51" s="1"/>
  <c r="E52" i="51" s="1" a="1"/>
  <c r="E52" i="51" s="1"/>
  <c r="N64" i="62" a="1"/>
  <c r="N64" i="62" s="1"/>
  <c r="F64" i="62" a="1"/>
  <c r="F64" i="62" s="1"/>
  <c r="E64" i="62" a="1"/>
  <c r="E64" i="62" s="1"/>
  <c r="K64" i="62" a="1"/>
  <c r="K64" i="62" s="1"/>
  <c r="G62" i="47"/>
  <c r="I62" i="47" s="1"/>
  <c r="J62" i="47" s="1"/>
  <c r="C62" i="55"/>
  <c r="D61" i="55"/>
  <c r="E61" i="55" s="1"/>
  <c r="F60" i="55"/>
  <c r="G60" i="55"/>
  <c r="R77" i="51" s="1"/>
  <c r="M829" i="35"/>
  <c r="F66" i="41"/>
  <c r="G66" i="41" s="1"/>
  <c r="H66" i="41" s="1"/>
  <c r="G67" i="40"/>
  <c r="H67" i="40" s="1"/>
  <c r="L829" i="35"/>
  <c r="I829" i="35"/>
  <c r="J829" i="35"/>
  <c r="D829" i="35"/>
  <c r="H829" i="35"/>
  <c r="C829" i="35"/>
  <c r="G829" i="35"/>
  <c r="N829" i="35"/>
  <c r="E829" i="35"/>
  <c r="F829" i="35"/>
  <c r="K829" i="35"/>
  <c r="O797" i="35"/>
  <c r="O810" i="35"/>
  <c r="G24" i="43"/>
  <c r="K840" i="35"/>
  <c r="K842" i="35" s="1"/>
  <c r="D840" i="35"/>
  <c r="D842" i="35" s="1"/>
  <c r="L840" i="35"/>
  <c r="L842" i="35" s="1"/>
  <c r="E840" i="35"/>
  <c r="E842" i="35" s="1"/>
  <c r="M840" i="35"/>
  <c r="M842" i="35" s="1"/>
  <c r="F840" i="35"/>
  <c r="F842" i="35" s="1"/>
  <c r="N840" i="35"/>
  <c r="N842" i="35" s="1"/>
  <c r="G840" i="35"/>
  <c r="G842" i="35" s="1"/>
  <c r="C840" i="35"/>
  <c r="C842" i="35" s="1"/>
  <c r="I840" i="35"/>
  <c r="I842" i="35" s="1"/>
  <c r="J840" i="35"/>
  <c r="J842" i="35" s="1"/>
  <c r="H840" i="35"/>
  <c r="H842" i="35" s="1"/>
  <c r="N798" i="35"/>
  <c r="N830" i="35" s="1"/>
  <c r="K859" i="35"/>
  <c r="C859" i="35"/>
  <c r="J859" i="35"/>
  <c r="I859" i="35"/>
  <c r="H859" i="35"/>
  <c r="G859" i="35"/>
  <c r="M859" i="35"/>
  <c r="E859" i="35"/>
  <c r="D859" i="35"/>
  <c r="N859" i="35"/>
  <c r="F859" i="35"/>
  <c r="L859" i="35"/>
  <c r="O827" i="35"/>
  <c r="F64" i="63" l="1" a="1"/>
  <c r="F64" i="63" s="1"/>
  <c r="I64" i="63" a="1"/>
  <c r="I64" i="63" s="1"/>
  <c r="N64" i="63" a="1"/>
  <c r="N64" i="63" s="1"/>
  <c r="E64" i="63" a="1"/>
  <c r="E64" i="63" s="1"/>
  <c r="K52" i="51" a="1"/>
  <c r="K52" i="51" s="1"/>
  <c r="N52" i="51" a="1"/>
  <c r="N52" i="51" s="1"/>
  <c r="F52" i="51" a="1"/>
  <c r="F52" i="51" s="1"/>
  <c r="I52" i="51" a="1"/>
  <c r="I52" i="51" s="1"/>
  <c r="Q64" i="62"/>
  <c r="D65" i="62" s="1"/>
  <c r="N65" i="62" s="1" a="1"/>
  <c r="N65" i="62" s="1"/>
  <c r="C861" i="35"/>
  <c r="G63" i="47"/>
  <c r="I63" i="47" s="1"/>
  <c r="J63" i="47" s="1"/>
  <c r="C63" i="55"/>
  <c r="D63" i="55" s="1"/>
  <c r="E63" i="55" s="1"/>
  <c r="D62" i="55"/>
  <c r="E62" i="55"/>
  <c r="F61" i="55"/>
  <c r="G61" i="55" s="1"/>
  <c r="R78" i="51" s="1"/>
  <c r="L1" i="43"/>
  <c r="K861" i="35"/>
  <c r="G861" i="35"/>
  <c r="F67" i="41"/>
  <c r="G67" i="41" s="1"/>
  <c r="H67" i="41" s="1"/>
  <c r="G68" i="40"/>
  <c r="H68" i="40" s="1"/>
  <c r="N861" i="35"/>
  <c r="M861" i="35"/>
  <c r="F861" i="35"/>
  <c r="E861" i="35"/>
  <c r="H861" i="35"/>
  <c r="J861" i="35"/>
  <c r="L861" i="35"/>
  <c r="I861" i="35"/>
  <c r="D861" i="35"/>
  <c r="O829" i="35"/>
  <c r="O842" i="35"/>
  <c r="O859" i="35"/>
  <c r="Q64" i="63" l="1"/>
  <c r="D65" i="63" s="1"/>
  <c r="K65" i="63" s="1" a="1"/>
  <c r="K65" i="63" s="1"/>
  <c r="Q52" i="51"/>
  <c r="D53" i="51" s="1"/>
  <c r="N53" i="51" s="1" a="1"/>
  <c r="N53" i="51" s="1"/>
  <c r="F65" i="62" a="1"/>
  <c r="F65" i="62" s="1"/>
  <c r="K65" i="62" a="1"/>
  <c r="K65" i="62" s="1"/>
  <c r="I65" i="62" a="1"/>
  <c r="I65" i="62" s="1"/>
  <c r="E65" i="62" a="1"/>
  <c r="E65" i="62" s="1"/>
  <c r="I8" i="4"/>
  <c r="I9" i="4" s="1"/>
  <c r="G64" i="47"/>
  <c r="I64" i="47" s="1"/>
  <c r="C64" i="55"/>
  <c r="F63" i="55"/>
  <c r="G63" i="55"/>
  <c r="R80" i="51" s="1"/>
  <c r="F62" i="55"/>
  <c r="G62" i="55"/>
  <c r="R79" i="51" s="1"/>
  <c r="J64" i="47"/>
  <c r="F68" i="41"/>
  <c r="G68" i="41" s="1"/>
  <c r="H68" i="41" s="1"/>
  <c r="G69" i="40"/>
  <c r="H69" i="40" s="1"/>
  <c r="O861" i="35"/>
  <c r="N862" i="35"/>
  <c r="N65" i="63" l="1" a="1"/>
  <c r="N65" i="63" s="1"/>
  <c r="I65" i="63" a="1"/>
  <c r="I65" i="63" s="1"/>
  <c r="E65" i="63" a="1"/>
  <c r="E65" i="63" s="1"/>
  <c r="F65" i="63" a="1"/>
  <c r="F65" i="63" s="1"/>
  <c r="K53" i="51" a="1"/>
  <c r="K53" i="51" s="1"/>
  <c r="F53" i="51" a="1"/>
  <c r="F53" i="51" s="1"/>
  <c r="I53" i="51" a="1"/>
  <c r="I53" i="51" s="1"/>
  <c r="E53" i="51" a="1"/>
  <c r="E53" i="51" s="1"/>
  <c r="Q65" i="62"/>
  <c r="D66" i="62" s="1"/>
  <c r="K66" i="62" s="1" a="1"/>
  <c r="K66" i="62" s="1"/>
  <c r="F7" i="57"/>
  <c r="M4" i="4"/>
  <c r="D64" i="55"/>
  <c r="E64" i="55" s="1"/>
  <c r="F64" i="55" s="1"/>
  <c r="G64" i="55" s="1"/>
  <c r="R81" i="51" s="1"/>
  <c r="N1" i="47"/>
  <c r="M5" i="4" s="1"/>
  <c r="F69" i="41"/>
  <c r="G69" i="41" s="1"/>
  <c r="H69" i="41" s="1"/>
  <c r="G70" i="40"/>
  <c r="H70" i="40" s="1"/>
  <c r="Q65" i="63" l="1"/>
  <c r="D66" i="63" s="1"/>
  <c r="N66" i="63" s="1" a="1"/>
  <c r="N66" i="63" s="1"/>
  <c r="Q53" i="51"/>
  <c r="D54" i="51" s="1"/>
  <c r="E54" i="51" s="1" a="1"/>
  <c r="E54" i="51" s="1"/>
  <c r="E66" i="62" a="1"/>
  <c r="E66" i="62" s="1"/>
  <c r="F66" i="62" a="1"/>
  <c r="F66" i="62" s="1"/>
  <c r="I66" i="62" a="1"/>
  <c r="I66" i="62" s="1"/>
  <c r="N66" i="62" a="1"/>
  <c r="N66" i="62" s="1"/>
  <c r="M6" i="4"/>
  <c r="M7" i="4" s="1"/>
  <c r="F70" i="41"/>
  <c r="G70" i="41" s="1"/>
  <c r="H70" i="41" s="1"/>
  <c r="G71" i="40"/>
  <c r="H71" i="40" s="1"/>
  <c r="E66" i="63" l="1" a="1"/>
  <c r="E66" i="63" s="1"/>
  <c r="I66" i="63" a="1"/>
  <c r="I66" i="63" s="1"/>
  <c r="K66" i="63" a="1"/>
  <c r="K66" i="63" s="1"/>
  <c r="F66" i="63" a="1"/>
  <c r="F66" i="63" s="1"/>
  <c r="N54" i="51" a="1"/>
  <c r="N54" i="51" s="1"/>
  <c r="F54" i="51" a="1"/>
  <c r="F54" i="51" s="1"/>
  <c r="K54" i="51" a="1"/>
  <c r="K54" i="51" s="1"/>
  <c r="I54" i="51" a="1"/>
  <c r="I54" i="51" s="1"/>
  <c r="Q66" i="62"/>
  <c r="D67" i="62" s="1"/>
  <c r="I67" i="62" s="1" a="1"/>
  <c r="I67" i="62" s="1"/>
  <c r="F71" i="41"/>
  <c r="G71" i="41" s="1"/>
  <c r="H71" i="41" s="1"/>
  <c r="G72" i="40"/>
  <c r="H72" i="40" s="1"/>
  <c r="Q66" i="63" l="1"/>
  <c r="D67" i="63" s="1"/>
  <c r="I67" i="63" s="1" a="1"/>
  <c r="I67" i="63" s="1"/>
  <c r="Q54" i="51"/>
  <c r="D55" i="51" s="1"/>
  <c r="F55" i="51" s="1" a="1"/>
  <c r="F55" i="51" s="1"/>
  <c r="F67" i="62" a="1"/>
  <c r="F67" i="62" s="1"/>
  <c r="E67" i="62" a="1"/>
  <c r="E67" i="62" s="1"/>
  <c r="K67" i="62" a="1"/>
  <c r="K67" i="62" s="1"/>
  <c r="N67" i="62" a="1"/>
  <c r="N67" i="62" s="1"/>
  <c r="F72" i="41"/>
  <c r="G72" i="41" s="1"/>
  <c r="H72" i="41" s="1"/>
  <c r="G73" i="40"/>
  <c r="H73" i="40" s="1"/>
  <c r="N67" i="63" l="1" a="1"/>
  <c r="N67" i="63" s="1"/>
  <c r="F67" i="63" a="1"/>
  <c r="F67" i="63" s="1"/>
  <c r="E67" i="63" a="1"/>
  <c r="E67" i="63" s="1"/>
  <c r="K67" i="63" a="1"/>
  <c r="K67" i="63" s="1"/>
  <c r="E55" i="51" a="1"/>
  <c r="E55" i="51" s="1"/>
  <c r="K55" i="51" a="1"/>
  <c r="K55" i="51" s="1"/>
  <c r="N55" i="51" a="1"/>
  <c r="N55" i="51" s="1"/>
  <c r="I55" i="51" a="1"/>
  <c r="I55" i="51" s="1"/>
  <c r="Q67" i="62"/>
  <c r="D68" i="62" s="1"/>
  <c r="E68" i="62" s="1" a="1"/>
  <c r="E68" i="62" s="1"/>
  <c r="F73" i="41"/>
  <c r="G73" i="41" s="1"/>
  <c r="H73" i="41" s="1"/>
  <c r="Q67" i="63" l="1"/>
  <c r="D68" i="63" s="1"/>
  <c r="E68" i="63" s="1" a="1"/>
  <c r="E68" i="63" s="1"/>
  <c r="Q55" i="51"/>
  <c r="D56" i="51" s="1"/>
  <c r="N56" i="51" s="1" a="1"/>
  <c r="N56" i="51" s="1"/>
  <c r="I68" i="62" a="1"/>
  <c r="I68" i="62" s="1"/>
  <c r="N68" i="62" a="1"/>
  <c r="N68" i="62" s="1"/>
  <c r="F68" i="62" a="1"/>
  <c r="F68" i="62" s="1"/>
  <c r="K68" i="62" a="1"/>
  <c r="K68" i="62" s="1"/>
  <c r="F74" i="41"/>
  <c r="G74" i="41" s="1"/>
  <c r="H74" i="41" s="1"/>
  <c r="N68" i="63" l="1" a="1"/>
  <c r="N68" i="63" s="1"/>
  <c r="I68" i="63" a="1"/>
  <c r="I68" i="63" s="1"/>
  <c r="F68" i="63" a="1"/>
  <c r="F68" i="63" s="1"/>
  <c r="K68" i="63" a="1"/>
  <c r="K68" i="63" s="1"/>
  <c r="F56" i="51" a="1"/>
  <c r="F56" i="51" s="1"/>
  <c r="I56" i="51" a="1"/>
  <c r="I56" i="51" s="1"/>
  <c r="K56" i="51" a="1"/>
  <c r="K56" i="51" s="1"/>
  <c r="E56" i="51" a="1"/>
  <c r="E56" i="51" s="1"/>
  <c r="Q68" i="62"/>
  <c r="D69" i="62" s="1"/>
  <c r="E69" i="62" s="1" a="1"/>
  <c r="E69" i="62" s="1"/>
  <c r="F75" i="41"/>
  <c r="G75" i="41" s="1"/>
  <c r="H75" i="41"/>
  <c r="Q68" i="63" l="1"/>
  <c r="D69" i="63" s="1"/>
  <c r="K69" i="63" s="1" a="1"/>
  <c r="K69" i="63" s="1"/>
  <c r="Q56" i="51"/>
  <c r="D57" i="51" s="1"/>
  <c r="K57" i="51" s="1" a="1"/>
  <c r="K57" i="51" s="1"/>
  <c r="N69" i="62" a="1"/>
  <c r="N69" i="62" s="1"/>
  <c r="I69" i="62" a="1"/>
  <c r="I69" i="62" s="1"/>
  <c r="F69" i="62" a="1"/>
  <c r="F69" i="62" s="1"/>
  <c r="K69" i="62" a="1"/>
  <c r="K69" i="62" s="1"/>
  <c r="F76" i="41"/>
  <c r="G76" i="41" s="1"/>
  <c r="H76" i="41" s="1"/>
  <c r="I69" i="63" l="1" a="1"/>
  <c r="I69" i="63" s="1"/>
  <c r="E69" i="63" a="1"/>
  <c r="E69" i="63" s="1"/>
  <c r="N69" i="63" a="1"/>
  <c r="N69" i="63" s="1"/>
  <c r="F69" i="63" a="1"/>
  <c r="F69" i="63" s="1"/>
  <c r="N57" i="51" a="1"/>
  <c r="N57" i="51" s="1"/>
  <c r="F57" i="51" a="1"/>
  <c r="F57" i="51" s="1"/>
  <c r="E57" i="51" a="1"/>
  <c r="E57" i="51" s="1"/>
  <c r="I57" i="51" a="1"/>
  <c r="I57" i="51" s="1"/>
  <c r="Q69" i="62"/>
  <c r="D70" i="62" s="1"/>
  <c r="F70" i="62" s="1" a="1"/>
  <c r="F70" i="62" s="1"/>
  <c r="F77" i="41"/>
  <c r="G77" i="41" s="1"/>
  <c r="H77" i="41" s="1"/>
  <c r="Q69" i="63" l="1"/>
  <c r="D70" i="63" s="1"/>
  <c r="F70" i="63" s="1" a="1"/>
  <c r="F70" i="63" s="1"/>
  <c r="Q57" i="51"/>
  <c r="D58" i="51" s="1"/>
  <c r="F58" i="51" s="1" a="1"/>
  <c r="F58" i="51" s="1"/>
  <c r="E70" i="62" a="1"/>
  <c r="E70" i="62" s="1"/>
  <c r="K70" i="62" a="1"/>
  <c r="K70" i="62" s="1"/>
  <c r="N70" i="62" a="1"/>
  <c r="N70" i="62" s="1"/>
  <c r="I70" i="62" a="1"/>
  <c r="I70" i="62" s="1"/>
  <c r="F78" i="41"/>
  <c r="G78" i="41" s="1"/>
  <c r="H78" i="41" s="1"/>
  <c r="N70" i="63" l="1" a="1"/>
  <c r="N70" i="63" s="1"/>
  <c r="K70" i="63" a="1"/>
  <c r="K70" i="63" s="1"/>
  <c r="E70" i="63" a="1"/>
  <c r="E70" i="63" s="1"/>
  <c r="I70" i="63" a="1"/>
  <c r="I70" i="63" s="1"/>
  <c r="I58" i="51" a="1"/>
  <c r="I58" i="51" s="1"/>
  <c r="E58" i="51" a="1"/>
  <c r="E58" i="51" s="1"/>
  <c r="K58" i="51" a="1"/>
  <c r="K58" i="51" s="1"/>
  <c r="N58" i="51" a="1"/>
  <c r="N58" i="51" s="1"/>
  <c r="Q70" i="62"/>
  <c r="D71" i="62" s="1"/>
  <c r="I71" i="62" s="1" a="1"/>
  <c r="I71" i="62" s="1"/>
  <c r="F79" i="41"/>
  <c r="G79" i="41" s="1"/>
  <c r="H79" i="41" s="1"/>
  <c r="Q70" i="63" l="1"/>
  <c r="D71" i="63" s="1"/>
  <c r="N71" i="63" s="1" a="1"/>
  <c r="N71" i="63" s="1"/>
  <c r="Q58" i="51"/>
  <c r="D59" i="51" s="1"/>
  <c r="F71" i="63" a="1"/>
  <c r="F71" i="63" s="1"/>
  <c r="I71" i="63" a="1"/>
  <c r="I71" i="63" s="1"/>
  <c r="N59" i="51" a="1"/>
  <c r="N59" i="51" s="1"/>
  <c r="K59" i="51" a="1"/>
  <c r="K59" i="51" s="1"/>
  <c r="F59" i="51" a="1"/>
  <c r="F59" i="51" s="1"/>
  <c r="E59" i="51" a="1"/>
  <c r="E59" i="51" s="1"/>
  <c r="I59" i="51" a="1"/>
  <c r="I59" i="51" s="1"/>
  <c r="E71" i="62" a="1"/>
  <c r="E71" i="62" s="1"/>
  <c r="N71" i="62" a="1"/>
  <c r="N71" i="62" s="1"/>
  <c r="F71" i="62" a="1"/>
  <c r="F71" i="62" s="1"/>
  <c r="K71" i="62" a="1"/>
  <c r="K71" i="62" s="1"/>
  <c r="F80" i="41"/>
  <c r="G80" i="41" s="1"/>
  <c r="H80" i="41" s="1"/>
  <c r="K71" i="63" l="1" a="1"/>
  <c r="K71" i="63" s="1"/>
  <c r="E71" i="63" a="1"/>
  <c r="E71" i="63" s="1"/>
  <c r="Q71" i="63" s="1"/>
  <c r="D72" i="63" s="1"/>
  <c r="Q59" i="51"/>
  <c r="D60" i="51" s="1"/>
  <c r="F60" i="51" s="1" a="1"/>
  <c r="F60" i="51" s="1"/>
  <c r="Q71" i="62"/>
  <c r="D72" i="62" s="1"/>
  <c r="N72" i="62" s="1" a="1"/>
  <c r="N72" i="62" s="1"/>
  <c r="F81" i="41"/>
  <c r="G81" i="41" s="1"/>
  <c r="H81" i="41" s="1"/>
  <c r="I72" i="63" l="1" a="1"/>
  <c r="I72" i="63" s="1"/>
  <c r="K72" i="63" a="1"/>
  <c r="K72" i="63" s="1"/>
  <c r="N72" i="63" a="1"/>
  <c r="N72" i="63" s="1"/>
  <c r="E72" i="63" a="1"/>
  <c r="E72" i="63" s="1"/>
  <c r="F72" i="63" a="1"/>
  <c r="F72" i="63" s="1"/>
  <c r="N60" i="51" a="1"/>
  <c r="N60" i="51" s="1"/>
  <c r="I60" i="51" a="1"/>
  <c r="I60" i="51" s="1"/>
  <c r="K60" i="51" a="1"/>
  <c r="K60" i="51" s="1"/>
  <c r="E60" i="51" a="1"/>
  <c r="E60" i="51" s="1"/>
  <c r="F72" i="62" a="1"/>
  <c r="F72" i="62" s="1"/>
  <c r="I72" i="62" a="1"/>
  <c r="I72" i="62" s="1"/>
  <c r="K72" i="62" a="1"/>
  <c r="K72" i="62" s="1"/>
  <c r="E72" i="62" a="1"/>
  <c r="E72" i="62" s="1"/>
  <c r="F82" i="41"/>
  <c r="G82" i="41" s="1"/>
  <c r="H82" i="41" s="1"/>
  <c r="Q72" i="63" l="1"/>
  <c r="D73" i="63" s="1"/>
  <c r="F73" i="63" s="1" a="1"/>
  <c r="F73" i="63" s="1"/>
  <c r="Q60" i="51"/>
  <c r="D61" i="51" s="1"/>
  <c r="I61" i="51" s="1" a="1"/>
  <c r="I61" i="51" s="1"/>
  <c r="N73" i="63" a="1"/>
  <c r="N73" i="63" s="1"/>
  <c r="I73" i="63" a="1"/>
  <c r="I73" i="63" s="1"/>
  <c r="Q72" i="62"/>
  <c r="D73" i="62" s="1"/>
  <c r="E73" i="62" s="1" a="1"/>
  <c r="E73" i="62" s="1"/>
  <c r="F83" i="41"/>
  <c r="G83" i="41" s="1"/>
  <c r="H83" i="41"/>
  <c r="E73" i="63" l="1" a="1"/>
  <c r="E73" i="63" s="1"/>
  <c r="K73" i="63" a="1"/>
  <c r="K73" i="63" s="1"/>
  <c r="K61" i="51" a="1"/>
  <c r="K61" i="51" s="1"/>
  <c r="F61" i="51" a="1"/>
  <c r="F61" i="51" s="1"/>
  <c r="N61" i="51" a="1"/>
  <c r="N61" i="51" s="1"/>
  <c r="E61" i="51" a="1"/>
  <c r="E61" i="51" s="1"/>
  <c r="Q73" i="63"/>
  <c r="D74" i="63" s="1"/>
  <c r="N74" i="63" s="1" a="1"/>
  <c r="N74" i="63" s="1"/>
  <c r="F73" i="62" a="1"/>
  <c r="F73" i="62" s="1"/>
  <c r="N73" i="62" a="1"/>
  <c r="N73" i="62" s="1"/>
  <c r="K73" i="62" a="1"/>
  <c r="K73" i="62" s="1"/>
  <c r="I73" i="62" a="1"/>
  <c r="I73" i="62" s="1"/>
  <c r="F84" i="41"/>
  <c r="G84" i="41" s="1"/>
  <c r="H84" i="41" s="1"/>
  <c r="Q61" i="51" l="1"/>
  <c r="D62" i="51" s="1"/>
  <c r="I74" i="63" a="1"/>
  <c r="I74" i="63" s="1"/>
  <c r="K74" i="63" a="1"/>
  <c r="K74" i="63" s="1"/>
  <c r="F74" i="63" a="1"/>
  <c r="F74" i="63" s="1"/>
  <c r="K62" i="51" a="1"/>
  <c r="K62" i="51" s="1"/>
  <c r="I62" i="51" a="1"/>
  <c r="I62" i="51" s="1"/>
  <c r="N62" i="51" a="1"/>
  <c r="N62" i="51" s="1"/>
  <c r="F62" i="51" a="1"/>
  <c r="F62" i="51" s="1"/>
  <c r="E62" i="51" a="1"/>
  <c r="E62" i="51" s="1"/>
  <c r="E74" i="63" a="1"/>
  <c r="E74" i="63" s="1"/>
  <c r="Q73" i="62"/>
  <c r="D74" i="62" s="1"/>
  <c r="F74" i="62" s="1" a="1"/>
  <c r="F74" i="62" s="1"/>
  <c r="F85" i="41"/>
  <c r="G85" i="41" s="1"/>
  <c r="H85" i="41" s="1"/>
  <c r="Q74" i="63" l="1"/>
  <c r="D75" i="63" s="1"/>
  <c r="K75" i="63" s="1" a="1"/>
  <c r="K75" i="63" s="1"/>
  <c r="Q62" i="51"/>
  <c r="D63" i="51" s="1"/>
  <c r="F63" i="51" s="1" a="1"/>
  <c r="F63" i="51" s="1"/>
  <c r="K74" i="62" a="1"/>
  <c r="K74" i="62" s="1"/>
  <c r="I74" i="62" a="1"/>
  <c r="I74" i="62" s="1"/>
  <c r="N74" i="62" a="1"/>
  <c r="N74" i="62" s="1"/>
  <c r="E74" i="62" a="1"/>
  <c r="E74" i="62" s="1"/>
  <c r="N63" i="51" a="1"/>
  <c r="N63" i="51" s="1"/>
  <c r="F86" i="41"/>
  <c r="G86" i="41" s="1"/>
  <c r="H86" i="41" s="1"/>
  <c r="E63" i="51" l="1" a="1"/>
  <c r="E63" i="51" s="1"/>
  <c r="K63" i="51" a="1"/>
  <c r="K63" i="51" s="1"/>
  <c r="I63" i="51" a="1"/>
  <c r="I63" i="51" s="1"/>
  <c r="Q63" i="51" s="1"/>
  <c r="D64" i="51" s="1"/>
  <c r="K64" i="51" s="1" a="1"/>
  <c r="K64" i="51" s="1"/>
  <c r="I75" i="63" a="1"/>
  <c r="I75" i="63" s="1"/>
  <c r="N75" i="63" a="1"/>
  <c r="N75" i="63" s="1"/>
  <c r="E75" i="63" a="1"/>
  <c r="E75" i="63" s="1"/>
  <c r="F75" i="63" a="1"/>
  <c r="F75" i="63" s="1"/>
  <c r="Q74" i="62"/>
  <c r="D75" i="62" s="1"/>
  <c r="K75" i="62" s="1" a="1"/>
  <c r="K75" i="62" s="1"/>
  <c r="F87" i="41"/>
  <c r="G87" i="41" s="1"/>
  <c r="H87" i="41" s="1"/>
  <c r="Q75" i="63" l="1"/>
  <c r="D76" i="63" s="1"/>
  <c r="E76" i="63" s="1" a="1"/>
  <c r="E76" i="63" s="1"/>
  <c r="I75" i="62" a="1"/>
  <c r="I75" i="62" s="1"/>
  <c r="F75" i="62" a="1"/>
  <c r="F75" i="62" s="1"/>
  <c r="E75" i="62" a="1"/>
  <c r="E75" i="62" s="1"/>
  <c r="N75" i="62" a="1"/>
  <c r="N75" i="62" s="1"/>
  <c r="N64" i="51" a="1"/>
  <c r="N64" i="51" s="1"/>
  <c r="I64" i="51" a="1"/>
  <c r="I64" i="51" s="1"/>
  <c r="E64" i="51" a="1"/>
  <c r="E64" i="51" s="1"/>
  <c r="F64" i="51" a="1"/>
  <c r="F64" i="51" s="1"/>
  <c r="F88" i="41"/>
  <c r="G88" i="41" s="1"/>
  <c r="H88" i="41" s="1"/>
  <c r="K76" i="63" l="1" a="1"/>
  <c r="K76" i="63" s="1"/>
  <c r="I76" i="63" a="1"/>
  <c r="I76" i="63" s="1"/>
  <c r="F76" i="63" a="1"/>
  <c r="F76" i="63" s="1"/>
  <c r="N76" i="63" a="1"/>
  <c r="N76" i="63" s="1"/>
  <c r="Q76" i="63" s="1"/>
  <c r="D77" i="63" s="1"/>
  <c r="Q75" i="62"/>
  <c r="D76" i="62" s="1"/>
  <c r="E76" i="62" s="1" a="1"/>
  <c r="E76" i="62" s="1"/>
  <c r="Q64" i="51"/>
  <c r="D65" i="51" s="1"/>
  <c r="N65" i="51" s="1" a="1"/>
  <c r="N65" i="51" s="1"/>
  <c r="F89" i="41"/>
  <c r="G89" i="41" s="1"/>
  <c r="H89" i="41" s="1"/>
  <c r="K77" i="63" l="1" a="1"/>
  <c r="K77" i="63" s="1"/>
  <c r="I77" i="63" a="1"/>
  <c r="I77" i="63" s="1"/>
  <c r="N77" i="63" a="1"/>
  <c r="N77" i="63" s="1"/>
  <c r="F77" i="63" a="1"/>
  <c r="F77" i="63" s="1"/>
  <c r="E77" i="63" a="1"/>
  <c r="E77" i="63" s="1"/>
  <c r="Q77" i="63" s="1"/>
  <c r="D78" i="63" s="1"/>
  <c r="F78" i="63" s="1" a="1"/>
  <c r="F78" i="63" s="1"/>
  <c r="N76" i="62" a="1"/>
  <c r="N76" i="62" s="1"/>
  <c r="I76" i="62" a="1"/>
  <c r="I76" i="62" s="1"/>
  <c r="F76" i="62" a="1"/>
  <c r="F76" i="62" s="1"/>
  <c r="K76" i="62" a="1"/>
  <c r="K76" i="62" s="1"/>
  <c r="F65" i="51" a="1"/>
  <c r="F65" i="51" s="1"/>
  <c r="I65" i="51" a="1"/>
  <c r="I65" i="51" s="1"/>
  <c r="E65" i="51" a="1"/>
  <c r="E65" i="51" s="1"/>
  <c r="K65" i="51" a="1"/>
  <c r="K65" i="51" s="1"/>
  <c r="F90" i="41"/>
  <c r="G90" i="41" s="1"/>
  <c r="H90" i="41" s="1"/>
  <c r="Q76" i="62" l="1"/>
  <c r="D77" i="62" s="1"/>
  <c r="K77" i="62" s="1" a="1"/>
  <c r="K77" i="62" s="1"/>
  <c r="E78" i="63" a="1"/>
  <c r="E78" i="63" s="1"/>
  <c r="K78" i="63" a="1"/>
  <c r="K78" i="63" s="1"/>
  <c r="N78" i="63" a="1"/>
  <c r="N78" i="63" s="1"/>
  <c r="I78" i="63" a="1"/>
  <c r="I78" i="63" s="1"/>
  <c r="Q65" i="51"/>
  <c r="D66" i="51" s="1"/>
  <c r="E66" i="51" s="1" a="1"/>
  <c r="E66" i="51" s="1"/>
  <c r="F91" i="41"/>
  <c r="G91" i="41" s="1"/>
  <c r="H91" i="41"/>
  <c r="N77" i="62" l="1" a="1"/>
  <c r="N77" i="62" s="1"/>
  <c r="E77" i="62" a="1"/>
  <c r="E77" i="62" s="1"/>
  <c r="I77" i="62" a="1"/>
  <c r="I77" i="62" s="1"/>
  <c r="F77" i="62" a="1"/>
  <c r="F77" i="62" s="1"/>
  <c r="Q78" i="63"/>
  <c r="D79" i="63" s="1"/>
  <c r="N79" i="63" s="1" a="1"/>
  <c r="N79" i="63" s="1"/>
  <c r="I66" i="51" a="1"/>
  <c r="I66" i="51" s="1"/>
  <c r="F66" i="51" a="1"/>
  <c r="F66" i="51" s="1"/>
  <c r="K66" i="51" a="1"/>
  <c r="K66" i="51" s="1"/>
  <c r="N66" i="51" a="1"/>
  <c r="N66" i="51" s="1"/>
  <c r="F92" i="41"/>
  <c r="G92" i="41" s="1"/>
  <c r="H92" i="41" s="1"/>
  <c r="Q77" i="62" l="1"/>
  <c r="D78" i="62" s="1"/>
  <c r="K78" i="62" s="1" a="1"/>
  <c r="K78" i="62" s="1"/>
  <c r="I79" i="63" a="1"/>
  <c r="I79" i="63" s="1"/>
  <c r="K79" i="63" a="1"/>
  <c r="K79" i="63" s="1"/>
  <c r="E79" i="63" a="1"/>
  <c r="E79" i="63" s="1"/>
  <c r="F79" i="63" a="1"/>
  <c r="F79" i="63" s="1"/>
  <c r="Q66" i="51"/>
  <c r="D67" i="51" s="1"/>
  <c r="E67" i="51" s="1" a="1"/>
  <c r="E67" i="51" s="1"/>
  <c r="F93" i="41"/>
  <c r="G93" i="41" s="1"/>
  <c r="H93" i="41" s="1"/>
  <c r="I78" i="62" l="1" a="1"/>
  <c r="I78" i="62" s="1"/>
  <c r="N78" i="62" a="1"/>
  <c r="N78" i="62" s="1"/>
  <c r="E78" i="62" a="1"/>
  <c r="E78" i="62" s="1"/>
  <c r="Q78" i="62" s="1"/>
  <c r="D79" i="62" s="1"/>
  <c r="K79" i="62" s="1" a="1"/>
  <c r="K79" i="62" s="1"/>
  <c r="F78" i="62" a="1"/>
  <c r="F78" i="62" s="1"/>
  <c r="Q79" i="63"/>
  <c r="D80" i="63" s="1"/>
  <c r="E80" i="63" s="1" a="1"/>
  <c r="E80" i="63" s="1"/>
  <c r="I67" i="51" a="1"/>
  <c r="I67" i="51" s="1"/>
  <c r="F67" i="51" a="1"/>
  <c r="F67" i="51" s="1"/>
  <c r="K67" i="51" a="1"/>
  <c r="K67" i="51" s="1"/>
  <c r="N67" i="51" a="1"/>
  <c r="N67" i="51" s="1"/>
  <c r="F94" i="41"/>
  <c r="G94" i="41" s="1"/>
  <c r="H94" i="41" s="1"/>
  <c r="N79" i="62" l="1" a="1"/>
  <c r="N79" i="62" s="1"/>
  <c r="I79" i="62" a="1"/>
  <c r="I79" i="62" s="1"/>
  <c r="F79" i="62" a="1"/>
  <c r="F79" i="62" s="1"/>
  <c r="E79" i="62" a="1"/>
  <c r="E79" i="62" s="1"/>
  <c r="K80" i="63" a="1"/>
  <c r="K80" i="63" s="1"/>
  <c r="F80" i="63" a="1"/>
  <c r="F80" i="63" s="1"/>
  <c r="N80" i="63" a="1"/>
  <c r="N80" i="63" s="1"/>
  <c r="I80" i="63" a="1"/>
  <c r="I80" i="63" s="1"/>
  <c r="Q67" i="51"/>
  <c r="D68" i="51" s="1"/>
  <c r="E68" i="51" s="1" a="1"/>
  <c r="E68" i="51" s="1"/>
  <c r="F95" i="41"/>
  <c r="G95" i="41" s="1"/>
  <c r="H95" i="41" s="1"/>
  <c r="Q79" i="62" l="1"/>
  <c r="D80" i="62" s="1"/>
  <c r="I80" i="62" s="1" a="1"/>
  <c r="I80" i="62" s="1"/>
  <c r="N68" i="51" a="1"/>
  <c r="N68" i="51" s="1"/>
  <c r="I68" i="51" a="1"/>
  <c r="I68" i="51" s="1"/>
  <c r="K68" i="51" a="1"/>
  <c r="K68" i="51" s="1"/>
  <c r="Q80" i="63"/>
  <c r="D81" i="63" s="1"/>
  <c r="F81" i="63" s="1" a="1"/>
  <c r="F81" i="63" s="1"/>
  <c r="F68" i="51" a="1"/>
  <c r="F68" i="51" s="1"/>
  <c r="F96" i="41"/>
  <c r="G96" i="41" s="1"/>
  <c r="H96" i="41" s="1"/>
  <c r="K80" i="62" l="1" a="1"/>
  <c r="K80" i="62" s="1"/>
  <c r="F80" i="62" a="1"/>
  <c r="F80" i="62" s="1"/>
  <c r="N80" i="62" a="1"/>
  <c r="N80" i="62" s="1"/>
  <c r="E80" i="62" a="1"/>
  <c r="E80" i="62" s="1"/>
  <c r="Q68" i="51"/>
  <c r="D69" i="51" s="1"/>
  <c r="I69" i="51" s="1" a="1"/>
  <c r="I69" i="51" s="1"/>
  <c r="I81" i="63" a="1"/>
  <c r="I81" i="63" s="1"/>
  <c r="K81" i="63" a="1"/>
  <c r="K81" i="63" s="1"/>
  <c r="E81" i="63" a="1"/>
  <c r="E81" i="63" s="1"/>
  <c r="N81" i="63" a="1"/>
  <c r="N81" i="63" s="1"/>
  <c r="F97" i="41"/>
  <c r="G97" i="41" s="1"/>
  <c r="H97" i="41" s="1"/>
  <c r="Q80" i="62" l="1"/>
  <c r="D81" i="62" s="1"/>
  <c r="K81" i="62" s="1" a="1"/>
  <c r="K81" i="62" s="1"/>
  <c r="N81" i="62" a="1"/>
  <c r="N81" i="62" s="1"/>
  <c r="N69" i="51" a="1"/>
  <c r="N69" i="51" s="1"/>
  <c r="K69" i="51" a="1"/>
  <c r="K69" i="51" s="1"/>
  <c r="F69" i="51" a="1"/>
  <c r="F69" i="51" s="1"/>
  <c r="Q81" i="63"/>
  <c r="S19" i="63" s="1"/>
  <c r="V18" i="63" s="1"/>
  <c r="E69" i="51" a="1"/>
  <c r="E69" i="51" s="1"/>
  <c r="F98" i="41"/>
  <c r="G98" i="41" s="1"/>
  <c r="H98" i="41" s="1"/>
  <c r="F81" i="62" l="1" a="1"/>
  <c r="F81" i="62" s="1"/>
  <c r="E81" i="62" a="1"/>
  <c r="E81" i="62" s="1"/>
  <c r="I81" i="62" a="1"/>
  <c r="I81" i="62" s="1"/>
  <c r="Q69" i="51"/>
  <c r="D70" i="51" s="1"/>
  <c r="K70" i="51" s="1" a="1"/>
  <c r="K70" i="51" s="1"/>
  <c r="F99" i="41"/>
  <c r="G99" i="41" s="1"/>
  <c r="H99" i="41"/>
  <c r="N70" i="51" l="1" a="1"/>
  <c r="N70" i="51" s="1"/>
  <c r="Q81" i="62"/>
  <c r="S19" i="62" s="1"/>
  <c r="V18" i="62" s="1"/>
  <c r="F70" i="51" a="1"/>
  <c r="F70" i="51" s="1"/>
  <c r="I70" i="51" a="1"/>
  <c r="I70" i="51" s="1"/>
  <c r="E70" i="51" a="1"/>
  <c r="E70" i="51" s="1"/>
  <c r="F100" i="41"/>
  <c r="G100" i="41" s="1"/>
  <c r="H100" i="41" s="1"/>
  <c r="Q70" i="51" l="1"/>
  <c r="D71" i="51" s="1"/>
  <c r="I71" i="51" a="1"/>
  <c r="I71" i="51" s="1"/>
  <c r="F71" i="51" a="1"/>
  <c r="F71" i="51" s="1"/>
  <c r="K71" i="51" a="1"/>
  <c r="K71" i="51" s="1"/>
  <c r="E71" i="51" a="1"/>
  <c r="E71" i="51" s="1"/>
  <c r="N71" i="51" a="1"/>
  <c r="N71" i="51" s="1"/>
  <c r="F101" i="41"/>
  <c r="G101" i="41" s="1"/>
  <c r="H101" i="41" s="1"/>
  <c r="Q71" i="51" l="1"/>
  <c r="D72" i="51" s="1"/>
  <c r="F72" i="51" s="1" a="1"/>
  <c r="F72" i="51" s="1"/>
  <c r="I72" i="51" a="1"/>
  <c r="I72" i="51" s="1"/>
  <c r="N72" i="51" a="1"/>
  <c r="N72" i="51" s="1"/>
  <c r="K72" i="51" a="1"/>
  <c r="K72" i="51" s="1"/>
  <c r="E72" i="51" a="1"/>
  <c r="E72" i="51" s="1"/>
  <c r="F102" i="41"/>
  <c r="G102" i="41" s="1"/>
  <c r="H102" i="41" s="1"/>
  <c r="Q72" i="51" l="1"/>
  <c r="D73" i="51" s="1"/>
  <c r="F73" i="51" s="1" a="1"/>
  <c r="F73" i="51" s="1"/>
  <c r="F103" i="41"/>
  <c r="G103" i="41" s="1"/>
  <c r="H103" i="41" s="1"/>
  <c r="E73" i="51" l="1" a="1"/>
  <c r="E73" i="51" s="1"/>
  <c r="N73" i="51" a="1"/>
  <c r="N73" i="51" s="1"/>
  <c r="K73" i="51" a="1"/>
  <c r="K73" i="51" s="1"/>
  <c r="I73" i="51" a="1"/>
  <c r="I73" i="51" s="1"/>
  <c r="F104" i="41"/>
  <c r="G104" i="41" s="1"/>
  <c r="H104" i="41" s="1"/>
  <c r="Q73" i="51" l="1"/>
  <c r="D74" i="51" s="1"/>
  <c r="K74" i="51" s="1" a="1"/>
  <c r="K74" i="51" s="1"/>
  <c r="E74" i="51" a="1"/>
  <c r="E74" i="51" s="1"/>
  <c r="N74" i="51" a="1"/>
  <c r="N74" i="51" s="1"/>
  <c r="F74" i="51" a="1"/>
  <c r="F74" i="51" s="1"/>
  <c r="F105" i="41"/>
  <c r="G105" i="41" s="1"/>
  <c r="H105" i="41" s="1"/>
  <c r="I74" i="51" l="1" a="1"/>
  <c r="I74" i="51" s="1"/>
  <c r="Q74" i="51" s="1"/>
  <c r="D75" i="51" s="1"/>
  <c r="K75" i="51" s="1" a="1"/>
  <c r="K75" i="51" s="1"/>
  <c r="F106" i="41"/>
  <c r="G106" i="41" s="1"/>
  <c r="H106" i="41" s="1"/>
  <c r="I75" i="51" l="1" a="1"/>
  <c r="I75" i="51" s="1"/>
  <c r="N75" i="51" a="1"/>
  <c r="N75" i="51" s="1"/>
  <c r="E75" i="51" a="1"/>
  <c r="E75" i="51" s="1"/>
  <c r="F75" i="51" a="1"/>
  <c r="F75" i="51" s="1"/>
  <c r="F107" i="41"/>
  <c r="G107" i="41" s="1"/>
  <c r="H107" i="41"/>
  <c r="Q75" i="51" l="1"/>
  <c r="D76" i="51" s="1"/>
  <c r="F76" i="51" s="1" a="1"/>
  <c r="F76" i="51" s="1"/>
  <c r="F108" i="41"/>
  <c r="G108" i="41" s="1"/>
  <c r="H108" i="41" s="1"/>
  <c r="I76" i="51" l="1" a="1"/>
  <c r="I76" i="51" s="1"/>
  <c r="N76" i="51" a="1"/>
  <c r="N76" i="51" s="1"/>
  <c r="E76" i="51" a="1"/>
  <c r="E76" i="51" s="1"/>
  <c r="K76" i="51" a="1"/>
  <c r="K76" i="51" s="1"/>
  <c r="F109" i="41"/>
  <c r="G109" i="41" s="1"/>
  <c r="H109" i="41" s="1"/>
  <c r="Q76" i="51" l="1"/>
  <c r="D77" i="51" s="1"/>
  <c r="E77" i="51" s="1" a="1"/>
  <c r="E77" i="51" s="1"/>
  <c r="I77" i="51" a="1"/>
  <c r="I77" i="51" s="1"/>
  <c r="N77" i="51" a="1"/>
  <c r="N77" i="51" s="1"/>
  <c r="F110" i="41"/>
  <c r="G110" i="41" s="1"/>
  <c r="H110" i="41" s="1"/>
  <c r="F77" i="51" l="1" a="1"/>
  <c r="F77" i="51" s="1"/>
  <c r="K77" i="51" a="1"/>
  <c r="K77" i="51" s="1"/>
  <c r="Q77" i="51" s="1"/>
  <c r="D78" i="51" s="1"/>
  <c r="F11" i="57"/>
  <c r="F12" i="57" s="1"/>
  <c r="F111" i="41"/>
  <c r="G111" i="41" s="1"/>
  <c r="H111" i="41" s="1"/>
  <c r="K78" i="51" l="1" a="1"/>
  <c r="K78" i="51" s="1"/>
  <c r="I78" i="51" a="1"/>
  <c r="I78" i="51" s="1"/>
  <c r="E78" i="51" a="1"/>
  <c r="E78" i="51" s="1"/>
  <c r="F78" i="51" a="1"/>
  <c r="F78" i="51" s="1"/>
  <c r="N78" i="51" a="1"/>
  <c r="N78" i="51" s="1"/>
  <c r="F14" i="57"/>
  <c r="F112" i="41"/>
  <c r="G112" i="41" s="1"/>
  <c r="H112" i="41" s="1"/>
  <c r="Q78" i="51" l="1"/>
  <c r="D79" i="51" s="1"/>
  <c r="K79" i="51" s="1" a="1"/>
  <c r="K79" i="51" s="1"/>
  <c r="I79" i="51" a="1"/>
  <c r="I79" i="51" s="1"/>
  <c r="F79" i="51" a="1"/>
  <c r="F79" i="51" s="1"/>
  <c r="N79" i="51" a="1"/>
  <c r="N79" i="51" s="1"/>
  <c r="E79" i="51" a="1"/>
  <c r="E79" i="51" s="1"/>
  <c r="F113" i="41"/>
  <c r="G113" i="41" s="1"/>
  <c r="H113" i="41" s="1"/>
  <c r="Q79" i="51" l="1"/>
  <c r="D80" i="51" s="1"/>
  <c r="I80" i="51" s="1" a="1"/>
  <c r="I80" i="51" s="1"/>
  <c r="F80" i="51" a="1"/>
  <c r="F80" i="51" s="1"/>
  <c r="E80" i="51" a="1"/>
  <c r="E80" i="51" s="1"/>
  <c r="K80" i="51" a="1"/>
  <c r="K80" i="51" s="1"/>
  <c r="N80" i="51" a="1"/>
  <c r="N80" i="51" s="1"/>
  <c r="F114" i="41"/>
  <c r="G114" i="41" s="1"/>
  <c r="H114" i="41" s="1"/>
  <c r="Q80" i="51" l="1"/>
  <c r="D81" i="51" s="1"/>
  <c r="K81" i="51" s="1" a="1"/>
  <c r="K81" i="51" s="1"/>
  <c r="I81" i="51" a="1"/>
  <c r="I81" i="51" s="1"/>
  <c r="F115" i="41"/>
  <c r="G115" i="41" s="1"/>
  <c r="H115" i="41" s="1"/>
  <c r="F81" i="51" l="1" a="1"/>
  <c r="F81" i="51" s="1"/>
  <c r="N81" i="51" a="1"/>
  <c r="N81" i="51" s="1"/>
  <c r="E81" i="51" a="1"/>
  <c r="E81" i="51" s="1"/>
  <c r="Q81" i="51" s="1"/>
  <c r="S19" i="51" s="1"/>
  <c r="V18" i="51" s="1"/>
  <c r="F116" i="41"/>
  <c r="G116" i="41" s="1"/>
  <c r="H116" i="41" s="1"/>
  <c r="F117" i="41" l="1"/>
  <c r="G117" i="41" s="1"/>
  <c r="H117" i="41" s="1"/>
  <c r="F118" i="41" l="1"/>
  <c r="G118" i="41" s="1"/>
  <c r="H118" i="41" s="1"/>
  <c r="F119" i="41" l="1"/>
  <c r="G119" i="41" s="1"/>
  <c r="H119" i="41" s="1"/>
  <c r="H120" i="41" l="1"/>
  <c r="F120" i="41"/>
  <c r="G120" i="41" s="1"/>
  <c r="F121" i="41" l="1"/>
  <c r="G121" i="41" s="1"/>
  <c r="H121" i="41" s="1"/>
  <c r="F122" i="41" l="1"/>
  <c r="G122" i="41" s="1"/>
  <c r="H122" i="41" s="1"/>
  <c r="F123" i="41" l="1"/>
  <c r="G123" i="41" s="1"/>
  <c r="H123" i="41"/>
  <c r="F124" i="41" l="1"/>
  <c r="G124" i="41" s="1"/>
  <c r="H124" i="41" s="1"/>
  <c r="F125" i="41" l="1"/>
  <c r="G125" i="41" s="1"/>
  <c r="H125" i="41" s="1"/>
  <c r="F126" i="41" l="1"/>
  <c r="G126" i="41" s="1"/>
  <c r="H126" i="41" s="1"/>
  <c r="F127" i="41" l="1"/>
  <c r="G127" i="41" s="1"/>
  <c r="H127" i="41" s="1"/>
  <c r="F128" i="41" l="1"/>
  <c r="G128" i="41" s="1"/>
  <c r="H128" i="41" s="1"/>
  <c r="F129" i="41" l="1"/>
  <c r="G129" i="41" s="1"/>
  <c r="H129" i="41" s="1"/>
  <c r="F130" i="41" l="1"/>
  <c r="G130" i="41" s="1"/>
  <c r="H130" i="41" s="1"/>
  <c r="F131" i="41" l="1"/>
  <c r="G131" i="41" s="1"/>
  <c r="H131" i="41" s="1"/>
  <c r="F132" i="41" l="1"/>
  <c r="G132" i="41" s="1"/>
  <c r="H132" i="41" s="1"/>
  <c r="F133" i="41" l="1"/>
  <c r="G133" i="41" s="1"/>
  <c r="H133" i="41" s="1"/>
  <c r="F134" i="41" l="1"/>
  <c r="G134" i="41" s="1"/>
  <c r="H134" i="41" s="1"/>
  <c r="F135" i="41" l="1"/>
  <c r="G135" i="41" s="1"/>
  <c r="H135" i="41" s="1"/>
  <c r="F136" i="41" l="1"/>
  <c r="G136" i="41" s="1"/>
  <c r="H136" i="41" s="1"/>
  <c r="F137" i="41" l="1"/>
  <c r="G137" i="41" s="1"/>
  <c r="H137" i="41" s="1"/>
  <c r="F138" i="41" l="1"/>
  <c r="G138" i="41" s="1"/>
  <c r="H138" i="41" s="1"/>
  <c r="F139" i="41" l="1"/>
  <c r="G139" i="41" s="1"/>
  <c r="H139" i="41" s="1"/>
  <c r="F140" i="41" l="1"/>
  <c r="G140" i="41" s="1"/>
  <c r="H140" i="41" s="1"/>
  <c r="F141" i="41" l="1"/>
  <c r="G141" i="41" s="1"/>
  <c r="H141" i="41" s="1"/>
  <c r="F142" i="41" l="1"/>
  <c r="G142" i="41" s="1"/>
  <c r="H142" i="41" s="1"/>
  <c r="F143" i="41" l="1"/>
  <c r="G143" i="41" s="1"/>
  <c r="H143" i="41" s="1"/>
  <c r="F144" i="41" l="1"/>
  <c r="G144" i="41" s="1"/>
  <c r="H144" i="41" s="1"/>
  <c r="F145" i="41" l="1"/>
  <c r="G145" i="41" s="1"/>
  <c r="H145" i="41" s="1"/>
  <c r="F146" i="41" l="1"/>
  <c r="G146" i="41" s="1"/>
  <c r="H146" i="41" s="1"/>
  <c r="F147" i="41" l="1"/>
  <c r="G147" i="41" s="1"/>
  <c r="H147" i="41"/>
  <c r="F148" i="41" l="1"/>
  <c r="G148" i="41" s="1"/>
  <c r="H148" i="41" s="1"/>
  <c r="F149" i="41" l="1"/>
  <c r="G149" i="41" s="1"/>
  <c r="H149" i="41" s="1"/>
  <c r="F150" i="41" l="1"/>
  <c r="G150" i="41" s="1"/>
  <c r="H150" i="41" s="1"/>
  <c r="F151" i="41" l="1"/>
  <c r="G151" i="41" s="1"/>
  <c r="H151" i="41" s="1"/>
  <c r="F152" i="41" l="1"/>
  <c r="G152" i="41" s="1"/>
  <c r="H152" i="41" s="1"/>
  <c r="F153" i="41" l="1"/>
  <c r="G153" i="41" s="1"/>
  <c r="H153" i="41" s="1"/>
  <c r="F154" i="41" l="1"/>
  <c r="G154" i="41" s="1"/>
  <c r="H154" i="41" s="1"/>
  <c r="F155" i="41" l="1"/>
  <c r="G155" i="41" s="1"/>
  <c r="H155" i="41"/>
  <c r="F156" i="41" l="1"/>
  <c r="G156" i="41" s="1"/>
  <c r="H156" i="41" s="1"/>
  <c r="F157" i="41" l="1"/>
  <c r="G157" i="41" s="1"/>
  <c r="H157" i="41" s="1"/>
  <c r="F158" i="41" l="1"/>
  <c r="G158" i="41" s="1"/>
  <c r="H158" i="41" s="1"/>
  <c r="F159" i="41" l="1"/>
  <c r="G159" i="41" s="1"/>
  <c r="H159" i="41" s="1"/>
  <c r="F160" i="41" l="1"/>
  <c r="G160" i="41" s="1"/>
  <c r="H160" i="41" s="1"/>
  <c r="F161" i="41" l="1"/>
  <c r="G161" i="41" s="1"/>
  <c r="H161" i="41" s="1"/>
  <c r="F162" i="41" l="1"/>
  <c r="G162" i="41" s="1"/>
  <c r="H162" i="41" s="1"/>
  <c r="F163" i="41" l="1"/>
  <c r="G163" i="41" s="1"/>
  <c r="H163" i="41"/>
  <c r="F164" i="41" l="1"/>
  <c r="G164" i="41" s="1"/>
  <c r="H164" i="41" s="1"/>
  <c r="F165" i="41" l="1"/>
  <c r="G165" i="41" s="1"/>
  <c r="H165" i="41" s="1"/>
  <c r="F166" i="41" l="1"/>
  <c r="G166" i="41" s="1"/>
  <c r="H166" i="41" s="1"/>
  <c r="F167" i="41" l="1"/>
  <c r="G167" i="41" s="1"/>
  <c r="H167" i="41" s="1"/>
  <c r="F168" i="41" l="1"/>
  <c r="G168" i="41" s="1"/>
  <c r="H168" i="41" s="1"/>
  <c r="H169" i="41" l="1"/>
  <c r="F169" i="41"/>
  <c r="G169" i="41" s="1"/>
  <c r="F170" i="41" l="1"/>
  <c r="G170" i="41" s="1"/>
  <c r="H170" i="41" s="1"/>
  <c r="F171" i="41" l="1"/>
  <c r="G171" i="41" s="1"/>
  <c r="H171" i="41"/>
  <c r="F172" i="41" l="1"/>
  <c r="G172" i="41" s="1"/>
  <c r="H172" i="41" s="1"/>
  <c r="F173" i="41" l="1"/>
  <c r="G173" i="41" s="1"/>
  <c r="H173" i="41" s="1"/>
  <c r="F174" i="41" l="1"/>
  <c r="G174" i="41" s="1"/>
  <c r="H174" i="41" s="1"/>
  <c r="F175" i="41" l="1"/>
  <c r="G175" i="41" s="1"/>
  <c r="H175" i="41" s="1"/>
  <c r="F176" i="41" l="1"/>
  <c r="G176" i="41" s="1"/>
  <c r="H176" i="41" s="1"/>
  <c r="F177" i="41" l="1"/>
  <c r="G177" i="41" s="1"/>
  <c r="H177" i="41" s="1"/>
  <c r="F178" i="41" l="1"/>
  <c r="G178" i="41" s="1"/>
  <c r="H178" i="41" s="1"/>
  <c r="F179" i="41" l="1"/>
  <c r="G179" i="41" s="1"/>
  <c r="H179" i="41"/>
  <c r="H180" i="41" l="1"/>
  <c r="F180" i="41"/>
  <c r="G180" i="41" s="1"/>
  <c r="F181" i="41" l="1"/>
  <c r="G181" i="41" s="1"/>
  <c r="H181" i="41" s="1"/>
  <c r="F182" i="41" l="1"/>
  <c r="G182" i="41" s="1"/>
  <c r="H182" i="41" s="1"/>
  <c r="F183" i="41" l="1"/>
  <c r="G183" i="41" s="1"/>
  <c r="H183" i="41" s="1"/>
  <c r="F184" i="41" l="1"/>
  <c r="G184" i="41" s="1"/>
  <c r="H184" i="41" s="1"/>
  <c r="F185" i="41" l="1"/>
  <c r="G185" i="41" s="1"/>
  <c r="H185" i="41" s="1"/>
  <c r="F186" i="41" l="1"/>
  <c r="G186" i="41" s="1"/>
  <c r="H186" i="41" s="1"/>
  <c r="F187" i="41" l="1"/>
  <c r="G187" i="41" s="1"/>
  <c r="H187" i="41"/>
  <c r="F188" i="41" l="1"/>
  <c r="G188" i="41" s="1"/>
  <c r="H188" i="41" s="1"/>
  <c r="F189" i="41" l="1"/>
  <c r="G189" i="41" s="1"/>
  <c r="H189" i="41" s="1"/>
  <c r="F190" i="41" l="1"/>
  <c r="G190" i="41" s="1"/>
  <c r="H190" i="41" s="1"/>
  <c r="F191" i="41" l="1"/>
  <c r="G191" i="41" s="1"/>
  <c r="H191" i="41" s="1"/>
  <c r="F192" i="41" l="1"/>
  <c r="G192" i="41" s="1"/>
  <c r="H192" i="41" s="1"/>
  <c r="F193" i="41" l="1"/>
  <c r="G193" i="41" s="1"/>
  <c r="H193" i="41" s="1"/>
  <c r="F194" i="41" l="1"/>
  <c r="G194" i="41" s="1"/>
  <c r="H194" i="41" s="1"/>
  <c r="F195" i="41" l="1"/>
  <c r="G195" i="41" s="1"/>
  <c r="H195" i="41" s="1"/>
  <c r="F196" i="41" l="1"/>
  <c r="G196" i="41" s="1"/>
  <c r="H196" i="41" s="1"/>
  <c r="F197" i="41" l="1"/>
  <c r="G197" i="41" s="1"/>
  <c r="H197" i="41" s="1"/>
  <c r="F198" i="41" l="1"/>
  <c r="G198" i="41" s="1"/>
  <c r="H198" i="41" s="1"/>
  <c r="F199" i="41" l="1"/>
  <c r="G199" i="41" s="1"/>
  <c r="H199" i="41" s="1"/>
  <c r="F200" i="41" l="1"/>
  <c r="G200" i="41" s="1"/>
  <c r="H200" i="41" s="1"/>
  <c r="F201" i="41" l="1"/>
  <c r="G201" i="41" s="1"/>
  <c r="H201" i="41" s="1"/>
  <c r="F202" i="41" l="1"/>
  <c r="G202" i="41" s="1"/>
  <c r="H202" i="41" s="1"/>
  <c r="F203" i="41" l="1"/>
  <c r="G203" i="41" s="1"/>
  <c r="H203" i="41"/>
  <c r="F204" i="41" l="1"/>
  <c r="G204" i="41" s="1"/>
  <c r="H204" i="41" s="1"/>
  <c r="F205" i="41" l="1"/>
  <c r="G205" i="41" s="1"/>
  <c r="H205" i="41" s="1"/>
  <c r="F206" i="41" l="1"/>
  <c r="G206" i="41" s="1"/>
  <c r="H206" i="41" s="1"/>
  <c r="F207" i="41" l="1"/>
  <c r="G207" i="41" s="1"/>
  <c r="H207" i="41" s="1"/>
  <c r="F208" i="41" l="1"/>
  <c r="G208" i="41" s="1"/>
  <c r="H208" i="41" s="1"/>
  <c r="F209" i="41" l="1"/>
  <c r="G209" i="41" s="1"/>
  <c r="H209" i="41" s="1"/>
  <c r="F210" i="41" l="1"/>
  <c r="G210" i="41" s="1"/>
  <c r="H210" i="41" s="1"/>
  <c r="F211" i="41" l="1"/>
  <c r="G211" i="41" s="1"/>
  <c r="H211" i="41"/>
  <c r="F212" i="41" l="1"/>
  <c r="G212" i="41" s="1"/>
  <c r="H212" i="41" s="1"/>
  <c r="F213" i="41" l="1"/>
  <c r="G213" i="41" s="1"/>
  <c r="H213" i="41" s="1"/>
  <c r="F214" i="41" l="1"/>
  <c r="G214" i="41" s="1"/>
  <c r="H214" i="41" s="1"/>
  <c r="F215" i="41" l="1"/>
  <c r="G215" i="41" s="1"/>
  <c r="H215" i="41" s="1"/>
  <c r="F216" i="41" l="1"/>
  <c r="G216" i="41" s="1"/>
  <c r="H216" i="41" s="1"/>
  <c r="F217" i="41" l="1"/>
  <c r="G217" i="41" s="1"/>
  <c r="H217" i="41" s="1"/>
  <c r="F218" i="41" l="1"/>
  <c r="G218" i="41" s="1"/>
  <c r="H218" i="41" s="1"/>
  <c r="F219" i="41" l="1"/>
  <c r="G219" i="41" s="1"/>
  <c r="H219" i="41"/>
  <c r="F220" i="41" l="1"/>
  <c r="G220" i="41" s="1"/>
  <c r="H220" i="41" s="1"/>
  <c r="F221" i="41" l="1"/>
  <c r="G221" i="41" s="1"/>
  <c r="H221" i="41" s="1"/>
  <c r="F222" i="41" l="1"/>
  <c r="G222" i="41" s="1"/>
  <c r="H222" i="41" s="1"/>
  <c r="F223" i="41" l="1"/>
  <c r="G223" i="41" s="1"/>
  <c r="H223" i="41" s="1"/>
  <c r="F224" i="41" l="1"/>
  <c r="G224" i="41" s="1"/>
  <c r="H224" i="41" s="1"/>
  <c r="F225" i="41" l="1"/>
  <c r="G225" i="41" s="1"/>
  <c r="H225" i="41" s="1"/>
  <c r="F226" i="41" l="1"/>
  <c r="G226" i="41" s="1"/>
  <c r="H226" i="41" s="1"/>
  <c r="F227" i="41" l="1"/>
  <c r="G227" i="41" s="1"/>
  <c r="H227" i="41"/>
  <c r="F228" i="41" l="1"/>
  <c r="G228" i="41" s="1"/>
  <c r="H228" i="41" s="1"/>
  <c r="F229" i="41" l="1"/>
  <c r="G229" i="41" s="1"/>
  <c r="H229" i="41" s="1"/>
  <c r="F230" i="41" l="1"/>
  <c r="G230" i="41" s="1"/>
  <c r="H230" i="41" s="1"/>
  <c r="F231" i="41" l="1"/>
  <c r="G231" i="41" s="1"/>
  <c r="H231" i="41" s="1"/>
  <c r="F232" i="41" l="1"/>
  <c r="G232" i="41" s="1"/>
  <c r="H232" i="41" s="1"/>
  <c r="F233" i="41" l="1"/>
  <c r="G233" i="41" s="1"/>
  <c r="H233" i="41" s="1"/>
  <c r="F234" i="41" l="1"/>
  <c r="G234" i="41" s="1"/>
  <c r="H234" i="41" s="1"/>
  <c r="F235" i="41" l="1"/>
  <c r="G235" i="41" s="1"/>
  <c r="H235" i="41"/>
  <c r="F236" i="41" l="1"/>
  <c r="G236" i="41" s="1"/>
  <c r="H236" i="41" s="1"/>
  <c r="F237" i="41" l="1"/>
  <c r="G237" i="41" s="1"/>
  <c r="H237" i="41" s="1"/>
  <c r="F238" i="41" l="1"/>
  <c r="G238" i="41" s="1"/>
  <c r="H238" i="41" s="1"/>
  <c r="F239" i="41" l="1"/>
  <c r="G239" i="41" s="1"/>
  <c r="H239" i="41" s="1"/>
  <c r="F240" i="41" l="1"/>
  <c r="G240" i="41" s="1"/>
  <c r="H240" i="41" s="1"/>
  <c r="F241" i="41" l="1"/>
  <c r="G241" i="41" s="1"/>
  <c r="H241" i="41" s="1"/>
  <c r="F242" i="41" l="1"/>
  <c r="G242" i="41" s="1"/>
  <c r="H242" i="41" s="1"/>
  <c r="F243" i="41" l="1"/>
  <c r="G243" i="41" s="1"/>
  <c r="H243" i="41"/>
  <c r="F244" i="41" l="1"/>
  <c r="G244" i="41" s="1"/>
  <c r="H244" i="41" s="1"/>
  <c r="F245" i="41" l="1"/>
  <c r="G245" i="41" s="1"/>
  <c r="H245" i="41" s="1"/>
  <c r="F246" i="41" l="1"/>
  <c r="G246" i="41" s="1"/>
  <c r="H246" i="41" s="1"/>
  <c r="F247" i="41" l="1"/>
  <c r="G247" i="41" s="1"/>
  <c r="H247" i="41" s="1"/>
  <c r="F248" i="41" l="1"/>
  <c r="G248" i="41" s="1"/>
  <c r="H248" i="41" s="1"/>
  <c r="F249" i="41" l="1"/>
  <c r="G249" i="41" s="1"/>
  <c r="H249" i="41" s="1"/>
  <c r="F250" i="41" l="1"/>
  <c r="G250" i="41" s="1"/>
  <c r="H250" i="41" s="1"/>
  <c r="F251" i="41" l="1"/>
  <c r="G251" i="41" s="1"/>
  <c r="H251" i="41"/>
  <c r="F252" i="41" l="1"/>
  <c r="G252" i="41" s="1"/>
  <c r="H252" i="41" s="1"/>
  <c r="F253" i="41" l="1"/>
  <c r="G253" i="41" s="1"/>
  <c r="H253" i="41" s="1"/>
  <c r="F254" i="41" l="1"/>
  <c r="G254" i="41" s="1"/>
  <c r="H254" i="41" s="1"/>
  <c r="F255" i="41" l="1"/>
  <c r="G255" i="41" s="1"/>
  <c r="H255" i="41" s="1"/>
  <c r="F256" i="41" l="1"/>
  <c r="G256" i="41" s="1"/>
  <c r="H256" i="41" s="1"/>
  <c r="F257" i="41" l="1"/>
  <c r="G257" i="41" s="1"/>
  <c r="H257" i="41" s="1"/>
  <c r="F258" i="41" l="1"/>
  <c r="G258" i="41" s="1"/>
  <c r="H258" i="41" s="1"/>
  <c r="F259" i="41" l="1"/>
  <c r="G259" i="41" s="1"/>
  <c r="H259" i="41" s="1"/>
  <c r="F260" i="41" l="1"/>
  <c r="G260" i="41" s="1"/>
  <c r="H260" i="41" s="1"/>
  <c r="F261" i="41" l="1"/>
  <c r="G261" i="41" s="1"/>
  <c r="H261" i="41" s="1"/>
  <c r="F262" i="41" l="1"/>
  <c r="G262" i="41" s="1"/>
  <c r="H262" i="41" s="1"/>
  <c r="F263" i="41" l="1"/>
  <c r="G263" i="41" s="1"/>
  <c r="H263" i="41" s="1"/>
  <c r="F264" i="41" l="1"/>
  <c r="G264" i="41" s="1"/>
  <c r="H264" i="41" s="1"/>
  <c r="F265" i="41" l="1"/>
  <c r="G265" i="41" s="1"/>
  <c r="H265" i="41" s="1"/>
  <c r="F266" i="41" l="1"/>
  <c r="G266" i="41" s="1"/>
  <c r="H266" i="41" s="1"/>
  <c r="F267" i="41" l="1"/>
  <c r="G267" i="41" s="1"/>
  <c r="H267" i="41"/>
  <c r="F268" i="41" l="1"/>
  <c r="G268" i="41" s="1"/>
  <c r="H268" i="41" s="1"/>
  <c r="F269" i="41" l="1"/>
  <c r="G269" i="41" s="1"/>
  <c r="H269" i="41" s="1"/>
  <c r="F270" i="41" l="1"/>
  <c r="G270" i="41" s="1"/>
  <c r="H270" i="41" s="1"/>
  <c r="F271" i="41" l="1"/>
  <c r="G271" i="41" s="1"/>
  <c r="H271" i="41" s="1"/>
  <c r="F272" i="41" l="1"/>
  <c r="G272" i="41" s="1"/>
  <c r="H272" i="41" s="1"/>
  <c r="F273" i="41" l="1"/>
  <c r="G273" i="41" s="1"/>
  <c r="H273" i="41" s="1"/>
  <c r="F274" i="41" l="1"/>
  <c r="G274" i="41" s="1"/>
  <c r="H274" i="41" s="1"/>
  <c r="F275" i="41" l="1"/>
  <c r="G275" i="41" s="1"/>
  <c r="H275" i="41"/>
  <c r="F276" i="41" l="1"/>
  <c r="G276" i="41" s="1"/>
  <c r="H276" i="41" s="1"/>
  <c r="F277" i="41" l="1"/>
  <c r="G277" i="41" s="1"/>
  <c r="H277" i="41" s="1"/>
  <c r="F278" i="41" l="1"/>
  <c r="G278" i="41" s="1"/>
  <c r="H278" i="41" s="1"/>
  <c r="F279" i="41" l="1"/>
  <c r="G279" i="41" s="1"/>
  <c r="H279" i="41" s="1"/>
  <c r="F280" i="41" l="1"/>
  <c r="G280" i="41" s="1"/>
  <c r="H280" i="41" s="1"/>
  <c r="F281" i="41" l="1"/>
  <c r="G281" i="41" s="1"/>
  <c r="H281" i="41" s="1"/>
  <c r="F282" i="41" l="1"/>
  <c r="G282" i="41" s="1"/>
  <c r="H282" i="41" s="1"/>
  <c r="F283" i="41" l="1"/>
  <c r="G283" i="41" s="1"/>
  <c r="H283" i="41" s="1"/>
  <c r="F284" i="41" l="1"/>
  <c r="G284" i="41" s="1"/>
  <c r="H284" i="41" s="1"/>
  <c r="F285" i="41" l="1"/>
  <c r="G285" i="41" s="1"/>
  <c r="H285" i="41" s="1"/>
  <c r="F286" i="41" l="1"/>
  <c r="G286" i="41" s="1"/>
  <c r="H286" i="41" s="1"/>
  <c r="F287" i="41" l="1"/>
  <c r="G287" i="41" s="1"/>
  <c r="H287" i="41" s="1"/>
  <c r="F288" i="41" l="1"/>
  <c r="G288" i="41" s="1"/>
  <c r="H288" i="41" s="1"/>
  <c r="F289" i="41" l="1"/>
  <c r="G289" i="41" s="1"/>
  <c r="H289" i="41" s="1"/>
  <c r="F290" i="41" l="1"/>
  <c r="G290" i="41" s="1"/>
  <c r="H290" i="41" s="1"/>
  <c r="F291" i="41" l="1"/>
  <c r="G291" i="41" s="1"/>
  <c r="H291" i="41"/>
  <c r="F292" i="41" l="1"/>
  <c r="G292" i="41" s="1"/>
  <c r="H292" i="41" s="1"/>
  <c r="F293" i="41" l="1"/>
  <c r="G293" i="41" s="1"/>
  <c r="H293" i="41" s="1"/>
  <c r="F294" i="41" l="1"/>
  <c r="G294" i="41" s="1"/>
  <c r="H294" i="41" s="1"/>
  <c r="F295" i="41" l="1"/>
  <c r="G295" i="41" s="1"/>
  <c r="H295" i="41" s="1"/>
  <c r="F296" i="41" l="1"/>
  <c r="G296" i="41" s="1"/>
  <c r="H296" i="41" s="1"/>
  <c r="F297" i="41" l="1"/>
  <c r="G297" i="41" s="1"/>
  <c r="H297" i="41" s="1"/>
  <c r="F298" i="41" l="1"/>
  <c r="G298" i="41" s="1"/>
  <c r="H298" i="41" s="1"/>
  <c r="F299" i="41" l="1"/>
  <c r="G299" i="41" s="1"/>
  <c r="H299" i="41"/>
  <c r="F300" i="41" l="1"/>
  <c r="G300" i="41" s="1"/>
  <c r="H300" i="41" s="1"/>
  <c r="F301" i="41" l="1"/>
  <c r="G301" i="41" s="1"/>
  <c r="H301" i="41" s="1"/>
  <c r="F302" i="41" l="1"/>
  <c r="G302" i="41" s="1"/>
  <c r="H302" i="41" s="1"/>
  <c r="F303" i="41" l="1"/>
  <c r="G303" i="41" s="1"/>
  <c r="H303" i="41" s="1"/>
  <c r="F304" i="41" l="1"/>
  <c r="G304" i="41" s="1"/>
  <c r="H304" i="41" s="1"/>
  <c r="F305" i="41" l="1"/>
  <c r="G305" i="41" s="1"/>
  <c r="H305" i="41" s="1"/>
  <c r="F306" i="41" l="1"/>
  <c r="G306" i="41" s="1"/>
  <c r="H306" i="41" s="1"/>
  <c r="F307" i="41" l="1"/>
  <c r="G307" i="41" s="1"/>
  <c r="H307" i="41"/>
  <c r="F308" i="41" l="1"/>
  <c r="G308" i="41" s="1"/>
  <c r="H308" i="41" s="1"/>
  <c r="F309" i="41" l="1"/>
  <c r="G309" i="41" s="1"/>
  <c r="H309" i="41" s="1"/>
  <c r="F310" i="41" l="1"/>
  <c r="G310" i="41" s="1"/>
  <c r="H310" i="41" s="1"/>
  <c r="F311" i="41" l="1"/>
  <c r="G311" i="41" s="1"/>
  <c r="H311" i="41" s="1"/>
  <c r="F312" i="41" l="1"/>
  <c r="G312" i="41" s="1"/>
  <c r="H312" i="41" s="1"/>
  <c r="F313" i="41" l="1"/>
  <c r="G313" i="41" s="1"/>
  <c r="H313" i="41" s="1"/>
  <c r="F314" i="41" l="1"/>
  <c r="G314" i="41" s="1"/>
  <c r="H314" i="41" s="1"/>
  <c r="F315" i="41" l="1"/>
  <c r="G315" i="41" s="1"/>
  <c r="H315" i="41"/>
  <c r="F316" i="41" l="1"/>
  <c r="G316" i="41" s="1"/>
  <c r="H316" i="41" s="1"/>
  <c r="F317" i="41" l="1"/>
  <c r="G317" i="41" s="1"/>
  <c r="H317" i="41" s="1"/>
  <c r="F318" i="41" l="1"/>
  <c r="G318" i="41" s="1"/>
  <c r="H318" i="41" s="1"/>
  <c r="F319" i="41" l="1"/>
  <c r="G319" i="41" s="1"/>
  <c r="H319" i="41" s="1"/>
  <c r="F320" i="41" l="1"/>
  <c r="G320" i="41" s="1"/>
  <c r="H320" i="41" s="1"/>
  <c r="F321" i="41" l="1"/>
  <c r="G321" i="41" s="1"/>
  <c r="H321" i="41" s="1"/>
  <c r="F322" i="41" l="1"/>
  <c r="G322" i="41" s="1"/>
  <c r="H322" i="41" s="1"/>
  <c r="F323" i="41" l="1"/>
  <c r="G323" i="41" s="1"/>
  <c r="H323" i="41" s="1"/>
  <c r="F324" i="41" l="1"/>
  <c r="G324" i="41" s="1"/>
  <c r="H324" i="41" s="1"/>
  <c r="F325" i="41" l="1"/>
  <c r="G325" i="41" s="1"/>
  <c r="H325" i="41" s="1"/>
  <c r="F326" i="41" l="1"/>
  <c r="G326" i="41" s="1"/>
  <c r="H326" i="41" s="1"/>
  <c r="F327" i="41" l="1"/>
  <c r="G327" i="41" s="1"/>
  <c r="H327" i="41" s="1"/>
  <c r="F328" i="41" l="1"/>
  <c r="G328" i="41" s="1"/>
  <c r="H328" i="41" s="1"/>
  <c r="F329" i="41" l="1"/>
  <c r="G329" i="41" s="1"/>
  <c r="H329" i="41" s="1"/>
  <c r="F330" i="41" l="1"/>
  <c r="G330" i="41" s="1"/>
  <c r="H330" i="41" s="1"/>
  <c r="F331" i="41" l="1"/>
  <c r="G331" i="41" s="1"/>
  <c r="H331" i="41"/>
  <c r="F332" i="41" l="1"/>
  <c r="G332" i="41" s="1"/>
  <c r="H332" i="41" s="1"/>
  <c r="F333" i="41" l="1"/>
  <c r="G333" i="41" s="1"/>
  <c r="H333" i="41" s="1"/>
  <c r="F334" i="41" l="1"/>
  <c r="G334" i="41" s="1"/>
  <c r="H334" i="41" s="1"/>
  <c r="F335" i="41" l="1"/>
  <c r="G335" i="41" s="1"/>
  <c r="H335" i="41" s="1"/>
  <c r="F336" i="41" l="1"/>
  <c r="G336" i="41" s="1"/>
  <c r="H336" i="41" s="1"/>
  <c r="F337" i="41" l="1"/>
  <c r="G337" i="41" s="1"/>
  <c r="H337" i="41" s="1"/>
  <c r="F338" i="41" l="1"/>
  <c r="G338" i="41" s="1"/>
  <c r="H338" i="41" s="1"/>
  <c r="F339" i="41" l="1"/>
  <c r="G339" i="41" s="1"/>
  <c r="H339" i="41"/>
  <c r="F340" i="41" l="1"/>
  <c r="G340" i="41" s="1"/>
  <c r="H340" i="41" s="1"/>
  <c r="F341" i="41" l="1"/>
  <c r="G341" i="41" s="1"/>
  <c r="H341" i="41" s="1"/>
  <c r="F342" i="41" l="1"/>
  <c r="G342" i="41" s="1"/>
  <c r="H342" i="41" s="1"/>
  <c r="F343" i="41" l="1"/>
  <c r="G343" i="41" s="1"/>
  <c r="H343" i="41" s="1"/>
  <c r="F344" i="41" l="1"/>
  <c r="G344" i="41" s="1"/>
  <c r="H344" i="41" s="1"/>
  <c r="F345" i="41" l="1"/>
  <c r="G345" i="41" s="1"/>
  <c r="H345" i="41" s="1"/>
  <c r="F346" i="41" l="1"/>
  <c r="G346" i="41" s="1"/>
  <c r="H346" i="41" s="1"/>
  <c r="F347" i="41" l="1"/>
  <c r="G347" i="41" s="1"/>
  <c r="H347" i="41"/>
  <c r="F348" i="41" l="1"/>
  <c r="G348" i="41" s="1"/>
  <c r="H348" i="41" s="1"/>
  <c r="F349" i="41" l="1"/>
  <c r="G349" i="41" s="1"/>
  <c r="H349" i="41" s="1"/>
  <c r="F350" i="41" l="1"/>
  <c r="G350" i="41" s="1"/>
  <c r="H350" i="41" s="1"/>
  <c r="F351" i="41" l="1"/>
  <c r="G351" i="41" s="1"/>
  <c r="H351" i="41" s="1"/>
  <c r="F352" i="41" l="1"/>
  <c r="G352" i="41" s="1"/>
  <c r="H352" i="41" s="1"/>
  <c r="F353" i="41" l="1"/>
  <c r="G353" i="41" s="1"/>
  <c r="H353" i="41" s="1"/>
  <c r="F354" i="41" l="1"/>
  <c r="G354" i="41" s="1"/>
  <c r="H354" i="41" s="1"/>
  <c r="F355" i="41" l="1"/>
  <c r="G355" i="41" s="1"/>
  <c r="H355" i="41" s="1"/>
  <c r="F356" i="41" l="1"/>
  <c r="G356" i="41" s="1"/>
  <c r="H356" i="41" s="1"/>
  <c r="F357" i="41" l="1"/>
  <c r="G357" i="41" s="1"/>
  <c r="H357" i="41" s="1"/>
  <c r="F358" i="41" l="1"/>
  <c r="G358" i="41" s="1"/>
  <c r="H358" i="41" s="1"/>
  <c r="F359" i="41" l="1"/>
  <c r="G359" i="41" s="1"/>
  <c r="H359" i="41" s="1"/>
  <c r="F360" i="41" l="1"/>
  <c r="G360" i="41" s="1"/>
  <c r="H360" i="41" s="1"/>
  <c r="F361" i="41" l="1"/>
  <c r="H361" i="4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7A6BC4-3D02-48C0-8973-F7BE8A161C42}" keepAlive="1" name="Query - Dữ liệu Lịch sử VN 30" description="Connection to the 'Dữ liệu Lịch sử VN 30' query in the workbook." type="5" refreshedVersion="0" background="1">
    <dbPr connection="Provider=Microsoft.Mashup.OleDb.1;Data Source=$Workbook$;Location=&quot;Dữ liệu Lịch sử VN 30&quot;;Extended Properties=&quot;&quot;" command="SELECT * FROM [Dữ liệu Lịch sử VN 30]"/>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<sst xmlns="http://schemas.openxmlformats.org/spreadsheetml/2006/main" count="6212" uniqueCount="649">
  <si>
    <t>Financial Goals</t>
  </si>
  <si>
    <t>Period breakdown</t>
  </si>
  <si>
    <t>Description</t>
  </si>
  <si>
    <t>Goal</t>
  </si>
  <si>
    <t>Type</t>
  </si>
  <si>
    <t>Expected target</t>
  </si>
  <si>
    <t>Age</t>
  </si>
  <si>
    <t>Qualifications</t>
  </si>
  <si>
    <t>Expected Milestones</t>
  </si>
  <si>
    <t>Year</t>
  </si>
  <si>
    <t>Event</t>
  </si>
  <si>
    <t>Asset Acquisition</t>
  </si>
  <si>
    <t>Challenges</t>
  </si>
  <si>
    <t>Promotion</t>
  </si>
  <si>
    <t>Emergency funds</t>
  </si>
  <si>
    <t>provides a financial safety net in case of unexpected expenses or a loss of income.</t>
  </si>
  <si>
    <t>Every single year</t>
  </si>
  <si>
    <t>Married status</t>
  </si>
  <si>
    <t>Single</t>
  </si>
  <si>
    <t>Work-life balance, time management</t>
  </si>
  <si>
    <t>Job</t>
  </si>
  <si>
    <t>Work in financial industry</t>
  </si>
  <si>
    <t>get married</t>
  </si>
  <si>
    <t>Adjusting to married life</t>
  </si>
  <si>
    <t>Retirement savings</t>
  </si>
  <si>
    <t>Long term</t>
  </si>
  <si>
    <t>Accommodation</t>
  </si>
  <si>
    <t>rented one-bedroom apartment</t>
  </si>
  <si>
    <t>5 year of relevant exp, must have VACPA</t>
  </si>
  <si>
    <t>Balancing work and family</t>
  </si>
  <si>
    <t>Audit partner</t>
  </si>
  <si>
    <t>Medium term</t>
  </si>
  <si>
    <t>Source of income</t>
  </si>
  <si>
    <t>having the 2nd child</t>
  </si>
  <si>
    <t>Financial Security</t>
  </si>
  <si>
    <t>Diversify investments</t>
  </si>
  <si>
    <t>Managing multiple priorities</t>
  </si>
  <si>
    <t>Home ownership</t>
  </si>
  <si>
    <t>provide stability</t>
  </si>
  <si>
    <t>Employment journey</t>
  </si>
  <si>
    <t>work until eligible for pension retirement</t>
  </si>
  <si>
    <t>the 1st child starts going to school</t>
  </si>
  <si>
    <t>Enhance home environment</t>
  </si>
  <si>
    <t>Time management</t>
  </si>
  <si>
    <t>Life expectancy</t>
  </si>
  <si>
    <t>the 2nd child starts going to school</t>
  </si>
  <si>
    <t>Investment in education</t>
  </si>
  <si>
    <t>Requirement</t>
  </si>
  <si>
    <t>the 1st child starts going to university</t>
  </si>
  <si>
    <t>Education</t>
  </si>
  <si>
    <t>Property investments</t>
  </si>
  <si>
    <t>Empty nest challenges</t>
  </si>
  <si>
    <t>the 1st become financially independence</t>
  </si>
  <si>
    <t>Assess and adjust portfolio</t>
  </si>
  <si>
    <t>Shifting family dynamics</t>
  </si>
  <si>
    <t>the 2nd child starts going to university</t>
  </si>
  <si>
    <t>Real estate investments</t>
  </si>
  <si>
    <t>Balancing family dynamics</t>
  </si>
  <si>
    <t>the 2nd become financially independence</t>
  </si>
  <si>
    <t>Financial freedom</t>
  </si>
  <si>
    <t>Evaluate and adjust assets</t>
  </si>
  <si>
    <t>Retirement planning</t>
  </si>
  <si>
    <t>retire</t>
  </si>
  <si>
    <t>Travel and experience</t>
  </si>
  <si>
    <t>Adjusting to retired life</t>
  </si>
  <si>
    <t>Retire</t>
  </si>
  <si>
    <t>JAN</t>
  </si>
  <si>
    <t>FEB</t>
  </si>
  <si>
    <t>MAR</t>
  </si>
  <si>
    <t>APR</t>
  </si>
  <si>
    <t>MAY</t>
  </si>
  <si>
    <t>JUN</t>
  </si>
  <si>
    <t>JUL</t>
  </si>
  <si>
    <t>AUG</t>
  </si>
  <si>
    <t>SEPT</t>
  </si>
  <si>
    <t>OCT</t>
  </si>
  <si>
    <t>NOV</t>
  </si>
  <si>
    <t>DEC</t>
  </si>
  <si>
    <t>EXPENSES</t>
  </si>
  <si>
    <t>FIXED EXPENSES</t>
  </si>
  <si>
    <t>Ref</t>
  </si>
  <si>
    <t>Tuition fee</t>
  </si>
  <si>
    <t>Mortgage payment</t>
  </si>
  <si>
    <t>VARIABLE EXPENSES</t>
  </si>
  <si>
    <t>Clothing</t>
  </si>
  <si>
    <t>Entertainment/meals</t>
  </si>
  <si>
    <t>Miscellaneous</t>
  </si>
  <si>
    <t>TOTAL  EXPENSES</t>
  </si>
  <si>
    <t>Debts</t>
  </si>
  <si>
    <t>Total Liabilities</t>
  </si>
  <si>
    <t>Net worth</t>
  </si>
  <si>
    <t>Nominal risk-free rate</t>
  </si>
  <si>
    <t>Human capital per year</t>
  </si>
  <si>
    <t>Reference</t>
  </si>
  <si>
    <t>Total Pension Value</t>
  </si>
  <si>
    <t>Expected Return</t>
  </si>
  <si>
    <t>Instrument</t>
  </si>
  <si>
    <t>Principal</t>
  </si>
  <si>
    <t>Interest</t>
  </si>
  <si>
    <t>Inflation rate</t>
  </si>
  <si>
    <t>Savings</t>
  </si>
  <si>
    <t>Wealth at Beginning of Year</t>
  </si>
  <si>
    <t>Expected annual return</t>
  </si>
  <si>
    <t>Standard deviation of return</t>
  </si>
  <si>
    <t>Period 1</t>
  </si>
  <si>
    <t>Insurance value</t>
  </si>
  <si>
    <t>Total premium paid</t>
  </si>
  <si>
    <t>x</t>
  </si>
  <si>
    <t>Assets</t>
  </si>
  <si>
    <t>Monetary assets</t>
  </si>
  <si>
    <t>Total monetary assets</t>
  </si>
  <si>
    <t>Tangible assets</t>
  </si>
  <si>
    <t>Total tangible assets</t>
  </si>
  <si>
    <t>Total Assets</t>
  </si>
  <si>
    <t>Liabilities and Owner's Equity</t>
  </si>
  <si>
    <t>Short-term liabilities</t>
  </si>
  <si>
    <t>Personal loans, credit cards, and other debts</t>
  </si>
  <si>
    <t>Total short-term liabilities</t>
  </si>
  <si>
    <t>Long-Term Liabilities</t>
  </si>
  <si>
    <t>Mortgage</t>
  </si>
  <si>
    <t>Total long-term liabilities</t>
  </si>
  <si>
    <t>Liabilities</t>
  </si>
  <si>
    <t>Financial Capital</t>
  </si>
  <si>
    <t>Lifetime consumption needs (present value)</t>
  </si>
  <si>
    <t>Economic Net Worth</t>
  </si>
  <si>
    <t>Investment Analyst</t>
  </si>
  <si>
    <t>Investment Consultant</t>
  </si>
  <si>
    <t>Investment Manager</t>
  </si>
  <si>
    <t>Investment Director</t>
  </si>
  <si>
    <t>Chief Financial Officer</t>
  </si>
  <si>
    <t>Bachelor's degree; 2-3 years of relevant experience</t>
  </si>
  <si>
    <t>Bachelor's degree; 3-4 years of relevant experience</t>
  </si>
  <si>
    <t>Bachelor's degree; 4-5 years of relevant experience, CFA</t>
  </si>
  <si>
    <t>Bachelor's degree; &gt; 6 years of relevant experience, CFA</t>
  </si>
  <si>
    <t>Bachelor's degree; &gt; 8 years of relevant experience, CFA</t>
  </si>
  <si>
    <t>My career path</t>
  </si>
  <si>
    <t>accumulate and advance my career</t>
  </si>
  <si>
    <t>22-27</t>
  </si>
  <si>
    <t>2024-2029</t>
  </si>
  <si>
    <t>Investment Analyst (2024), Investment Consultant (2025), Investment Manager (2027), Investment Director (2029)</t>
  </si>
  <si>
    <t>CFO</t>
  </si>
  <si>
    <t>Trade Marketing Executive</t>
  </si>
  <si>
    <t>Trade Marketing Manager</t>
  </si>
  <si>
    <t>Trade Marketing Director</t>
  </si>
  <si>
    <t>My wife's career path</t>
  </si>
  <si>
    <t>My Personal Image</t>
  </si>
  <si>
    <t>Reference link</t>
  </si>
  <si>
    <t>Assumption: my wife would be born in 2007, she would be employed when she is 22, she would also graduate from FTU and she would be major in External Economics</t>
  </si>
  <si>
    <t>pass Fresh recruiment term or completion of intership, 1-2 years of experience in relevant domain</t>
  </si>
  <si>
    <t>3-5 years of relevant experience</t>
  </si>
  <si>
    <t>Challenges that I may face</t>
  </si>
  <si>
    <t>having my first child</t>
  </si>
  <si>
    <t>having my 2nd child</t>
  </si>
  <si>
    <t>my 1st child starts going to school</t>
  </si>
  <si>
    <t>my 2nd child starts going to school</t>
  </si>
  <si>
    <t>my 1st child starts going to university</t>
  </si>
  <si>
    <t>my 1st become financially independence</t>
  </si>
  <si>
    <t>my 2nd child starts going to university</t>
  </si>
  <si>
    <t>my 2nd become financially independence</t>
  </si>
  <si>
    <t>Possible solutions for my challenges</t>
  </si>
  <si>
    <t>Create a flexible work schedule or explore remote work options for better work-life balance</t>
  </si>
  <si>
    <t>Seek professional financial advice to diversify investments and ensure financial security</t>
  </si>
  <si>
    <t>Establish a family schedule to manage time effectively between work and family commitments</t>
  </si>
  <si>
    <t>Explore flexible work arrangements or delegate tasks to manage family and work responsibilities</t>
  </si>
  <si>
    <t>Reconnect with personal interests and hobbies to navigate the emotional challenges of an empty nest</t>
  </si>
  <si>
    <t>Collaborate with a financial advisor to reassess and adjust the investment portfolio for financial goals</t>
  </si>
  <si>
    <t>Prioritize tasks and set realistic goals to manage workload effectively
 Develop strong organizational skills to improve time management</t>
  </si>
  <si>
    <t>Open communication with partner to navigate and address challenges together
Establish a joint budget to manage finances and financial goals as a couple</t>
  </si>
  <si>
    <t>Foster open communication and support systems within the family to manage dynamics during this transition</t>
  </si>
  <si>
    <t>Continuously review and adjust financial assets to align with retirement goals and lifestyle</t>
  </si>
  <si>
    <t>Engage in retirement planning workshops and activities to ease the transition into retired life</t>
  </si>
  <si>
    <t>My Promotion</t>
  </si>
  <si>
    <t>My wife's promotion</t>
  </si>
  <si>
    <t>-</t>
  </si>
  <si>
    <t>Trade Marketing Manager (2031)</t>
  </si>
  <si>
    <t>Trade Marketing Director (2034)</t>
  </si>
  <si>
    <t>Expected average monthly salary</t>
  </si>
  <si>
    <t>BUDGET PLAN (2024)</t>
  </si>
  <si>
    <t>Vehicle maintanance</t>
  </si>
  <si>
    <t>Phone call + 4G network for my mobile phone</t>
  </si>
  <si>
    <t>Savings for Tet</t>
  </si>
  <si>
    <t>There are increases in salaries due to duration i become a CFO</t>
  </si>
  <si>
    <t>Duration</t>
  </si>
  <si>
    <t>Monthly gross salary</t>
  </si>
  <si>
    <t>Yearly gross salary</t>
  </si>
  <si>
    <t>Insurance</t>
  </si>
  <si>
    <t>Self - Tax - Deduction</t>
  </si>
  <si>
    <t>Inpendence Deduction</t>
  </si>
  <si>
    <t>Taxable Salary</t>
  </si>
  <si>
    <t>PIT</t>
  </si>
  <si>
    <t>Net salary</t>
  </si>
  <si>
    <t>Vietnam's Average Salary Increment</t>
  </si>
  <si>
    <t>17 months</t>
  </si>
  <si>
    <t>12 months</t>
  </si>
  <si>
    <t>My net income</t>
  </si>
  <si>
    <t>Motorbike insurance</t>
  </si>
  <si>
    <t>Social Insurance (8%)</t>
  </si>
  <si>
    <t>Medical Insurance (1.5%)</t>
  </si>
  <si>
    <t>Unemployment Insurance (1%)</t>
  </si>
  <si>
    <t>Gross salary*1%</t>
  </si>
  <si>
    <t>Gross salary*1.5%</t>
  </si>
  <si>
    <t>Gross salary*8%</t>
  </si>
  <si>
    <t>Rental fee</t>
  </si>
  <si>
    <t>Meals</t>
  </si>
  <si>
    <t>Emergency fund</t>
  </si>
  <si>
    <t>(1-1.5 million)</t>
  </si>
  <si>
    <t>Surplus (Deficit)</t>
  </si>
  <si>
    <t>TOTAL FIXED EXPENSES</t>
  </si>
  <si>
    <t>TOTAL VARIABLE EXPENSES</t>
  </si>
  <si>
    <t>TOTAL INCOME</t>
  </si>
  <si>
    <t>Utilities (including electricity, water, and related costs)</t>
  </si>
  <si>
    <t>(0.3 - 0.5 million)</t>
  </si>
  <si>
    <t>(1 - 1.5 million)</t>
  </si>
  <si>
    <t>Annually</t>
  </si>
  <si>
    <t>education costs are extremely significant, and saving in advance can help ease the financial burden</t>
  </si>
  <si>
    <t>Education savings for children</t>
  </si>
  <si>
    <t xml:space="preserve"> Educational Level</t>
  </si>
  <si>
    <t>Accumulate surplus/deficit</t>
  </si>
  <si>
    <t>Save a 30% down payment for home</t>
  </si>
  <si>
    <t>Save for my children's university education</t>
  </si>
  <si>
    <t>Label</t>
  </si>
  <si>
    <t>financial freedom in later years to satisfy all demands (especially for freedomly travelling)</t>
  </si>
  <si>
    <t>Title</t>
  </si>
  <si>
    <t>Achieve Bachelor in Finance</t>
  </si>
  <si>
    <t>Pursuing MS Degree in Financial Engineering (2025-2026)</t>
  </si>
  <si>
    <t>Achieve MS Degree in Financial Engineering</t>
  </si>
  <si>
    <t>Achieve Bachelor in Economics</t>
  </si>
  <si>
    <t>Chief Financial Officer (2030)</t>
  </si>
  <si>
    <t>As those expenses in the "Variable Expenses" category (utilities, meals,…) can not be calculated, therefore I estimated those by using RANDBETWEEN function within a significant interval</t>
  </si>
  <si>
    <t>Stage</t>
  </si>
  <si>
    <t>BUDGET PLAN (2025)</t>
  </si>
  <si>
    <t>Expected inflation rate</t>
  </si>
  <si>
    <t>BUDGET PLAN (2026)</t>
  </si>
  <si>
    <t>BUDGET PLAN (2027)</t>
  </si>
  <si>
    <t>BUDGET PLAN (2028)</t>
  </si>
  <si>
    <t>BUDGET PLAN (2029)</t>
  </si>
  <si>
    <t>YEARLY TOTAL</t>
  </si>
  <si>
    <t>BUDGET PLAN (2030)</t>
  </si>
  <si>
    <t>Savings for home's down payment</t>
  </si>
  <si>
    <t>I will learn MS in Financial Engineering at WorldQuant University. It is free-tuition fee, therefore I will not put higher education fee in my budgets. The MS Degree require Bachelor's Degree to learn. It is certified worthy by many experts &amp; big companies. This information is realistic because i am currently one of the students in at WQ University pursing Data Science</t>
  </si>
  <si>
    <t>Link to university web page</t>
  </si>
  <si>
    <t>BUDGET PLAN (2031)</t>
  </si>
  <si>
    <t>BUDGET PLAN (2032)</t>
  </si>
  <si>
    <t>Savings for wedding day</t>
  </si>
  <si>
    <t>I will be married in the end of 2032, so from 2031 till end of 2032, I will save for my wedding day. It is refered that an average costs for a wedding is 277 million VND</t>
  </si>
  <si>
    <t>At the end of this year, buy an apartment using all of the "Down payment savings" and use "Wedding savings" for wedding</t>
  </si>
  <si>
    <t>My wife's net income</t>
  </si>
  <si>
    <t>BUDGET PLAN (2033)</t>
  </si>
  <si>
    <t>Phone call + 4G network for mobile phones</t>
  </si>
  <si>
    <t>Savings for yearly vacations</t>
  </si>
  <si>
    <t>BUDGET PLAN (2034)</t>
  </si>
  <si>
    <t>Savings for children's education</t>
  </si>
  <si>
    <t>One more member in family, assume that in the future, both my 2 children are going to start at university, therefore when they are at university, I will provide them 150 million VND a month for every cost (fee, living,..). I create a savings for them from 2034 till end of 2052</t>
  </si>
  <si>
    <t>BUDGET PLAN (2035)</t>
  </si>
  <si>
    <t>BUDGET PLAN (2036)</t>
  </si>
  <si>
    <t>BUDGET PLAN (2037)</t>
  </si>
  <si>
    <t>BUDGET PLAN (2038)</t>
  </si>
  <si>
    <t>BUDGET PLAN (2039)</t>
  </si>
  <si>
    <t>BUDGET PLAN (2040)</t>
  </si>
  <si>
    <t>BUDGET PLAN (2041)</t>
  </si>
  <si>
    <t>BUDGET PLAN (2042)</t>
  </si>
  <si>
    <t>BUDGET PLAN (2043)</t>
  </si>
  <si>
    <t>BUDGET PLAN (2044)</t>
  </si>
  <si>
    <t>BUDGET PLAN (2045)</t>
  </si>
  <si>
    <t>BUDGET PLAN (2046)</t>
  </si>
  <si>
    <t>BUDGET PLAN (2047)</t>
  </si>
  <si>
    <t>BUDGET PLAN (2048)</t>
  </si>
  <si>
    <t>BUDGET PLAN (2049)</t>
  </si>
  <si>
    <t>BUDGET PLAN (2050)</t>
  </si>
  <si>
    <t>BUDGET PLAN (2051)</t>
  </si>
  <si>
    <t>BUDGET PLAN (2052)</t>
  </si>
  <si>
    <t>BUDGET PLAN (2053)</t>
  </si>
  <si>
    <t>BUDGET PLAN (2054)</t>
  </si>
  <si>
    <t>BUDGET PLAN (2055)</t>
  </si>
  <si>
    <t>BUDGET PLAN (2056)</t>
  </si>
  <si>
    <t>BUDGET PLAN (2057)</t>
  </si>
  <si>
    <t>BUDGET PLAN (2058)</t>
  </si>
  <si>
    <t>BUDGET PLAN (2059)</t>
  </si>
  <si>
    <t>BUDGET PLAN (2060)</t>
  </si>
  <si>
    <t>BUDGET PLAN (2061)</t>
  </si>
  <si>
    <t>BUDGET PLAN (2062)</t>
  </si>
  <si>
    <t>BUDGET PLAN (2063)</t>
  </si>
  <si>
    <t>BUDGET PLAN (2064)</t>
  </si>
  <si>
    <t>BUDGET PLAN (2065)</t>
  </si>
  <si>
    <t>BUDGET PLAN (2066)</t>
  </si>
  <si>
    <t>BUDGET PLAN (2067)</t>
  </si>
  <si>
    <t>BUDGET PLAN (2068)</t>
  </si>
  <si>
    <t>BUDGET PLAN (2069)</t>
  </si>
  <si>
    <t>BUDGET PLAN (2070)</t>
  </si>
  <si>
    <t>BUDGET PLAN (2071)</t>
  </si>
  <si>
    <t>BUDGET PLAN (2072)</t>
  </si>
  <si>
    <t>BUDGET PLAN (2073)</t>
  </si>
  <si>
    <t>BUDGET PLAN (2074)</t>
  </si>
  <si>
    <t>BUDGET PLAN (2075)</t>
  </si>
  <si>
    <t>BUDGET PLAN (2076)</t>
  </si>
  <si>
    <t>BUDGET PLAN (2077)</t>
  </si>
  <si>
    <t>BUDGET PLAN (2078)</t>
  </si>
  <si>
    <t>BUDGET PLAN (2079)</t>
  </si>
  <si>
    <t>BUDGET PLAN (2080)</t>
  </si>
  <si>
    <t>BUDGET PLAN (2081)</t>
  </si>
  <si>
    <t>BUDGET PLAN (2082)</t>
  </si>
  <si>
    <t>BUDGET PLAN (2083)</t>
  </si>
  <si>
    <t>BUDGET PLAN (2084)</t>
  </si>
  <si>
    <t>Cash in hand</t>
  </si>
  <si>
    <t>Checking account</t>
  </si>
  <si>
    <t>Honda Air Blade Standard (8-year used)</t>
  </si>
  <si>
    <t>Iphone XS (3-year used)</t>
  </si>
  <si>
    <t>Investment assets</t>
  </si>
  <si>
    <t>Stock Investment</t>
  </si>
  <si>
    <t>Total investment assets</t>
  </si>
  <si>
    <t>Laptop HP Pavillion (15-eg2xxx model, 2-year used)</t>
  </si>
  <si>
    <t>Traditional Balance Sheet (2024)</t>
  </si>
  <si>
    <t>Savings account (saved about 2.5 years, 1 million per month)</t>
  </si>
  <si>
    <t>Traditional Balance Sheet: those kind of assets and liabilities are data from my real life (current), as there are no liabities therefore I consider not to calculate Ratios</t>
  </si>
  <si>
    <t>Mortality rate</t>
  </si>
  <si>
    <t>Probability of surviving to year t</t>
  </si>
  <si>
    <t>Income from employment in period t</t>
  </si>
  <si>
    <t>Annual wage growth rate</t>
  </si>
  <si>
    <t>Risk premium associated with income volatility</t>
  </si>
  <si>
    <t>Length of working life</t>
  </si>
  <si>
    <t>BUDGET PLAN (2085)</t>
  </si>
  <si>
    <t>BUDGET PLAN (2086)</t>
  </si>
  <si>
    <t>t</t>
  </si>
  <si>
    <t>Human capital</t>
  </si>
  <si>
    <t>Checking accounts</t>
  </si>
  <si>
    <t>Savings accounts</t>
  </si>
  <si>
    <t>My human capital</t>
  </si>
  <si>
    <t>Save 3 months (in a year) worth of living expenses</t>
  </si>
  <si>
    <t>I plan to buy an apartment with 2 bedrooms in 2032 with current (2024) price is 2.7 billion VND, therefore I save a down payment of 30% for ownership from 2028 till end of 2032, each year the price of an apartment will rise about 10% according to reliable statistics</t>
  </si>
  <si>
    <t>Down payment</t>
  </si>
  <si>
    <t>Term (months)</t>
  </si>
  <si>
    <t>EAR (monthly compound)</t>
  </si>
  <si>
    <t>Month</t>
  </si>
  <si>
    <t>Ending balance</t>
  </si>
  <si>
    <t>Current home price (2024)</t>
  </si>
  <si>
    <t>Future price (2032)</t>
  </si>
  <si>
    <t>Interest rate (VCB)</t>
  </si>
  <si>
    <t>Repayment</t>
  </si>
  <si>
    <t>Ending Balance</t>
  </si>
  <si>
    <t>Loan term (months)</t>
  </si>
  <si>
    <t>Monthly payment</t>
  </si>
  <si>
    <t>Start Date</t>
  </si>
  <si>
    <t>No more tuition fee</t>
  </si>
  <si>
    <t>Wage growth rate</t>
  </si>
  <si>
    <t>Risk-free rate</t>
  </si>
  <si>
    <t>Slippage</t>
  </si>
  <si>
    <t>Adjusted salary</t>
  </si>
  <si>
    <t>Gross Salary (monthly)</t>
  </si>
  <si>
    <t>Total adjusted salary</t>
  </si>
  <si>
    <t>Salary on Social Insurance (year)</t>
  </si>
  <si>
    <t>Fractional</t>
  </si>
  <si>
    <t>Retirement salary (monthly)</t>
  </si>
  <si>
    <t>Average total adjusted salary</t>
  </si>
  <si>
    <t>Retirement salary (yearly)</t>
  </si>
  <si>
    <t>Survival rate</t>
  </si>
  <si>
    <t>Pension value</t>
  </si>
  <si>
    <t>t (from 2024)</t>
  </si>
  <si>
    <t>My pension value</t>
  </si>
  <si>
    <t>Economic Balance Sheet (2024)</t>
  </si>
  <si>
    <t>Model</t>
  </si>
  <si>
    <t>Rolling price</t>
  </si>
  <si>
    <t>Vehicle registration tax</t>
  </si>
  <si>
    <t>License plate</t>
  </si>
  <si>
    <t>Vehicle inspection fee</t>
  </si>
  <si>
    <t>Road maintenance fee</t>
  </si>
  <si>
    <t>Road maintenance fee (per year)</t>
  </si>
  <si>
    <t>Liability insurance</t>
  </si>
  <si>
    <t>Mazda 3 Sedan 1.5L Deluxe</t>
  </si>
  <si>
    <t>Listed price</t>
  </si>
  <si>
    <t>Listed price (2034)</t>
  </si>
  <si>
    <t>Depreciation (1-3 years)</t>
  </si>
  <si>
    <t>Depreciation (4-7 years)</t>
  </si>
  <si>
    <t>Depreciation (8-10 years)</t>
  </si>
  <si>
    <t>Vehicle registration tax (2034)</t>
  </si>
  <si>
    <t>License plate (2034)</t>
  </si>
  <si>
    <t>Vehicle inspection fee (2034)</t>
  </si>
  <si>
    <t>Liability insurance (2034)</t>
  </si>
  <si>
    <t>Road maintenance fee (2034)</t>
  </si>
  <si>
    <t>Rolling price (2034)</t>
  </si>
  <si>
    <t>Car depreciation over time</t>
  </si>
  <si>
    <t>Savings per month</t>
  </si>
  <si>
    <t>My retirement income</t>
  </si>
  <si>
    <t>My wife's retirement income</t>
  </si>
  <si>
    <t>Buy at the end of 2034, using car savings amount from 2033 and 2034</t>
  </si>
  <si>
    <t>Car savings</t>
  </si>
  <si>
    <t>No more "rental fee", contribute to "car savings"</t>
  </si>
  <si>
    <t>Road maintainance fee</t>
  </si>
  <si>
    <t>Finish mortgage payment</t>
  </si>
  <si>
    <t>Consumption value</t>
  </si>
  <si>
    <t>Discount rate</t>
  </si>
  <si>
    <t>Yearly expenses (family)</t>
  </si>
  <si>
    <t>Budgeting family member</t>
  </si>
  <si>
    <t>Average yearly expenses (myself)</t>
  </si>
  <si>
    <t>Lifetime consumption value</t>
  </si>
  <si>
    <t>Bequests</t>
  </si>
  <si>
    <t>Monthly deposit</t>
  </si>
  <si>
    <t>Listed Price (2024)</t>
  </si>
  <si>
    <t>https://www.vietnamworks.com/lo-trinh-su-nghiep/chuyen-vien/3</t>
  </si>
  <si>
    <t>https://www.vietnamworks.com/lo-trinh-su-nghiep/giam-doc/22</t>
  </si>
  <si>
    <t>https://thuvienphapluat.vn/chinh-sach-phap-luat-moi/vn/thoi-su-phap-luat/tu-van-phap-luat/52534/quy-dinh-ky-hop-dong-lao-dong-co-thoi-han-moi-nhat-2023#google_vignette</t>
  </si>
  <si>
    <t>https://luatvietnam.vn/tinh-luong-gross-net.html</t>
  </si>
  <si>
    <t>https://oto.com.vn/bang-gia-xe-o-to-mazda-3-moi-nhat</t>
  </si>
  <si>
    <t>https://www.toyota.com.vn/tin-tuc/thong-tin-bo-tro/khau-hao-xe-o-to-35631</t>
  </si>
  <si>
    <t>https://portal.vietcombank.com.vn/Personal/lai-suat/Pages/lai-suat.aspx?devicechannel=default</t>
  </si>
  <si>
    <t>https://batdongsan.com.vn/tin-tuc/lai-suat-vay-mua-nha-ngan-hang-nao-thap-nhat-103041</t>
  </si>
  <si>
    <t>https://rever.vn/mua/can-ho-vinhomes-grand-park-huong-ban-cong-dong-nam-noi-that-co-ban-dien-tich-59-1m2-5</t>
  </si>
  <si>
    <t>https://daidoanket.vn/gia-nha-tang-lien-tuc-nhieu-nam-nguoi-lao-dong-lam-sao-co-nha-10205564.html</t>
  </si>
  <si>
    <t>https://mykatstudio.com/chi-phi-dam-cuoi.html</t>
  </si>
  <si>
    <t>https://baohiemxahoidientu.vn/bhxh/cach-tinh-luong-huu-va-tro-cap-mot-lan-khi-nghi-huu.html</t>
  </si>
  <si>
    <t>https://vnexpress.net/tien-luong-dong-bhxh-bhyt-bhtn-toi-da-cua-nguoi-lao-dong-tu-1-7-4624584.html</t>
  </si>
  <si>
    <t>https://thuvienphapluat.vn/phap-luat-doanh-nghiep/bai-viet/co-duoc-chuyen-tu-bhxh-bat-buoc-sang-bhxh-tu-nguyen-khong-1595.html</t>
  </si>
  <si>
    <t>https://luatvietnam.vn/bao-hiem/he-so-truot-gia-bhxh-563-28957-article.html</t>
  </si>
  <si>
    <t>https://luatminhkhue.vn/cach-tinh-he-so-truot-gia.aspx</t>
  </si>
  <si>
    <t>https://www.financialsamurai.com/how-do-i-calculate-the-value-of-my-pension/</t>
  </si>
  <si>
    <t>Death benefit</t>
  </si>
  <si>
    <t>Annual premium</t>
  </si>
  <si>
    <t>Duration of premium payments</t>
  </si>
  <si>
    <t>Insurance premium</t>
  </si>
  <si>
    <t>https://www.manulife.com.vn/vi/bao-hiem-nhan-tho/bao-hiem-nhan-tho-manulife-moi-nhat/an-tam-vui-song.html</t>
  </si>
  <si>
    <t>Current Wealth</t>
  </si>
  <si>
    <t>Government bonds</t>
  </si>
  <si>
    <t>Return</t>
  </si>
  <si>
    <t>Invested in government bonds</t>
  </si>
  <si>
    <t>Wealth at End of Year</t>
  </si>
  <si>
    <t>Simulation</t>
  </si>
  <si>
    <t>Average</t>
  </si>
  <si>
    <t>Volatility</t>
  </si>
  <si>
    <t>25th Percentile</t>
  </si>
  <si>
    <t>75th Percentile</t>
  </si>
  <si>
    <t>50th Percentile</t>
  </si>
  <si>
    <t>95th Percentile</t>
  </si>
  <si>
    <t>Cash</t>
  </si>
  <si>
    <t>Period 1 (2024-2034)</t>
  </si>
  <si>
    <t>Period 2 (2035-2044)</t>
  </si>
  <si>
    <t>Period 3 (2045-2055)</t>
  </si>
  <si>
    <t>Period 4 (2056-2062)</t>
  </si>
  <si>
    <t>Period 5 (2063-2086)</t>
  </si>
  <si>
    <t>Risk assessment</t>
  </si>
  <si>
    <t>Period 2</t>
  </si>
  <si>
    <t>Period 3</t>
  </si>
  <si>
    <t>Period 4</t>
  </si>
  <si>
    <t>Period 5</t>
  </si>
  <si>
    <t>Risk taker</t>
  </si>
  <si>
    <t>Risk neutral</t>
  </si>
  <si>
    <t>Risk adverse</t>
  </si>
  <si>
    <t>Asset Allocation through periods</t>
  </si>
  <si>
    <t>Government bond yields</t>
  </si>
  <si>
    <t>Deposit rate</t>
  </si>
  <si>
    <t>Bond return</t>
  </si>
  <si>
    <t>Savings return</t>
  </si>
  <si>
    <t>Date</t>
  </si>
  <si>
    <t>Risk tolerance through periods</t>
  </si>
  <si>
    <t>FUEVN100</t>
  </si>
  <si>
    <t>Mean return</t>
  </si>
  <si>
    <t>E1VFVN30</t>
  </si>
  <si>
    <t>Price</t>
  </si>
  <si>
    <t>28/12/2023</t>
  </si>
  <si>
    <t>VCBF-FIF</t>
  </si>
  <si>
    <t>Period</t>
  </si>
  <si>
    <t>Cash holding amount</t>
  </si>
  <si>
    <t>Savings amount</t>
  </si>
  <si>
    <t>1 + Return on savings</t>
  </si>
  <si>
    <t>Normal random numbers</t>
  </si>
  <si>
    <t>Invested in FUEVN100</t>
  </si>
  <si>
    <t>1 + Return on FUEVN100</t>
  </si>
  <si>
    <t>Invested in VCBF-FIF</t>
  </si>
  <si>
    <t>1 + Return on VCBF-FIF</t>
  </si>
  <si>
    <t>1 + Return on government bonds</t>
  </si>
  <si>
    <t>Emergency funds balance</t>
  </si>
  <si>
    <t>Expected usage of emergency funds</t>
  </si>
  <si>
    <t>Remaining balance</t>
  </si>
  <si>
    <t>Additional amount to invest</t>
  </si>
  <si>
    <t>Deposit to demand account</t>
  </si>
  <si>
    <t>Additional funds</t>
  </si>
  <si>
    <t>Wealth at End of 63th year</t>
  </si>
  <si>
    <t>Test</t>
  </si>
  <si>
    <t>Housing</t>
  </si>
  <si>
    <t>Test value</t>
  </si>
  <si>
    <t>Housing Prob (successful)</t>
  </si>
  <si>
    <t>Mortgage Prob (successful)</t>
  </si>
  <si>
    <t>Children's Education</t>
  </si>
  <si>
    <t>Education Prob (successful)</t>
  </si>
  <si>
    <t>Financial freedom Prob (successful)</t>
  </si>
  <si>
    <t>https://ebh.vn/nghiep-vu-tong-hop/muc-huong-luong-huu</t>
  </si>
  <si>
    <t>1. Annual living expenses and other needs</t>
  </si>
  <si>
    <t>Total</t>
  </si>
  <si>
    <t>Funeral</t>
  </si>
  <si>
    <t>Net balance</t>
  </si>
  <si>
    <t>2. After death expenses</t>
  </si>
  <si>
    <t>3. Settling outstanding debts</t>
  </si>
  <si>
    <t>Wife's income</t>
  </si>
  <si>
    <t>Social insurance for death</t>
  </si>
  <si>
    <t>Living expenses</t>
  </si>
  <si>
    <t>1. Annual living expenses</t>
  </si>
  <si>
    <t>Need Action</t>
  </si>
  <si>
    <t>Risk covered (no more action needed)</t>
  </si>
  <si>
    <t>Insurance premium needed</t>
  </si>
  <si>
    <t>Premature Mortality Risk (Mortality at 50)</t>
  </si>
  <si>
    <t>Premature Mortality Risk (Mortality at 40)</t>
  </si>
  <si>
    <t>Financial resources available after mortality</t>
  </si>
  <si>
    <t>Expected expenses after mortality</t>
  </si>
  <si>
    <t>LONGEVITY RISK</t>
  </si>
  <si>
    <t>Changes in Cash flow if there is longevity risk</t>
  </si>
  <si>
    <t>Increase in Income</t>
  </si>
  <si>
    <t>Increase in Expense</t>
  </si>
  <si>
    <t>Difference</t>
  </si>
  <si>
    <t>Age
85-90</t>
  </si>
  <si>
    <t>Estimated expenses</t>
  </si>
  <si>
    <t>Retirement income + surplus</t>
  </si>
  <si>
    <t>Return from investment (75% chance)</t>
  </si>
  <si>
    <t>I live 5 years longer than expected</t>
  </si>
  <si>
    <t>Insurance amount needed</t>
  </si>
  <si>
    <t>Expense &gt; Income ?</t>
  </si>
  <si>
    <t>HEALTH RISK</t>
  </si>
  <si>
    <t>22 - 29</t>
  </si>
  <si>
    <t>30 - 34</t>
  </si>
  <si>
    <t>35 - 39</t>
  </si>
  <si>
    <t>40 - 44</t>
  </si>
  <si>
    <t>45 - 49</t>
  </si>
  <si>
    <t>50 - 54</t>
  </si>
  <si>
    <t>55 - 59</t>
  </si>
  <si>
    <t>60 - 64</t>
  </si>
  <si>
    <t>65 - 69</t>
  </si>
  <si>
    <t>70 - 74</t>
  </si>
  <si>
    <t>75 - 79</t>
  </si>
  <si>
    <t>80 - 85</t>
  </si>
  <si>
    <t>75 -79</t>
  </si>
  <si>
    <t>Healthy ageing</t>
  </si>
  <si>
    <t>2023 - 2030</t>
  </si>
  <si>
    <t>2031 - 2035</t>
  </si>
  <si>
    <t>2036 - 2040</t>
  </si>
  <si>
    <t>2041 - 2045</t>
  </si>
  <si>
    <t>2046 - 2050</t>
  </si>
  <si>
    <t>2051 - 2055</t>
  </si>
  <si>
    <t>2056 - 2060</t>
  </si>
  <si>
    <t>Age interval</t>
  </si>
  <si>
    <t>Variation in costs</t>
  </si>
  <si>
    <t>2023 GDP per capita (in USD)</t>
  </si>
  <si>
    <t>2023 GDP per capita (in VND)</t>
  </si>
  <si>
    <t>Exchange rate (VND/USD)</t>
  </si>
  <si>
    <t>Early-onset illness</t>
  </si>
  <si>
    <t>Growth rate</t>
  </si>
  <si>
    <t>Healthcare spending per capita by age group in 2017</t>
  </si>
  <si>
    <t>Anticipated increase in per capita healthcare spending due to population aging</t>
  </si>
  <si>
    <t>Projected healthcare expenditure per individual based on age groups</t>
  </si>
  <si>
    <t>Data reference</t>
  </si>
  <si>
    <t>2061 - later on</t>
  </si>
  <si>
    <t>Later on</t>
  </si>
  <si>
    <t>GDP per capita share (health aging)</t>
  </si>
  <si>
    <t>GDP per capita share (Early-onset illness)</t>
  </si>
  <si>
    <t>Unforeseen healthcare costs (early-onset illness)</t>
  </si>
  <si>
    <t>Health expenditure as per the plan (health aging)</t>
  </si>
  <si>
    <t>Solutions: Emergency funds</t>
  </si>
  <si>
    <t>https://vietnamlawmagazine.vn/vietnam-likely-to-keep-inflation-below-45-percent-in-2023-economists-70113.html</t>
  </si>
  <si>
    <t>https://www.qdnd.vn/quoc-te/doi-song/adb-du-bao-lam-phat-o-viet-nam-se-cham-lai-o-muc-4-735251</t>
  </si>
  <si>
    <t>https://forbes.vn/viet-nam-se-kiem-soat-duoc-lam-phat-muc-tieu-4-nam-2022</t>
  </si>
  <si>
    <t>Data on the cost of living in Vietnam</t>
  </si>
  <si>
    <t>https://www.gso.gov.vn/wp-content/uploads/2020/05/VHLSS2018.pdf</t>
  </si>
  <si>
    <r>
      <rPr>
        <b/>
        <sz val="10"/>
        <color rgb="FF000000"/>
        <rFont val="Times New Roman"/>
        <family val="1"/>
      </rPr>
      <t>Inflation assumptions:</t>
    </r>
    <r>
      <rPr>
        <sz val="10"/>
        <color rgb="FF000000"/>
        <rFont val="Times New Roman"/>
        <family val="1"/>
      </rPr>
      <t xml:space="preserve"> The budget from 2024-2086 undergoes significant cost changes, requiring the calculation of separate Compound Annual Growth Rates (CAGR) for each specific expense. Due to the economic development observed in Vietnam compared to data before 2018, inflation rates are expected to be relatively stable. Based on various sources, including attached documents and statistical websites providing inflation rates in Vietnam for each year, as well as research predicting future inflation rates, it is evident that the Vietnamese government aims to maintain a stable inflation rate ranging from 3.5% to 4.5% annually. Therefore, the annual inflation rate used in this analysis is conservatively set at an average of </t>
    </r>
    <r>
      <rPr>
        <b/>
        <sz val="10"/>
        <color rgb="FF000000"/>
        <rFont val="Times New Roman"/>
        <family val="1"/>
      </rPr>
      <t>4% per year.</t>
    </r>
  </si>
  <si>
    <t>Insurance package I choose</t>
  </si>
  <si>
    <t>An Tâm Vui Sống (Manulife)</t>
  </si>
  <si>
    <t>Insurance term</t>
  </si>
  <si>
    <t>30 year</t>
  </si>
  <si>
    <t>Benefit</t>
  </si>
  <si>
    <t>100% death benefit</t>
  </si>
  <si>
    <t>Background Overview</t>
  </si>
  <si>
    <t>Inflation Rate Assumption</t>
  </si>
  <si>
    <t>Income Tax Calculation</t>
  </si>
  <si>
    <t>Car Purchasing Calculation</t>
  </si>
  <si>
    <t>Savings for Home's Down Payment</t>
  </si>
  <si>
    <t>Home's Mortgage Payment</t>
  </si>
  <si>
    <t>Budgeting (2024-2086)</t>
  </si>
  <si>
    <t>Lifetime Consumption Needs Calculation</t>
  </si>
  <si>
    <t>Human Capital Calculation</t>
  </si>
  <si>
    <t>Retirement Salary Calculation</t>
  </si>
  <si>
    <t>Pension Value Calculation</t>
  </si>
  <si>
    <t>Balance Sheet (Traditional &amp; Economic)</t>
  </si>
  <si>
    <t>Purchasing Insurance</t>
  </si>
  <si>
    <t>Investment</t>
  </si>
  <si>
    <t>Risk Assessment</t>
  </si>
  <si>
    <t>1.1. Financial Goals</t>
  </si>
  <si>
    <t>1.3. My Career Path</t>
  </si>
  <si>
    <t>1.4. My Wife's Career Path</t>
  </si>
  <si>
    <t>1.5. Timeline Breakdown</t>
  </si>
  <si>
    <t>3.1. My Income Tax Calculation</t>
  </si>
  <si>
    <t>3.2. My Wife's Income Tax Calculation</t>
  </si>
  <si>
    <t>7.1. Stage 1 budget</t>
  </si>
  <si>
    <t>7.2. Stage 2 budget</t>
  </si>
  <si>
    <t>7.3. Stage 3 budget</t>
  </si>
  <si>
    <t>7.4. Stage 4 budget</t>
  </si>
  <si>
    <t>7.5. Stage 5&amp;6 budget</t>
  </si>
  <si>
    <t>7.6. Stage 7&amp;8 budget</t>
  </si>
  <si>
    <t>7.7. Stage 8&amp;9&amp;10 budget</t>
  </si>
  <si>
    <t>9.1. My Human Capital Calculation</t>
  </si>
  <si>
    <t>9.2. My Wife's Human Capital Calculation</t>
  </si>
  <si>
    <t>10.1. My Retirement Salary Calculation</t>
  </si>
  <si>
    <t>10.2. My Wife's Retirement Salary Calculation</t>
  </si>
  <si>
    <t>14.1. Asset Allocation Distribution</t>
  </si>
  <si>
    <t>14.2. Risk &amp; Return Calculation</t>
  </si>
  <si>
    <t>14.3. Additional funds to invest</t>
  </si>
  <si>
    <t>15.1. Premature Mortality Risk Analysis</t>
  </si>
  <si>
    <t>15.2. Longevity Risk Analysis</t>
  </si>
  <si>
    <t>15.3. Health Risk Analysis</t>
  </si>
  <si>
    <t>TABLE OF CONTENTS</t>
  </si>
  <si>
    <t>Setting personal's financial goals</t>
  </si>
  <si>
    <t>More Description</t>
  </si>
  <si>
    <t>1.2. Current Personal Status (2024)</t>
  </si>
  <si>
    <t>Expected working journey</t>
  </si>
  <si>
    <t>Breakdown of life through important events</t>
  </si>
  <si>
    <t>Assumption for setting inflation rate</t>
  </si>
  <si>
    <t>Calculation of monthly savings to buy a car</t>
  </si>
  <si>
    <t>Calculation of monthly savings to make a 30% down payment of home purchase</t>
  </si>
  <si>
    <t>Calculation of monthly payment to repay all mortgage debts in 30 years</t>
  </si>
  <si>
    <t>Budget for Stage 1 in "Timeline Breakdown" section, from 2024 till 2029</t>
  </si>
  <si>
    <t>Budget for Stage 2 in "Timeline Breakdown" section, from 2030 till 2033</t>
  </si>
  <si>
    <t>Budget for Stage 3 in "Timeline Breakdown" section, from 2034 till 2039</t>
  </si>
  <si>
    <t>Budget for Stage 4 in "Timeline Breakdown" section, from 2040 till 2041</t>
  </si>
  <si>
    <t>Budget for Stage 5&amp;6 in "Timeline Breakdown" section, from 2042 till 2053</t>
  </si>
  <si>
    <t>Budget for Stage 7&amp;8 in "Timeline Breakdown" section, from 2054 till 2059</t>
  </si>
  <si>
    <t>Budget for Stage 8&amp;9&amp;10 in "Timeline Breakdown" section, from 2060 till 2086</t>
  </si>
  <si>
    <t>In this part, I only calculate pension value for myself as my wife's life expectancy is unknown</t>
  </si>
  <si>
    <t>Construction of Traditional Balance Sheet &amp; Economic Balance Sheet in 2024</t>
  </si>
  <si>
    <t>I choose insurance package for both me and my wife the same package</t>
  </si>
  <si>
    <t>My investment portfolio overtime &amp; Risk tolerance level</t>
  </si>
  <si>
    <t>Calculate expected return &amp; standard deviation of return for all instruments in my portfolio in section 14.1</t>
  </si>
  <si>
    <t>Calculate yearly deposit into my investment account based on assumptions in this sheet</t>
  </si>
  <si>
    <t>Evaluating the likelihood and potential impact of death occurring at an earlier age than expected</t>
  </si>
  <si>
    <t>Assessing the potential financial impact and uncertainties associated with increased life expectancy</t>
  </si>
  <si>
    <t xml:space="preserve"> Assessment and evaluation of factors that contribute to potential health threats or vulnerabilities</t>
  </si>
  <si>
    <t>Financial Freedom</t>
  </si>
  <si>
    <t>Maintain budgeting plan surplus and implement investment strategy</t>
  </si>
  <si>
    <t>from job (no passive income exists)</t>
  </si>
  <si>
    <t>Additional assumptions/events</t>
  </si>
  <si>
    <t>Economic Balance Sheet: All other information is from calculation &amp; previous assumptions</t>
  </si>
  <si>
    <t>For those sheets that need assumptions, all relevant assumptions/justifications are included in each of those</t>
  </si>
  <si>
    <t>https://vneconomy.vn/cach-tinh-luong-huu-khi-dong-ca-bao-hiem-xa-hoi-bat-buoc-va-tu-nguyen.htm?fbclid=IwAR3HFCeMDl-HX8g2zgpCkQ0gvCQ6GqdrmRHBm5G-4zRNo8zMdl8lPFBhDvs</t>
  </si>
  <si>
    <t>CASE 1: RISK NEUTRAL ORIENTATION</t>
  </si>
  <si>
    <t>CASE 2: RISK TAKER ORIENTATION</t>
  </si>
  <si>
    <t>CASE 3: RISK ADVERSE ORIENTATION</t>
  </si>
  <si>
    <t>Input</t>
  </si>
  <si>
    <t>14.4. Monte Carlo Simulation (Case 1)</t>
  </si>
  <si>
    <t>14.5. Monte Carlo Simulation (Case 2)</t>
  </si>
  <si>
    <t>14.6. Monte Carlo Simulation (Case 3)</t>
  </si>
  <si>
    <r>
      <t xml:space="preserve">Run the simulation &amp; test for home, mortgage, financial freedom in case of being </t>
    </r>
    <r>
      <rPr>
        <b/>
        <sz val="10"/>
        <color rgb="FF000000"/>
        <rFont val="Times New Roman"/>
        <family val="1"/>
      </rPr>
      <t>risk neutral tendency</t>
    </r>
  </si>
  <si>
    <r>
      <t xml:space="preserve">Run the simulation &amp; test for home, mortgage, financial freedom in case of being a </t>
    </r>
    <r>
      <rPr>
        <b/>
        <sz val="10"/>
        <color rgb="FF000000"/>
        <rFont val="Times New Roman"/>
        <family val="1"/>
      </rPr>
      <t>risk taker tendency</t>
    </r>
  </si>
  <si>
    <t>Không thuộc đối tượng thực hiện chế độ tiền lương do Nhà nước quy định -&gt; not divide by 20, divide by working life</t>
  </si>
  <si>
    <t>Interest rate (BIDV)</t>
  </si>
  <si>
    <t>Monthly insurance premium (2 people)</t>
  </si>
  <si>
    <t>Estimations: each year use 80% of emergency fund, 50% of the remaining balance will be add to investment account, the other 50% will deposit into demand account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</si>
</sst>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0[$VND]"/>
    <numFmt numFmtId="165" formatCode="#,##0[$ ₫]"/>
    <numFmt numFmtId="166" formatCode="0.0000"/>
    <numFmt numFmtId="167" formatCode="#,##0\ [$₫-42A]"/>
    <numFmt numFmtId="168" formatCode="#,##0.00\ [$₫-42A]"/>
    <numFmt numFmtId="169" formatCode="#,##0\ [$₫-42A];\-#,##0\ [$₫-42A]"/>
  </numFmts>
  <fonts count="41" x14ac:knownFonts="1">
    <font>
      <sz val="10"/>
      <color rgb="FF000000"/>
      <name val="Arial"/>
      <scheme val="minor"/>
    </font>
    <font>
      <sz val="10"/>
      <name val="Arial"/>
    </font>
    <font>
      <sz val="10"/>
      <color theme="1"/>
      <name val="Times New Roman"/>
    </font>
    <font>
      <b/>
      <sz val="10"/>
      <color theme="1"/>
      <name val="Times New Roman"/>
    </font>
    <font>
      <sz val="10"/>
      <color rgb="FF000000"/>
      <name val="Arial"/>
      <scheme val="minor"/>
    </font>
    <font>
      <u/>
      <sz val="10"/>
      <color theme="10"/>
      <name val="Arial"/>
      <scheme val="minor"/>
    </font>
    <font>
      <b/>
      <sz val="12"/>
      <color rgb="FFFFFFFF"/>
      <name val="Times New Roman"/>
      <family val="1"/>
    </font>
    <font>
      <sz val="12"/>
      <color rgb="FF000000"/>
      <name val="Times New Roman"/>
      <family val="1"/>
    </font>
    <font>
      <b/>
      <sz val="12"/>
      <color rgb="FF000000"/>
      <name val="Times New Roman"/>
      <family val="1"/>
    </font>
    <font>
      <sz val="10"/>
      <color rgb="FF000000"/>
      <name val="Times New Roman"/>
      <family val="1"/>
    </font>
    <font>
      <sz val="10"/>
      <color theme="1"/>
      <name val="Times New Roman"/>
      <family val="1"/>
    </font>
    <font>
      <b/>
      <sz val="10"/>
      <color rgb="FF000000"/>
      <name val="Times New Roman"/>
      <family val="1"/>
    </font>
    <font>
      <b/>
      <sz val="10"/>
      <color theme="1"/>
      <name val="Times New Roman"/>
      <family val="1"/>
    </font>
    <font>
      <sz val="10"/>
      <name val="Times New Roman"/>
      <family val="1"/>
    </font>
    <font>
      <b/>
      <sz val="20"/>
      <color rgb="FF808080"/>
      <name val="Times New Roman"/>
      <family val="1"/>
    </font>
    <font>
      <sz val="11"/>
      <color theme="1"/>
      <name val="Times New Roman"/>
      <family val="1"/>
    </font>
    <font>
      <b/>
      <sz val="11"/>
      <color theme="0"/>
      <name val="Times New Roman"/>
      <family val="1"/>
    </font>
    <font>
      <b/>
      <sz val="11"/>
      <color theme="1"/>
      <name val="Times New Roman"/>
      <family val="1"/>
    </font>
    <font>
      <sz val="11"/>
      <color rgb="FFE4E6EB"/>
      <name val="Times New Roman"/>
      <family val="1"/>
    </font>
    <font>
      <sz val="10"/>
      <color theme="0"/>
      <name val="Times New Roman"/>
      <family val="1"/>
    </font>
    <font>
      <b/>
      <sz val="10"/>
      <color theme="0"/>
      <name val="Times New Roman"/>
      <family val="1"/>
    </font>
    <font>
      <b/>
      <sz val="10"/>
      <color rgb="FFFFFFFF"/>
      <name val="Times New Roman"/>
      <family val="1"/>
    </font>
    <font>
      <u/>
      <sz val="10"/>
      <color theme="10"/>
      <name val="Times New Roman"/>
      <family val="1"/>
    </font>
    <font>
      <b/>
      <sz val="10"/>
      <name val="Times New Roman"/>
      <family val="1"/>
    </font>
    <font>
      <b/>
      <sz val="10"/>
      <color theme="0"/>
      <name val="Arial"/>
      <family val="2"/>
    </font>
    <font>
      <b/>
      <sz val="20"/>
      <color theme="0"/>
      <name val="Times New Roman"/>
      <family val="1"/>
    </font>
    <font>
      <b/>
      <sz val="12"/>
      <color theme="0"/>
      <name val="Times New Roman"/>
      <family val="1"/>
    </font>
    <font>
      <b/>
      <i/>
      <sz val="12"/>
      <color theme="0"/>
      <name val="Times New Roman"/>
      <family val="1"/>
    </font>
    <font>
      <b/>
      <sz val="14"/>
      <color theme="0"/>
      <name val="Times New Roman"/>
      <family val="1"/>
    </font>
    <font>
      <b/>
      <i/>
      <sz val="11"/>
      <color theme="0"/>
      <name val="Times New Roman"/>
      <family val="1"/>
    </font>
    <font>
      <sz val="10"/>
      <color rgb="FF000000"/>
      <name val="Arial"/>
      <family val="2"/>
      <scheme val="minor"/>
    </font>
    <font>
      <b/>
      <u/>
      <sz val="10"/>
      <color theme="0"/>
      <name val="Times New Roman"/>
      <family val="1"/>
    </font>
    <font>
      <sz val="11"/>
      <color rgb="FF000000"/>
      <name val="Times New Roman"/>
      <family val="1"/>
    </font>
    <font>
      <b/>
      <sz val="11"/>
      <color rgb="FF000000"/>
      <name val="Times New Roman"/>
      <family val="1"/>
    </font>
    <font>
      <b/>
      <sz val="11"/>
      <name val="Times New Roman"/>
      <family val="1"/>
    </font>
    <font>
      <b/>
      <sz val="15"/>
      <color theme="0"/>
      <name val="Times New Roman"/>
      <family val="1"/>
    </font>
    <font>
      <sz val="10"/>
      <color theme="0"/>
      <name val="Arial"/>
      <family val="2"/>
      <scheme val="minor"/>
    </font>
    <font>
      <b/>
      <i/>
      <sz val="12"/>
      <color rgb="FF000000"/>
      <name val="Times New Roman"/>
      <family val="1"/>
    </font>
    <font>
      <b/>
      <i/>
      <sz val="12"/>
      <name val="Times New Roman"/>
      <family val="1"/>
    </font>
    <font>
      <u/>
      <sz val="11"/>
      <color theme="10"/>
      <name val="Times New Roman"/>
      <family val="1"/>
    </font>
    <font>
      <sz val="11"/>
      <name val="Times New Roman"/>
      <family val="1"/>
    </font>
  </fonts>
  <fills count="49">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F2F2F2"/>
        <bgColor indexed="64"/>
      </patternFill>
    </fill>
    <fill>
      <patternFill patternType="solid">
        <fgColor rgb="FFFFFF00"/>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92D050"/>
        <bgColor indexed="64"/>
      </patternFill>
    </fill>
    <fill>
      <patternFill patternType="solid">
        <fgColor theme="7" tint="0.59999389629810485"/>
        <bgColor rgb="FFD9E1F2"/>
      </patternFill>
    </fill>
    <fill>
      <patternFill patternType="solid">
        <fgColor theme="7" tint="0.59999389629810485"/>
        <bgColor rgb="FFFFFFFF"/>
      </patternFill>
    </fill>
    <fill>
      <patternFill patternType="solid">
        <fgColor theme="1"/>
        <bgColor rgb="FFA5A5A5"/>
      </patternFill>
    </fill>
    <fill>
      <patternFill patternType="solid">
        <fgColor theme="8" tint="0.59999389629810485"/>
        <bgColor rgb="FF8EA9DB"/>
      </patternFill>
    </fill>
    <fill>
      <patternFill patternType="solid">
        <fgColor theme="8" tint="0.59999389629810485"/>
        <bgColor rgb="FFD9E1F2"/>
      </patternFill>
    </fill>
    <fill>
      <patternFill patternType="solid">
        <fgColor theme="8" tint="0.59999389629810485"/>
        <bgColor rgb="FFFFFFFF"/>
      </patternFill>
    </fill>
    <fill>
      <patternFill patternType="solid">
        <fgColor theme="0"/>
        <bgColor rgb="FF8EA9DB"/>
      </patternFill>
    </fill>
    <fill>
      <patternFill patternType="solid">
        <fgColor theme="0"/>
        <bgColor rgb="FFD9E1F2"/>
      </patternFill>
    </fill>
    <fill>
      <patternFill patternType="solid">
        <fgColor theme="6" tint="0.59999389629810485"/>
        <bgColor rgb="FFD9E1F2"/>
      </patternFill>
    </fill>
    <fill>
      <patternFill patternType="solid">
        <fgColor theme="6" tint="0.59999389629810485"/>
        <bgColor rgb="FFFFFFFF"/>
      </patternFill>
    </fill>
    <fill>
      <patternFill patternType="solid">
        <fgColor theme="0"/>
        <bgColor rgb="FFFFFFFF"/>
      </patternFill>
    </fill>
    <fill>
      <patternFill patternType="solid">
        <fgColor theme="1"/>
        <bgColor rgb="FFD9E1F2"/>
      </patternFill>
    </fill>
    <fill>
      <patternFill patternType="solid">
        <fgColor theme="1"/>
        <bgColor rgb="FF999999"/>
      </patternFill>
    </fill>
    <fill>
      <patternFill patternType="solid">
        <fgColor theme="0" tint="-0.34998626667073579"/>
        <bgColor indexed="64"/>
      </patternFill>
    </fill>
    <fill>
      <patternFill patternType="solid">
        <fgColor theme="0"/>
        <bgColor rgb="FFA5A5A5"/>
      </patternFill>
    </fill>
    <fill>
      <patternFill patternType="solid">
        <fgColor theme="8" tint="0.59999389629810485"/>
        <bgColor rgb="FFA5A5A5"/>
      </patternFill>
    </fill>
    <fill>
      <patternFill patternType="solid">
        <fgColor theme="6" tint="0.59999389629810485"/>
        <bgColor rgb="FFA5A5A5"/>
      </patternFill>
    </fill>
    <fill>
      <patternFill patternType="solid">
        <fgColor theme="5" tint="0.39997558519241921"/>
        <bgColor rgb="FFD9E1F2"/>
      </patternFill>
    </fill>
    <fill>
      <patternFill patternType="solid">
        <fgColor theme="5" tint="0.39997558519241921"/>
        <bgColor rgb="FFA5A5A5"/>
      </patternFill>
    </fill>
    <fill>
      <patternFill patternType="solid">
        <fgColor theme="5" tint="0.39997558519241921"/>
        <bgColor rgb="FFFFFFFF"/>
      </patternFill>
    </fill>
    <fill>
      <patternFill patternType="solid">
        <fgColor theme="0"/>
        <bgColor indexed="64"/>
      </patternFill>
    </fill>
    <fill>
      <patternFill patternType="solid">
        <fgColor rgb="FFFFC0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s>
  <borders count="7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double">
        <color rgb="FF00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dashed">
        <color indexed="64"/>
      </bottom>
      <diagonal/>
    </border>
    <border>
      <left style="thin">
        <color indexed="64"/>
      </left>
      <right style="thin">
        <color indexed="64"/>
      </right>
      <top style="thin">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ck">
        <color rgb="FF000000"/>
      </left>
      <right/>
      <top style="thick">
        <color rgb="FF000000"/>
      </top>
      <bottom style="medium">
        <color rgb="FFD9E2F3"/>
      </bottom>
      <diagonal/>
    </border>
    <border>
      <left/>
      <right/>
      <top style="thick">
        <color rgb="FF000000"/>
      </top>
      <bottom style="medium">
        <color rgb="FFD9E2F3"/>
      </bottom>
      <diagonal/>
    </border>
    <border>
      <left/>
      <right style="thick">
        <color rgb="FF000000"/>
      </right>
      <top style="thick">
        <color rgb="FF000000"/>
      </top>
      <bottom style="medium">
        <color rgb="FFD9E2F3"/>
      </bottom>
      <diagonal/>
    </border>
    <border>
      <left style="thick">
        <color rgb="FF000000"/>
      </left>
      <right style="medium">
        <color rgb="FFD9E2F3"/>
      </right>
      <top/>
      <bottom style="medium">
        <color rgb="FFD9E2F3"/>
      </bottom>
      <diagonal/>
    </border>
    <border>
      <left/>
      <right style="medium">
        <color rgb="FFD9E2F3"/>
      </right>
      <top/>
      <bottom style="medium">
        <color rgb="FFD9E2F3"/>
      </bottom>
      <diagonal/>
    </border>
    <border>
      <left/>
      <right style="thick">
        <color rgb="FF000000"/>
      </right>
      <top/>
      <bottom style="medium">
        <color rgb="FFD9E2F3"/>
      </bottom>
      <diagonal/>
    </border>
    <border>
      <left style="thick">
        <color rgb="FF000000"/>
      </left>
      <right style="medium">
        <color rgb="FFFFFFFF"/>
      </right>
      <top/>
      <bottom style="medium">
        <color rgb="FFFFFFFF"/>
      </bottom>
      <diagonal/>
    </border>
    <border>
      <left/>
      <right style="thick">
        <color rgb="FF000000"/>
      </right>
      <top/>
      <bottom style="medium">
        <color rgb="FFFFFFFF"/>
      </bottom>
      <diagonal/>
    </border>
    <border>
      <left style="thick">
        <color rgb="FF000000"/>
      </left>
      <right/>
      <top/>
      <bottom style="medium">
        <color rgb="FFFFFFFF"/>
      </bottom>
      <diagonal/>
    </border>
    <border>
      <left style="thick">
        <color rgb="FF000000"/>
      </left>
      <right style="medium">
        <color rgb="FFFFFFFF"/>
      </right>
      <top/>
      <bottom/>
      <diagonal/>
    </border>
    <border>
      <left/>
      <right style="thick">
        <color rgb="FF000000"/>
      </right>
      <top/>
      <bottom/>
      <diagonal/>
    </border>
    <border>
      <left style="thick">
        <color rgb="FF000000"/>
      </left>
      <right style="medium">
        <color rgb="FFD9E2F3"/>
      </right>
      <top/>
      <bottom/>
      <diagonal/>
    </border>
    <border>
      <left/>
      <right style="medium">
        <color rgb="FFD9E2F3"/>
      </right>
      <top/>
      <bottom/>
      <diagonal/>
    </border>
    <border>
      <left style="thick">
        <color rgb="FF000000"/>
      </left>
      <right/>
      <top style="medium">
        <color rgb="FFD9E2F3"/>
      </top>
      <bottom style="medium">
        <color rgb="FFFFFFFF"/>
      </bottom>
      <diagonal/>
    </border>
    <border>
      <left/>
      <right/>
      <top style="medium">
        <color rgb="FFD9E2F3"/>
      </top>
      <bottom style="medium">
        <color rgb="FFFFFFFF"/>
      </bottom>
      <diagonal/>
    </border>
    <border>
      <left/>
      <right style="thick">
        <color rgb="FF000000"/>
      </right>
      <top style="medium">
        <color rgb="FFD9E2F3"/>
      </top>
      <bottom style="medium">
        <color rgb="FFFFFFFF"/>
      </bottom>
      <diagonal/>
    </border>
    <border>
      <left style="thick">
        <color rgb="FF000000"/>
      </left>
      <right/>
      <top/>
      <bottom style="thin">
        <color indexed="64"/>
      </bottom>
      <diagonal/>
    </border>
    <border>
      <left/>
      <right style="thick">
        <color rgb="FF000000"/>
      </right>
      <top/>
      <bottom style="thin">
        <color indexed="64"/>
      </bottom>
      <diagonal/>
    </border>
    <border>
      <left style="medium">
        <color rgb="FFFFFFFF"/>
      </left>
      <right/>
      <top style="medium">
        <color rgb="FFCCCCCC"/>
      </top>
      <bottom/>
      <diagonal/>
    </border>
    <border>
      <left/>
      <right/>
      <top style="medium">
        <color rgb="FFCCCCCC"/>
      </top>
      <bottom/>
      <diagonal/>
    </border>
    <border>
      <left style="medium">
        <color rgb="FFCCCCCC"/>
      </left>
      <right/>
      <top style="medium">
        <color rgb="FFCCCCCC"/>
      </top>
      <bottom style="medium">
        <color rgb="FFCCCCCC"/>
      </bottom>
      <diagonal/>
    </border>
    <border>
      <left style="medium">
        <color rgb="FF3D85C6"/>
      </left>
      <right/>
      <top/>
      <bottom/>
      <diagonal/>
    </border>
    <border>
      <left style="medium">
        <color rgb="FFCCCCCC"/>
      </left>
      <right/>
      <top style="mediumDashed">
        <color rgb="FFFFFFFF"/>
      </top>
      <bottom style="medium">
        <color rgb="FF000000"/>
      </bottom>
      <diagonal/>
    </border>
    <border>
      <left style="medium">
        <color rgb="FFCCCCCC"/>
      </left>
      <right/>
      <top style="medium">
        <color rgb="FFCCCCCC"/>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CCCCCC"/>
      </left>
      <right style="medium">
        <color rgb="FFCCCCCC"/>
      </right>
      <top/>
      <bottom/>
      <diagonal/>
    </border>
    <border>
      <left/>
      <right style="medium">
        <color rgb="FFCCCCCC"/>
      </right>
      <top style="medium">
        <color rgb="FFCCCCCC"/>
      </top>
      <bottom/>
      <diagonal/>
    </border>
    <border>
      <left/>
      <right style="medium">
        <color rgb="FFCCCCCC"/>
      </right>
      <top/>
      <bottom/>
      <diagonal/>
    </border>
    <border>
      <left style="medium">
        <color rgb="FFCCCCCC"/>
      </left>
      <right/>
      <top style="medium">
        <color rgb="FFCCCCCC"/>
      </top>
      <bottom/>
      <diagonal/>
    </border>
    <border>
      <left style="medium">
        <color rgb="FFCCCCCC"/>
      </left>
      <right/>
      <top/>
      <bottom/>
      <diagonal/>
    </border>
    <border>
      <left/>
      <right/>
      <top style="mediumDashed">
        <color rgb="FFFFFFFF"/>
      </top>
      <bottom/>
      <diagonal/>
    </border>
    <border>
      <left/>
      <right style="medium">
        <color rgb="FFCCCCCC"/>
      </right>
      <top style="mediumDashed">
        <color rgb="FFFFFFFF"/>
      </top>
      <bottom/>
      <diagonal/>
    </border>
    <border>
      <left style="medium">
        <color rgb="FFFFFFFF"/>
      </left>
      <right/>
      <top/>
      <bottom/>
      <diagonal/>
    </border>
    <border>
      <left style="medium">
        <color rgb="FFFFFFFF"/>
      </left>
      <right style="medium">
        <color rgb="FFCFE2F3"/>
      </right>
      <top/>
      <bottom/>
      <diagonal/>
    </border>
    <border>
      <left style="medium">
        <color rgb="FF000000"/>
      </left>
      <right/>
      <top/>
      <bottom/>
      <diagonal/>
    </border>
  </borders>
  <cellStyleXfs count="4">
    <xf numFmtId="0" fontId="0" fillId="0" borderId="0"/>
    <xf numFmtId="0" fontId="5" fillId="0" borderId="0" applyNumberFormat="0" applyFill="0" applyBorder="0" applyAlignment="0" applyProtection="0"/>
    <xf numFmtId="44" fontId="4" fillId="0" borderId="0" applyFont="0" applyFill="0" applyBorder="0" applyAlignment="0" applyProtection="0"/>
    <xf numFmtId="9" fontId="4" fillId="0" borderId="0" applyFont="0" applyFill="0" applyBorder="0" applyAlignment="0" applyProtection="0"/>
  </cellStyleXfs>
  <cellXfs count="477">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0" xfId="0" applyFont="1" applyAlignment="1">
      <alignment horizontal="center" vertical="center" wrapText="1"/>
    </xf>
    <xf numFmtId="0" fontId="9" fillId="0" borderId="0" xfId="0" applyFont="1" applyAlignment="1">
      <alignment vertical="center" wrapText="1"/>
    </xf>
    <xf numFmtId="0" fontId="5" fillId="0" borderId="0" xfId="1"/>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167" fontId="10" fillId="0" borderId="1" xfId="2" applyNumberFormat="1" applyFont="1" applyBorder="1" applyAlignment="1">
      <alignment horizontal="center" vertical="center" wrapText="1"/>
    </xf>
    <xf numFmtId="0" fontId="9" fillId="0" borderId="0" xfId="0" applyFont="1"/>
    <xf numFmtId="0" fontId="10" fillId="0" borderId="0" xfId="0" applyFont="1" applyAlignment="1">
      <alignment horizontal="center" vertical="center" wrapText="1"/>
    </xf>
    <xf numFmtId="0" fontId="10" fillId="0" borderId="0" xfId="0" applyFont="1" applyAlignment="1">
      <alignment wrapText="1"/>
    </xf>
    <xf numFmtId="0" fontId="10" fillId="0" borderId="4"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18" xfId="0" applyFont="1" applyBorder="1" applyAlignment="1">
      <alignment horizontal="center" vertical="center" wrapText="1"/>
    </xf>
    <xf numFmtId="0" fontId="15" fillId="0" borderId="0" xfId="0" applyFont="1"/>
    <xf numFmtId="0" fontId="16" fillId="7" borderId="19" xfId="0" applyFont="1" applyFill="1" applyBorder="1" applyAlignment="1">
      <alignment horizontal="center"/>
    </xf>
    <xf numFmtId="0" fontId="16" fillId="7" borderId="20" xfId="0" applyFont="1" applyFill="1" applyBorder="1" applyAlignment="1">
      <alignment horizontal="center"/>
    </xf>
    <xf numFmtId="0" fontId="16" fillId="7" borderId="21" xfId="0" applyFont="1" applyFill="1" applyBorder="1" applyAlignment="1">
      <alignment horizontal="center"/>
    </xf>
    <xf numFmtId="0" fontId="16" fillId="7" borderId="18" xfId="0" applyFont="1" applyFill="1" applyBorder="1" applyAlignment="1">
      <alignment horizontal="center" vertical="center"/>
    </xf>
    <xf numFmtId="0" fontId="17" fillId="8" borderId="18" xfId="0" applyFont="1" applyFill="1" applyBorder="1" applyAlignment="1">
      <alignment horizontal="center" vertical="center"/>
    </xf>
    <xf numFmtId="43" fontId="15" fillId="0" borderId="0" xfId="0" applyNumberFormat="1" applyFont="1"/>
    <xf numFmtId="41" fontId="15" fillId="0" borderId="0" xfId="0" applyNumberFormat="1" applyFont="1"/>
    <xf numFmtId="0" fontId="17" fillId="0" borderId="0" xfId="0" applyFont="1"/>
    <xf numFmtId="0" fontId="17" fillId="10" borderId="24" xfId="0" applyFont="1" applyFill="1" applyBorder="1" applyAlignment="1">
      <alignment horizontal="center"/>
    </xf>
    <xf numFmtId="0" fontId="17" fillId="10" borderId="25" xfId="0" applyFont="1" applyFill="1" applyBorder="1" applyAlignment="1">
      <alignment horizontal="center"/>
    </xf>
    <xf numFmtId="167" fontId="10" fillId="10" borderId="1" xfId="2" applyNumberFormat="1" applyFont="1" applyFill="1" applyBorder="1" applyAlignment="1">
      <alignment horizontal="center" vertical="center" wrapText="1"/>
    </xf>
    <xf numFmtId="167" fontId="10" fillId="10" borderId="4" xfId="2" applyNumberFormat="1" applyFont="1" applyFill="1" applyBorder="1" applyAlignment="1">
      <alignment horizontal="center" vertical="center" wrapText="1"/>
    </xf>
    <xf numFmtId="167" fontId="10" fillId="11" borderId="1" xfId="2" applyNumberFormat="1" applyFont="1" applyFill="1" applyBorder="1" applyAlignment="1">
      <alignment horizontal="center" vertical="center" wrapText="1"/>
    </xf>
    <xf numFmtId="0" fontId="17" fillId="12" borderId="24" xfId="0" applyFont="1" applyFill="1" applyBorder="1" applyAlignment="1">
      <alignment horizontal="center"/>
    </xf>
    <xf numFmtId="0" fontId="17" fillId="12" borderId="25" xfId="0" applyFont="1" applyFill="1" applyBorder="1" applyAlignment="1">
      <alignment horizontal="center"/>
    </xf>
    <xf numFmtId="167" fontId="10" fillId="12" borderId="1" xfId="2" applyNumberFormat="1" applyFont="1" applyFill="1" applyBorder="1" applyAlignment="1">
      <alignment horizontal="center" vertical="center" wrapText="1"/>
    </xf>
    <xf numFmtId="167" fontId="10" fillId="12" borderId="4" xfId="2" applyNumberFormat="1" applyFont="1" applyFill="1" applyBorder="1" applyAlignment="1">
      <alignment horizontal="center" vertical="center" wrapText="1"/>
    </xf>
    <xf numFmtId="0" fontId="18" fillId="0" borderId="0" xfId="0" applyFont="1"/>
    <xf numFmtId="0" fontId="16" fillId="7" borderId="9" xfId="0" applyFont="1" applyFill="1" applyBorder="1"/>
    <xf numFmtId="9" fontId="15" fillId="0" borderId="18" xfId="0" applyNumberFormat="1" applyFont="1" applyBorder="1"/>
    <xf numFmtId="0" fontId="15" fillId="0" borderId="18" xfId="0" applyFont="1" applyBorder="1"/>
    <xf numFmtId="167" fontId="10" fillId="0" borderId="3" xfId="2" applyNumberFormat="1" applyFont="1" applyBorder="1" applyAlignment="1">
      <alignment horizontal="center" vertical="center" wrapText="1"/>
    </xf>
    <xf numFmtId="0" fontId="10" fillId="0" borderId="0" xfId="0" applyFont="1"/>
    <xf numFmtId="0" fontId="9" fillId="6" borderId="18" xfId="0" applyFont="1" applyFill="1" applyBorder="1" applyAlignment="1">
      <alignment horizontal="left"/>
    </xf>
    <xf numFmtId="0" fontId="21" fillId="3" borderId="18" xfId="0" applyFont="1" applyFill="1" applyBorder="1" applyAlignment="1">
      <alignment horizontal="left"/>
    </xf>
    <xf numFmtId="0" fontId="9" fillId="0" borderId="0" xfId="0" applyFont="1" applyAlignment="1">
      <alignment horizontal="left"/>
    </xf>
    <xf numFmtId="164" fontId="9" fillId="14" borderId="18" xfId="0" applyNumberFormat="1" applyFont="1" applyFill="1" applyBorder="1" applyAlignment="1">
      <alignment horizontal="left"/>
    </xf>
    <xf numFmtId="165" fontId="13" fillId="15" borderId="18" xfId="0" applyNumberFormat="1" applyFont="1" applyFill="1" applyBorder="1" applyAlignment="1">
      <alignment horizontal="left"/>
    </xf>
    <xf numFmtId="164" fontId="20" fillId="16" borderId="18" xfId="0" applyNumberFormat="1" applyFont="1" applyFill="1" applyBorder="1" applyAlignment="1">
      <alignment horizontal="left"/>
    </xf>
    <xf numFmtId="165" fontId="20" fillId="16" borderId="18" xfId="0" applyNumberFormat="1" applyFont="1" applyFill="1" applyBorder="1" applyAlignment="1">
      <alignment horizontal="left"/>
    </xf>
    <xf numFmtId="164" fontId="11" fillId="18" borderId="18" xfId="0" applyNumberFormat="1" applyFont="1" applyFill="1" applyBorder="1" applyAlignment="1">
      <alignment horizontal="left"/>
    </xf>
    <xf numFmtId="164" fontId="10" fillId="18" borderId="18" xfId="0" applyNumberFormat="1" applyFont="1" applyFill="1" applyBorder="1" applyAlignment="1">
      <alignment horizontal="left"/>
    </xf>
    <xf numFmtId="165" fontId="13" fillId="19" borderId="18" xfId="0" applyNumberFormat="1" applyFont="1" applyFill="1" applyBorder="1" applyAlignment="1">
      <alignment horizontal="left"/>
    </xf>
    <xf numFmtId="164" fontId="9" fillId="18" borderId="18" xfId="0" applyNumberFormat="1" applyFont="1" applyFill="1" applyBorder="1" applyAlignment="1">
      <alignment horizontal="left"/>
    </xf>
    <xf numFmtId="164" fontId="23" fillId="17" borderId="18" xfId="0" applyNumberFormat="1" applyFont="1" applyFill="1" applyBorder="1" applyAlignment="1">
      <alignment horizontal="left"/>
    </xf>
    <xf numFmtId="165" fontId="13" fillId="20" borderId="18" xfId="0" applyNumberFormat="1" applyFont="1" applyFill="1" applyBorder="1" applyAlignment="1">
      <alignment horizontal="left"/>
    </xf>
    <xf numFmtId="165" fontId="13" fillId="21" borderId="18" xfId="0" applyNumberFormat="1" applyFont="1" applyFill="1" applyBorder="1" applyAlignment="1">
      <alignment horizontal="left"/>
    </xf>
    <xf numFmtId="164" fontId="12" fillId="22" borderId="18" xfId="0" applyNumberFormat="1" applyFont="1" applyFill="1" applyBorder="1" applyAlignment="1">
      <alignment horizontal="left"/>
    </xf>
    <xf numFmtId="165" fontId="13" fillId="23" borderId="18" xfId="0" applyNumberFormat="1" applyFont="1" applyFill="1" applyBorder="1" applyAlignment="1">
      <alignment horizontal="left"/>
    </xf>
    <xf numFmtId="164" fontId="10" fillId="22" borderId="18" xfId="0" applyNumberFormat="1" applyFont="1" applyFill="1" applyBorder="1" applyAlignment="1">
      <alignment horizontal="left"/>
    </xf>
    <xf numFmtId="164" fontId="9" fillId="22" borderId="18" xfId="0" applyNumberFormat="1" applyFont="1" applyFill="1" applyBorder="1" applyAlignment="1">
      <alignment horizontal="left"/>
    </xf>
    <xf numFmtId="165" fontId="13" fillId="24" borderId="18" xfId="0" applyNumberFormat="1" applyFont="1" applyFill="1" applyBorder="1" applyAlignment="1">
      <alignment horizontal="left"/>
    </xf>
    <xf numFmtId="164" fontId="20" fillId="25" borderId="18" xfId="0" applyNumberFormat="1" applyFont="1" applyFill="1" applyBorder="1" applyAlignment="1">
      <alignment horizontal="left"/>
    </xf>
    <xf numFmtId="165" fontId="20" fillId="26" borderId="18" xfId="0" applyNumberFormat="1" applyFont="1" applyFill="1" applyBorder="1" applyAlignment="1">
      <alignment horizontal="left"/>
    </xf>
    <xf numFmtId="0" fontId="17" fillId="27" borderId="22" xfId="0" applyFont="1" applyFill="1" applyBorder="1" applyAlignment="1">
      <alignment horizontal="center"/>
    </xf>
    <xf numFmtId="0" fontId="17" fillId="27" borderId="23" xfId="0" applyFont="1" applyFill="1" applyBorder="1" applyAlignment="1">
      <alignment horizontal="center"/>
    </xf>
    <xf numFmtId="167" fontId="10" fillId="27" borderId="1" xfId="2" applyNumberFormat="1" applyFont="1" applyFill="1" applyBorder="1" applyAlignment="1">
      <alignment horizontal="center" vertical="center" wrapText="1"/>
    </xf>
    <xf numFmtId="167" fontId="10" fillId="27" borderId="4" xfId="2" applyNumberFormat="1" applyFont="1" applyFill="1" applyBorder="1" applyAlignment="1">
      <alignment horizontal="center" vertical="center" wrapText="1"/>
    </xf>
    <xf numFmtId="0" fontId="17" fillId="27" borderId="24" xfId="0" applyFont="1" applyFill="1" applyBorder="1" applyAlignment="1">
      <alignment horizontal="center"/>
    </xf>
    <xf numFmtId="0" fontId="17" fillId="27" borderId="25" xfId="0" applyFont="1" applyFill="1" applyBorder="1" applyAlignment="1">
      <alignment horizontal="center"/>
    </xf>
    <xf numFmtId="0" fontId="20" fillId="6" borderId="1" xfId="0" applyFont="1" applyFill="1" applyBorder="1" applyAlignment="1">
      <alignment horizontal="center" vertical="center" wrapText="1"/>
    </xf>
    <xf numFmtId="0" fontId="23" fillId="10" borderId="1" xfId="0" applyFont="1" applyFill="1" applyBorder="1" applyAlignment="1">
      <alignment horizontal="center" vertical="center" wrapText="1"/>
    </xf>
    <xf numFmtId="0" fontId="10" fillId="10"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10" fillId="11" borderId="1" xfId="0" applyFont="1" applyFill="1" applyBorder="1" applyAlignment="1">
      <alignment horizontal="center" vertical="center" wrapText="1"/>
    </xf>
    <xf numFmtId="0" fontId="20" fillId="6" borderId="18" xfId="0" applyFont="1" applyFill="1" applyBorder="1" applyAlignment="1">
      <alignment horizontal="center" vertical="center"/>
    </xf>
    <xf numFmtId="0" fontId="20" fillId="6" borderId="18" xfId="0" applyFont="1" applyFill="1" applyBorder="1" applyAlignment="1">
      <alignment horizontal="center" vertical="center" wrapText="1"/>
    </xf>
    <xf numFmtId="0" fontId="22" fillId="0" borderId="0" xfId="1" applyFont="1"/>
    <xf numFmtId="0" fontId="20" fillId="6" borderId="3" xfId="0" applyFont="1" applyFill="1" applyBorder="1" applyAlignment="1">
      <alignment horizontal="center" vertical="center"/>
    </xf>
    <xf numFmtId="0" fontId="20" fillId="6" borderId="3" xfId="0" applyFont="1" applyFill="1" applyBorder="1" applyAlignment="1">
      <alignment horizontal="center" vertical="center" wrapText="1"/>
    </xf>
    <xf numFmtId="0" fontId="20" fillId="6" borderId="1" xfId="0" applyFont="1" applyFill="1" applyBorder="1" applyAlignment="1">
      <alignment horizontal="center" vertical="center"/>
    </xf>
    <xf numFmtId="0" fontId="20" fillId="6" borderId="0" xfId="0" applyFont="1" applyFill="1" applyAlignment="1">
      <alignment horizontal="center" vertical="center"/>
    </xf>
    <xf numFmtId="0" fontId="14" fillId="2" borderId="7" xfId="0" applyFont="1" applyFill="1" applyBorder="1" applyAlignment="1">
      <alignment horizontal="center" vertical="center"/>
    </xf>
    <xf numFmtId="0" fontId="14" fillId="2" borderId="8" xfId="0" applyFont="1" applyFill="1" applyBorder="1" applyAlignment="1">
      <alignment horizontal="center" vertical="center"/>
    </xf>
    <xf numFmtId="0" fontId="9" fillId="0" borderId="9" xfId="0" applyFont="1" applyBorder="1" applyAlignment="1">
      <alignment horizontal="center" vertical="center"/>
    </xf>
    <xf numFmtId="0" fontId="22" fillId="0" borderId="9" xfId="1" applyFont="1" applyBorder="1" applyAlignment="1">
      <alignment horizontal="center" vertical="center"/>
    </xf>
    <xf numFmtId="0" fontId="13" fillId="0" borderId="9" xfId="0" applyFont="1" applyBorder="1" applyAlignment="1">
      <alignment horizontal="center" vertical="center"/>
    </xf>
    <xf numFmtId="0" fontId="10" fillId="0" borderId="0" xfId="0" applyFont="1" applyAlignment="1">
      <alignment horizontal="center" vertical="center"/>
    </xf>
    <xf numFmtId="0" fontId="9" fillId="0" borderId="0" xfId="0" applyFont="1" applyAlignment="1">
      <alignment horizontal="center" vertical="center"/>
    </xf>
    <xf numFmtId="0" fontId="10" fillId="0" borderId="6" xfId="0" applyFont="1" applyBorder="1" applyAlignment="1">
      <alignment horizontal="center" vertical="center" wrapText="1"/>
    </xf>
    <xf numFmtId="0" fontId="9" fillId="0" borderId="18" xfId="0" applyFont="1" applyBorder="1" applyAlignment="1">
      <alignment horizontal="center" vertical="center"/>
    </xf>
    <xf numFmtId="167" fontId="13" fillId="23" borderId="18" xfId="0" applyNumberFormat="1" applyFont="1" applyFill="1" applyBorder="1" applyAlignment="1">
      <alignment horizontal="left"/>
    </xf>
    <xf numFmtId="165" fontId="13" fillId="29" borderId="18" xfId="0" applyNumberFormat="1" applyFont="1" applyFill="1" applyBorder="1" applyAlignment="1">
      <alignment horizontal="left"/>
    </xf>
    <xf numFmtId="165" fontId="23" fillId="28" borderId="18" xfId="0" applyNumberFormat="1" applyFont="1" applyFill="1" applyBorder="1" applyAlignment="1">
      <alignment horizontal="left"/>
    </xf>
    <xf numFmtId="165" fontId="13" fillId="30" borderId="18" xfId="0" applyNumberFormat="1" applyFont="1" applyFill="1" applyBorder="1" applyAlignment="1">
      <alignment horizontal="left"/>
    </xf>
    <xf numFmtId="8" fontId="22" fillId="0" borderId="9" xfId="1" applyNumberFormat="1" applyFont="1" applyBorder="1" applyAlignment="1">
      <alignment horizontal="center" vertical="center"/>
    </xf>
    <xf numFmtId="0" fontId="5" fillId="0" borderId="0" xfId="1" applyAlignment="1">
      <alignment horizontal="center" vertical="center" wrapText="1"/>
    </xf>
    <xf numFmtId="0" fontId="9" fillId="5" borderId="18" xfId="0" applyFont="1" applyFill="1" applyBorder="1" applyAlignment="1">
      <alignment horizontal="center" vertical="center" wrapText="1"/>
    </xf>
    <xf numFmtId="0" fontId="14" fillId="2" borderId="9" xfId="0" applyFont="1" applyFill="1" applyBorder="1" applyAlignment="1">
      <alignment horizontal="center" vertical="center"/>
    </xf>
    <xf numFmtId="167" fontId="7" fillId="0" borderId="13" xfId="0" applyNumberFormat="1" applyFont="1" applyBorder="1" applyAlignment="1">
      <alignment horizontal="right" wrapText="1"/>
    </xf>
    <xf numFmtId="167" fontId="8" fillId="13" borderId="13" xfId="0" applyNumberFormat="1" applyFont="1" applyFill="1" applyBorder="1" applyAlignment="1">
      <alignment horizontal="right" wrapText="1"/>
    </xf>
    <xf numFmtId="167" fontId="9" fillId="0" borderId="0" xfId="0" applyNumberFormat="1" applyFont="1"/>
    <xf numFmtId="167" fontId="9" fillId="0" borderId="0" xfId="0" applyNumberFormat="1" applyFont="1" applyAlignment="1">
      <alignment horizontal="center" vertical="center"/>
    </xf>
    <xf numFmtId="10" fontId="9" fillId="0" borderId="0" xfId="0" applyNumberFormat="1" applyFont="1" applyAlignment="1">
      <alignment horizontal="center" vertical="center"/>
    </xf>
    <xf numFmtId="167" fontId="9" fillId="13" borderId="0" xfId="0" applyNumberFormat="1" applyFont="1" applyFill="1" applyAlignment="1">
      <alignment horizontal="center" vertical="center"/>
    </xf>
    <xf numFmtId="167" fontId="10" fillId="27" borderId="18" xfId="2" applyNumberFormat="1" applyFont="1" applyFill="1" applyBorder="1" applyAlignment="1">
      <alignment horizontal="center" vertical="center" wrapText="1"/>
    </xf>
    <xf numFmtId="167" fontId="10" fillId="27" borderId="11" xfId="2" applyNumberFormat="1" applyFont="1" applyFill="1" applyBorder="1" applyAlignment="1">
      <alignment horizontal="center" vertical="center" wrapText="1"/>
    </xf>
    <xf numFmtId="167" fontId="9" fillId="0" borderId="0" xfId="0" applyNumberFormat="1" applyFont="1" applyAlignment="1">
      <alignment vertical="center" wrapText="1"/>
    </xf>
    <xf numFmtId="0" fontId="28" fillId="6" borderId="0" xfId="0" applyFont="1" applyFill="1" applyAlignment="1">
      <alignment vertical="center" wrapText="1"/>
    </xf>
    <xf numFmtId="0" fontId="19" fillId="6" borderId="0" xfId="0" applyFont="1" applyFill="1" applyAlignment="1">
      <alignment vertical="center" wrapText="1"/>
    </xf>
    <xf numFmtId="164" fontId="20" fillId="31" borderId="18" xfId="0" applyNumberFormat="1" applyFont="1" applyFill="1" applyBorder="1" applyAlignment="1">
      <alignment horizontal="left"/>
    </xf>
    <xf numFmtId="165" fontId="20" fillId="32" borderId="18" xfId="0" applyNumberFormat="1" applyFont="1" applyFill="1" applyBorder="1" applyAlignment="1">
      <alignment horizontal="left"/>
    </xf>
    <xf numFmtId="0" fontId="5" fillId="0" borderId="9" xfId="1" applyBorder="1" applyAlignment="1">
      <alignment vertical="center"/>
    </xf>
    <xf numFmtId="8" fontId="9" fillId="0" borderId="0" xfId="0" applyNumberFormat="1" applyFont="1"/>
    <xf numFmtId="0" fontId="9" fillId="0" borderId="18" xfId="0" applyFont="1" applyBorder="1"/>
    <xf numFmtId="167" fontId="10" fillId="0" borderId="18" xfId="2" applyNumberFormat="1" applyFont="1" applyBorder="1" applyAlignment="1">
      <alignment horizontal="center" vertical="center" wrapText="1"/>
    </xf>
    <xf numFmtId="10" fontId="9" fillId="0" borderId="18" xfId="0" applyNumberFormat="1" applyFont="1" applyBorder="1"/>
    <xf numFmtId="0" fontId="20" fillId="6" borderId="18" xfId="0" applyFont="1" applyFill="1" applyBorder="1"/>
    <xf numFmtId="0" fontId="20" fillId="6" borderId="0" xfId="0" applyFont="1" applyFill="1"/>
    <xf numFmtId="167" fontId="9" fillId="0" borderId="18" xfId="0" applyNumberFormat="1" applyFont="1" applyBorder="1" applyAlignment="1">
      <alignment horizontal="center" vertical="center"/>
    </xf>
    <xf numFmtId="10" fontId="9" fillId="0" borderId="18" xfId="0" applyNumberFormat="1" applyFont="1" applyBorder="1" applyAlignment="1">
      <alignment horizontal="center" vertical="center"/>
    </xf>
    <xf numFmtId="167" fontId="20" fillId="33" borderId="18" xfId="0" applyNumberFormat="1" applyFont="1" applyFill="1" applyBorder="1" applyAlignment="1">
      <alignment horizontal="left"/>
    </xf>
    <xf numFmtId="17" fontId="9" fillId="0" borderId="18" xfId="0" applyNumberFormat="1" applyFont="1" applyBorder="1" applyAlignment="1">
      <alignment horizontal="center" vertical="center"/>
    </xf>
    <xf numFmtId="9" fontId="9" fillId="0" borderId="18" xfId="0" applyNumberFormat="1" applyFont="1" applyBorder="1" applyAlignment="1">
      <alignment horizontal="center" vertical="center"/>
    </xf>
    <xf numFmtId="166" fontId="9" fillId="0" borderId="18" xfId="0" applyNumberFormat="1" applyFont="1" applyBorder="1" applyAlignment="1">
      <alignment horizontal="center" vertical="center"/>
    </xf>
    <xf numFmtId="167" fontId="9" fillId="13" borderId="18" xfId="0" applyNumberFormat="1" applyFont="1" applyFill="1" applyBorder="1" applyAlignment="1">
      <alignment horizontal="center" vertical="center"/>
    </xf>
    <xf numFmtId="0" fontId="5" fillId="0" borderId="0" xfId="1" applyAlignment="1">
      <alignment horizontal="center" vertical="center"/>
    </xf>
    <xf numFmtId="168" fontId="9" fillId="0" borderId="18" xfId="0" applyNumberFormat="1" applyFont="1" applyBorder="1" applyAlignment="1">
      <alignment horizontal="center" vertical="center"/>
    </xf>
    <xf numFmtId="0" fontId="28" fillId="6" borderId="18" xfId="0" applyFont="1" applyFill="1" applyBorder="1" applyAlignment="1">
      <alignment vertical="center" wrapText="1"/>
    </xf>
    <xf numFmtId="0" fontId="19" fillId="6" borderId="18" xfId="0" applyFont="1" applyFill="1" applyBorder="1" applyAlignment="1">
      <alignment vertical="center" wrapText="1"/>
    </xf>
    <xf numFmtId="167" fontId="19" fillId="6" borderId="18" xfId="0" applyNumberFormat="1" applyFont="1" applyFill="1" applyBorder="1" applyAlignment="1">
      <alignment vertical="center" wrapText="1"/>
    </xf>
    <xf numFmtId="167" fontId="26" fillId="6" borderId="18" xfId="0" applyNumberFormat="1" applyFont="1" applyFill="1" applyBorder="1" applyAlignment="1">
      <alignment horizontal="right" vertical="center" wrapText="1"/>
    </xf>
    <xf numFmtId="167" fontId="7" fillId="0" borderId="18" xfId="0" applyNumberFormat="1" applyFont="1" applyBorder="1" applyAlignment="1">
      <alignment vertical="center" wrapText="1"/>
    </xf>
    <xf numFmtId="167" fontId="7" fillId="0" borderId="18" xfId="0" applyNumberFormat="1" applyFont="1" applyBorder="1"/>
    <xf numFmtId="167" fontId="7" fillId="34" borderId="18" xfId="0" applyNumberFormat="1" applyFont="1" applyFill="1" applyBorder="1" applyAlignment="1">
      <alignment horizontal="right" vertical="center" wrapText="1"/>
    </xf>
    <xf numFmtId="9" fontId="9" fillId="0" borderId="0" xfId="0" applyNumberFormat="1" applyFont="1" applyAlignment="1">
      <alignment horizontal="center" vertical="center"/>
    </xf>
    <xf numFmtId="0" fontId="20" fillId="6" borderId="0" xfId="0" applyFont="1" applyFill="1" applyAlignment="1">
      <alignment horizontal="left" vertical="center"/>
    </xf>
    <xf numFmtId="0" fontId="20" fillId="6" borderId="0" xfId="0" applyFont="1" applyFill="1" applyAlignment="1">
      <alignment vertical="center"/>
    </xf>
    <xf numFmtId="167" fontId="26" fillId="6" borderId="13" xfId="0" applyNumberFormat="1" applyFont="1" applyFill="1" applyBorder="1" applyAlignment="1">
      <alignment horizontal="right" wrapText="1"/>
    </xf>
    <xf numFmtId="0" fontId="9" fillId="13" borderId="18" xfId="0" applyFont="1" applyFill="1" applyBorder="1" applyAlignment="1">
      <alignment horizontal="center" vertical="center"/>
    </xf>
    <xf numFmtId="0" fontId="20" fillId="34" borderId="0" xfId="0" applyFont="1" applyFill="1" applyAlignment="1">
      <alignment horizontal="center" vertical="center"/>
    </xf>
    <xf numFmtId="0" fontId="26" fillId="6" borderId="17" xfId="0" applyFont="1" applyFill="1" applyBorder="1" applyAlignment="1">
      <alignment horizontal="right" vertical="center" wrapText="1"/>
    </xf>
    <xf numFmtId="0" fontId="5" fillId="0" borderId="10" xfId="1" applyFill="1" applyBorder="1" applyAlignment="1">
      <alignment horizontal="center" vertical="center" wrapText="1"/>
    </xf>
    <xf numFmtId="0" fontId="5" fillId="0" borderId="0" xfId="1" applyAlignment="1">
      <alignment wrapText="1"/>
    </xf>
    <xf numFmtId="0" fontId="5" fillId="0" borderId="0" xfId="1" applyAlignment="1">
      <alignment vertical="center" wrapText="1"/>
    </xf>
    <xf numFmtId="0" fontId="22" fillId="0" borderId="0" xfId="1" applyFont="1" applyAlignment="1">
      <alignment vertical="center" wrapText="1"/>
    </xf>
    <xf numFmtId="0" fontId="22" fillId="0" borderId="0" xfId="1" applyFont="1" applyAlignment="1">
      <alignment wrapText="1"/>
    </xf>
    <xf numFmtId="0" fontId="22" fillId="0" borderId="0" xfId="1" applyFont="1" applyAlignment="1">
      <alignment horizontal="center" vertical="center" wrapText="1"/>
    </xf>
    <xf numFmtId="0" fontId="17" fillId="9" borderId="18" xfId="0" applyFont="1" applyFill="1" applyBorder="1" applyAlignment="1">
      <alignment horizontal="center" vertical="center"/>
    </xf>
    <xf numFmtId="0" fontId="17" fillId="10" borderId="18" xfId="0" applyFont="1" applyFill="1" applyBorder="1" applyAlignment="1">
      <alignment horizontal="center" vertical="center"/>
    </xf>
    <xf numFmtId="0" fontId="17" fillId="11" borderId="18" xfId="0" applyFont="1" applyFill="1" applyBorder="1" applyAlignment="1">
      <alignment horizontal="center" vertical="center"/>
    </xf>
    <xf numFmtId="9" fontId="9" fillId="0" borderId="9" xfId="0" applyNumberFormat="1" applyFont="1" applyBorder="1" applyAlignment="1">
      <alignment horizontal="center" vertical="center"/>
    </xf>
    <xf numFmtId="10" fontId="9" fillId="0" borderId="0" xfId="3" applyNumberFormat="1" applyFont="1" applyAlignment="1">
      <alignment horizontal="center" vertical="center"/>
    </xf>
    <xf numFmtId="14" fontId="9" fillId="0" borderId="0" xfId="0" applyNumberFormat="1" applyFont="1" applyAlignment="1">
      <alignment horizontal="center" vertical="center"/>
    </xf>
    <xf numFmtId="0" fontId="22" fillId="0" borderId="0" xfId="1" applyFont="1" applyAlignment="1">
      <alignment horizontal="center" vertical="center"/>
    </xf>
    <xf numFmtId="3" fontId="9" fillId="0" borderId="0" xfId="0" applyNumberFormat="1" applyFont="1" applyAlignment="1">
      <alignment horizontal="center" vertical="center"/>
    </xf>
    <xf numFmtId="10" fontId="20" fillId="6" borderId="0" xfId="0" applyNumberFormat="1" applyFont="1" applyFill="1" applyAlignment="1">
      <alignment horizontal="center" vertical="center"/>
    </xf>
    <xf numFmtId="0" fontId="5" fillId="0" borderId="18" xfId="1" applyBorder="1" applyAlignment="1">
      <alignment horizontal="center" vertical="center"/>
    </xf>
    <xf numFmtId="0" fontId="22" fillId="0" borderId="18" xfId="1" applyFont="1" applyBorder="1" applyAlignment="1">
      <alignment horizontal="center" vertical="center"/>
    </xf>
    <xf numFmtId="10" fontId="9" fillId="13" borderId="18" xfId="0" applyNumberFormat="1" applyFont="1" applyFill="1" applyBorder="1" applyAlignment="1">
      <alignment horizontal="center" vertical="center"/>
    </xf>
    <xf numFmtId="14" fontId="9" fillId="0" borderId="18" xfId="0" applyNumberFormat="1" applyFont="1" applyBorder="1" applyAlignment="1">
      <alignment horizontal="center" vertical="center"/>
    </xf>
    <xf numFmtId="3" fontId="9" fillId="0" borderId="18" xfId="0" applyNumberFormat="1" applyFont="1" applyBorder="1" applyAlignment="1">
      <alignment horizontal="center" vertical="center"/>
    </xf>
    <xf numFmtId="10" fontId="9" fillId="0" borderId="18" xfId="3" applyNumberFormat="1" applyFont="1" applyBorder="1" applyAlignment="1">
      <alignment horizontal="center" vertical="center"/>
    </xf>
    <xf numFmtId="10" fontId="9" fillId="13" borderId="18" xfId="3" applyNumberFormat="1" applyFont="1" applyFill="1" applyBorder="1" applyAlignment="1">
      <alignment horizontal="center" vertical="center"/>
    </xf>
    <xf numFmtId="0" fontId="9" fillId="0" borderId="18" xfId="3" applyNumberFormat="1" applyFont="1" applyBorder="1" applyAlignment="1">
      <alignment horizontal="center" vertical="center"/>
    </xf>
    <xf numFmtId="2" fontId="9" fillId="0" borderId="18" xfId="0" applyNumberFormat="1" applyFont="1" applyBorder="1" applyAlignment="1">
      <alignment horizontal="center" vertical="center"/>
    </xf>
    <xf numFmtId="2" fontId="9" fillId="0" borderId="18" xfId="3" applyNumberFormat="1" applyFont="1" applyBorder="1" applyAlignment="1">
      <alignment horizontal="center" vertical="center"/>
    </xf>
    <xf numFmtId="0" fontId="31" fillId="6" borderId="18" xfId="1" applyFont="1" applyFill="1" applyBorder="1" applyAlignment="1">
      <alignment horizontal="center" vertical="center"/>
    </xf>
    <xf numFmtId="0" fontId="32" fillId="0" borderId="0" xfId="0" applyFont="1"/>
    <xf numFmtId="44" fontId="32" fillId="0" borderId="0" xfId="2" applyFont="1"/>
    <xf numFmtId="44" fontId="32" fillId="0" borderId="0" xfId="0" applyNumberFormat="1" applyFont="1"/>
    <xf numFmtId="9" fontId="32" fillId="0" borderId="0" xfId="0" applyNumberFormat="1" applyFont="1" applyAlignment="1">
      <alignment horizontal="center"/>
    </xf>
    <xf numFmtId="0" fontId="32" fillId="0" borderId="0" xfId="0" applyFont="1" applyAlignment="1">
      <alignment horizontal="center" vertical="center"/>
    </xf>
    <xf numFmtId="169" fontId="32" fillId="0" borderId="0" xfId="2" applyNumberFormat="1" applyFont="1" applyAlignment="1">
      <alignment horizontal="center" vertical="center"/>
    </xf>
    <xf numFmtId="10" fontId="32" fillId="0" borderId="0" xfId="0" applyNumberFormat="1" applyFont="1" applyAlignment="1">
      <alignment horizontal="center" vertical="center"/>
    </xf>
    <xf numFmtId="9" fontId="32" fillId="0" borderId="0" xfId="0" applyNumberFormat="1" applyFont="1" applyAlignment="1">
      <alignment horizontal="center" vertical="center"/>
    </xf>
    <xf numFmtId="0" fontId="32" fillId="0" borderId="0" xfId="0" applyFont="1" applyAlignment="1">
      <alignment horizontal="center"/>
    </xf>
    <xf numFmtId="0" fontId="11" fillId="0" borderId="0" xfId="0" applyFont="1" applyAlignment="1">
      <alignment horizontal="center" vertical="center"/>
    </xf>
    <xf numFmtId="0" fontId="16" fillId="6" borderId="0" xfId="0" applyFont="1" applyFill="1" applyAlignment="1">
      <alignment horizontal="center" vertical="center"/>
    </xf>
    <xf numFmtId="0" fontId="22" fillId="0" borderId="18" xfId="1" applyNumberFormat="1" applyFont="1" applyBorder="1" applyAlignment="1">
      <alignment horizontal="center" vertical="center"/>
    </xf>
    <xf numFmtId="169" fontId="32" fillId="0" borderId="0" xfId="0" applyNumberFormat="1" applyFont="1" applyAlignment="1">
      <alignment horizontal="center" vertical="center"/>
    </xf>
    <xf numFmtId="0" fontId="16" fillId="6" borderId="0" xfId="0" applyFont="1" applyFill="1" applyAlignment="1">
      <alignment horizontal="center"/>
    </xf>
    <xf numFmtId="169" fontId="32" fillId="0" borderId="0" xfId="0" applyNumberFormat="1" applyFont="1" applyAlignment="1">
      <alignment horizontal="center"/>
    </xf>
    <xf numFmtId="169" fontId="32" fillId="0" borderId="18" xfId="0" applyNumberFormat="1" applyFont="1" applyBorder="1" applyAlignment="1">
      <alignment horizontal="center" vertical="center"/>
    </xf>
    <xf numFmtId="10" fontId="32" fillId="0" borderId="18" xfId="0" applyNumberFormat="1" applyFont="1" applyBorder="1" applyAlignment="1">
      <alignment horizontal="center" vertical="center"/>
    </xf>
    <xf numFmtId="10" fontId="32" fillId="0" borderId="18" xfId="3" applyNumberFormat="1" applyFont="1" applyBorder="1" applyAlignment="1">
      <alignment horizontal="center" vertical="center"/>
    </xf>
    <xf numFmtId="0" fontId="16" fillId="6" borderId="18" xfId="0" applyFont="1" applyFill="1" applyBorder="1" applyAlignment="1">
      <alignment horizontal="center" vertical="center"/>
    </xf>
    <xf numFmtId="169" fontId="32" fillId="0" borderId="18" xfId="2" applyNumberFormat="1" applyFont="1" applyBorder="1" applyAlignment="1">
      <alignment horizontal="center" vertical="center"/>
    </xf>
    <xf numFmtId="169" fontId="33" fillId="0" borderId="18" xfId="2" applyNumberFormat="1" applyFont="1" applyBorder="1" applyAlignment="1">
      <alignment horizontal="center" vertical="center"/>
    </xf>
    <xf numFmtId="0" fontId="32" fillId="38" borderId="18" xfId="0" applyFont="1" applyFill="1" applyBorder="1" applyAlignment="1">
      <alignment horizontal="center" vertical="center"/>
    </xf>
    <xf numFmtId="0" fontId="32" fillId="37" borderId="18" xfId="0" applyFont="1" applyFill="1" applyBorder="1" applyAlignment="1">
      <alignment horizontal="center" vertical="center"/>
    </xf>
    <xf numFmtId="9" fontId="32" fillId="39" borderId="18" xfId="0" applyNumberFormat="1" applyFont="1" applyFill="1" applyBorder="1" applyAlignment="1">
      <alignment horizontal="center" vertical="center"/>
    </xf>
    <xf numFmtId="9" fontId="32" fillId="40" borderId="18" xfId="0" applyNumberFormat="1" applyFont="1" applyFill="1" applyBorder="1" applyAlignment="1">
      <alignment horizontal="center" vertical="center"/>
    </xf>
    <xf numFmtId="10" fontId="33" fillId="38" borderId="18" xfId="0" applyNumberFormat="1" applyFont="1" applyFill="1" applyBorder="1" applyAlignment="1">
      <alignment horizontal="center" vertical="center"/>
    </xf>
    <xf numFmtId="10" fontId="33" fillId="37" borderId="18" xfId="0" applyNumberFormat="1" applyFont="1" applyFill="1" applyBorder="1" applyAlignment="1">
      <alignment horizontal="center" vertical="center"/>
    </xf>
    <xf numFmtId="10" fontId="33" fillId="39" borderId="18" xfId="0" applyNumberFormat="1" applyFont="1" applyFill="1" applyBorder="1" applyAlignment="1">
      <alignment horizontal="center" vertical="center"/>
    </xf>
    <xf numFmtId="10" fontId="33" fillId="40" borderId="18" xfId="0" applyNumberFormat="1" applyFont="1" applyFill="1" applyBorder="1" applyAlignment="1">
      <alignment horizontal="center" vertical="center"/>
    </xf>
    <xf numFmtId="169" fontId="32" fillId="13" borderId="0" xfId="0" applyNumberFormat="1" applyFont="1" applyFill="1" applyAlignment="1">
      <alignment horizontal="center" vertical="center"/>
    </xf>
    <xf numFmtId="169" fontId="33" fillId="5" borderId="26" xfId="0" applyNumberFormat="1" applyFont="1" applyFill="1" applyBorder="1" applyAlignment="1">
      <alignment horizontal="center" vertical="center"/>
    </xf>
    <xf numFmtId="0" fontId="33" fillId="5" borderId="26" xfId="0" applyFont="1" applyFill="1" applyBorder="1" applyAlignment="1">
      <alignment horizontal="center" vertical="center"/>
    </xf>
    <xf numFmtId="0" fontId="32" fillId="0" borderId="34" xfId="0" applyFont="1" applyBorder="1" applyAlignment="1">
      <alignment horizontal="center"/>
    </xf>
    <xf numFmtId="0" fontId="32" fillId="0" borderId="38" xfId="0" applyFont="1" applyBorder="1" applyAlignment="1">
      <alignment horizontal="center" vertical="center"/>
    </xf>
    <xf numFmtId="169" fontId="32" fillId="0" borderId="38" xfId="2" applyNumberFormat="1" applyFont="1" applyBorder="1" applyAlignment="1">
      <alignment horizontal="center" vertical="center"/>
    </xf>
    <xf numFmtId="169" fontId="32" fillId="36" borderId="38" xfId="2" applyNumberFormat="1" applyFont="1" applyFill="1" applyBorder="1" applyAlignment="1">
      <alignment horizontal="center" vertical="center"/>
    </xf>
    <xf numFmtId="169" fontId="32" fillId="37" borderId="38" xfId="2" applyNumberFormat="1" applyFont="1" applyFill="1" applyBorder="1" applyAlignment="1">
      <alignment horizontal="center" vertical="center"/>
    </xf>
    <xf numFmtId="2" fontId="32" fillId="37" borderId="38" xfId="2" applyNumberFormat="1" applyFont="1" applyFill="1" applyBorder="1" applyAlignment="1">
      <alignment horizontal="center"/>
    </xf>
    <xf numFmtId="169" fontId="32" fillId="38" borderId="38" xfId="2" applyNumberFormat="1" applyFont="1" applyFill="1" applyBorder="1" applyAlignment="1">
      <alignment horizontal="center"/>
    </xf>
    <xf numFmtId="2" fontId="32" fillId="38" borderId="38" xfId="0" applyNumberFormat="1" applyFont="1" applyFill="1" applyBorder="1" applyAlignment="1">
      <alignment horizontal="center"/>
    </xf>
    <xf numFmtId="169" fontId="32" fillId="39" borderId="38" xfId="2" applyNumberFormat="1" applyFont="1" applyFill="1" applyBorder="1" applyAlignment="1">
      <alignment horizontal="center"/>
    </xf>
    <xf numFmtId="2" fontId="32" fillId="39" borderId="38" xfId="2" applyNumberFormat="1" applyFont="1" applyFill="1" applyBorder="1" applyAlignment="1">
      <alignment horizontal="center"/>
    </xf>
    <xf numFmtId="169" fontId="32" fillId="40" borderId="38" xfId="2" applyNumberFormat="1" applyFont="1" applyFill="1" applyBorder="1" applyAlignment="1">
      <alignment horizontal="center"/>
    </xf>
    <xf numFmtId="2" fontId="32" fillId="40" borderId="38" xfId="2" applyNumberFormat="1" applyFont="1" applyFill="1" applyBorder="1" applyAlignment="1">
      <alignment horizontal="center"/>
    </xf>
    <xf numFmtId="0" fontId="32" fillId="0" borderId="32" xfId="0" applyFont="1" applyBorder="1" applyAlignment="1">
      <alignment horizontal="center" vertical="center"/>
    </xf>
    <xf numFmtId="0" fontId="32" fillId="0" borderId="34" xfId="0" applyFont="1" applyBorder="1" applyAlignment="1">
      <alignment horizontal="center" vertical="center"/>
    </xf>
    <xf numFmtId="0" fontId="33" fillId="36" borderId="33" xfId="0" applyFont="1" applyFill="1" applyBorder="1" applyAlignment="1">
      <alignment horizontal="center" vertical="center"/>
    </xf>
    <xf numFmtId="0" fontId="33" fillId="37" borderId="29" xfId="0" applyFont="1" applyFill="1" applyBorder="1" applyAlignment="1">
      <alignment horizontal="center" vertical="center"/>
    </xf>
    <xf numFmtId="0" fontId="33" fillId="38" borderId="29" xfId="0" applyFont="1" applyFill="1" applyBorder="1" applyAlignment="1">
      <alignment horizontal="center" vertical="center"/>
    </xf>
    <xf numFmtId="0" fontId="33" fillId="39" borderId="29" xfId="0" applyFont="1" applyFill="1" applyBorder="1" applyAlignment="1">
      <alignment horizontal="center" vertical="center"/>
    </xf>
    <xf numFmtId="0" fontId="33" fillId="40" borderId="29" xfId="0" applyFont="1" applyFill="1" applyBorder="1" applyAlignment="1">
      <alignment horizontal="center" vertical="center"/>
    </xf>
    <xf numFmtId="0" fontId="32" fillId="0" borderId="33" xfId="0" applyFont="1" applyBorder="1" applyAlignment="1">
      <alignment horizontal="center"/>
    </xf>
    <xf numFmtId="0" fontId="32" fillId="0" borderId="29" xfId="0" applyFont="1" applyBorder="1" applyAlignment="1">
      <alignment horizontal="center" vertical="center"/>
    </xf>
    <xf numFmtId="169" fontId="32" fillId="0" borderId="29" xfId="2" applyNumberFormat="1" applyFont="1" applyBorder="1" applyAlignment="1">
      <alignment horizontal="center" vertical="center"/>
    </xf>
    <xf numFmtId="169" fontId="32" fillId="36" borderId="29" xfId="2" applyNumberFormat="1" applyFont="1" applyFill="1" applyBorder="1" applyAlignment="1">
      <alignment horizontal="center" vertical="center"/>
    </xf>
    <xf numFmtId="169" fontId="32" fillId="37" borderId="29" xfId="2" applyNumberFormat="1" applyFont="1" applyFill="1" applyBorder="1" applyAlignment="1">
      <alignment horizontal="center" vertical="center"/>
    </xf>
    <xf numFmtId="2" fontId="32" fillId="37" borderId="29" xfId="2" applyNumberFormat="1" applyFont="1" applyFill="1" applyBorder="1" applyAlignment="1">
      <alignment horizontal="center"/>
    </xf>
    <xf numFmtId="169" fontId="32" fillId="38" borderId="29" xfId="2" applyNumberFormat="1" applyFont="1" applyFill="1" applyBorder="1" applyAlignment="1">
      <alignment horizontal="center"/>
    </xf>
    <xf numFmtId="2" fontId="32" fillId="38" borderId="29" xfId="0" applyNumberFormat="1" applyFont="1" applyFill="1" applyBorder="1" applyAlignment="1">
      <alignment horizontal="center"/>
    </xf>
    <xf numFmtId="169" fontId="32" fillId="39" borderId="29" xfId="2" applyNumberFormat="1" applyFont="1" applyFill="1" applyBorder="1" applyAlignment="1">
      <alignment horizontal="center"/>
    </xf>
    <xf numFmtId="2" fontId="32" fillId="39" borderId="29" xfId="2" applyNumberFormat="1" applyFont="1" applyFill="1" applyBorder="1" applyAlignment="1">
      <alignment horizontal="center"/>
    </xf>
    <xf numFmtId="169" fontId="32" fillId="40" borderId="29" xfId="2" applyNumberFormat="1" applyFont="1" applyFill="1" applyBorder="1" applyAlignment="1">
      <alignment horizontal="center"/>
    </xf>
    <xf numFmtId="2" fontId="32" fillId="40" borderId="29" xfId="2" applyNumberFormat="1" applyFont="1" applyFill="1" applyBorder="1" applyAlignment="1">
      <alignment horizontal="center"/>
    </xf>
    <xf numFmtId="0" fontId="34" fillId="36" borderId="18" xfId="0" applyFont="1" applyFill="1" applyBorder="1" applyAlignment="1">
      <alignment horizontal="center" vertical="center"/>
    </xf>
    <xf numFmtId="0" fontId="30" fillId="0" borderId="46" xfId="0" applyFont="1" applyBorder="1" applyAlignment="1">
      <alignment wrapText="1"/>
    </xf>
    <xf numFmtId="0" fontId="9" fillId="0" borderId="46" xfId="0" applyFont="1" applyBorder="1" applyAlignment="1">
      <alignment horizontal="right" wrapText="1"/>
    </xf>
    <xf numFmtId="0" fontId="9" fillId="0" borderId="49" xfId="0" applyFont="1" applyBorder="1" applyAlignment="1">
      <alignment horizontal="right" wrapText="1"/>
    </xf>
    <xf numFmtId="0" fontId="11" fillId="13" borderId="0" xfId="0" applyFont="1" applyFill="1" applyAlignment="1">
      <alignment horizontal="center" vertical="center" wrapText="1"/>
    </xf>
    <xf numFmtId="0" fontId="20" fillId="41" borderId="0" xfId="0" applyFont="1" applyFill="1" applyAlignment="1">
      <alignment horizontal="center" vertical="center" wrapText="1"/>
    </xf>
    <xf numFmtId="169" fontId="33" fillId="5" borderId="38" xfId="2" applyNumberFormat="1" applyFont="1" applyFill="1" applyBorder="1" applyAlignment="1">
      <alignment horizontal="center" vertical="center"/>
    </xf>
    <xf numFmtId="0" fontId="20" fillId="6" borderId="42" xfId="0" applyFont="1" applyFill="1" applyBorder="1" applyAlignment="1">
      <alignment wrapText="1"/>
    </xf>
    <xf numFmtId="0" fontId="36" fillId="6" borderId="43" xfId="0" applyFont="1" applyFill="1" applyBorder="1" applyAlignment="1">
      <alignment wrapText="1"/>
    </xf>
    <xf numFmtId="0" fontId="36" fillId="6" borderId="44" xfId="0" applyFont="1" applyFill="1" applyBorder="1" applyAlignment="1">
      <alignment wrapText="1"/>
    </xf>
    <xf numFmtId="169" fontId="20" fillId="6" borderId="44" xfId="0" applyNumberFormat="1" applyFont="1" applyFill="1" applyBorder="1" applyAlignment="1">
      <alignment horizontal="right" wrapText="1"/>
    </xf>
    <xf numFmtId="0" fontId="11" fillId="0" borderId="45" xfId="0" applyFont="1" applyBorder="1" applyAlignment="1">
      <alignment wrapText="1"/>
    </xf>
    <xf numFmtId="0" fontId="11" fillId="0" borderId="47" xfId="0" applyFont="1" applyBorder="1" applyAlignment="1">
      <alignment wrapText="1"/>
    </xf>
    <xf numFmtId="0" fontId="11" fillId="0" borderId="48" xfId="0" applyFont="1" applyBorder="1" applyAlignment="1">
      <alignment wrapText="1"/>
    </xf>
    <xf numFmtId="0" fontId="19" fillId="6" borderId="51" xfId="0" applyFont="1" applyFill="1" applyBorder="1" applyAlignment="1">
      <alignment horizontal="right" wrapText="1"/>
    </xf>
    <xf numFmtId="169" fontId="20" fillId="6" borderId="49" xfId="0" applyNumberFormat="1" applyFont="1" applyFill="1" applyBorder="1" applyAlignment="1">
      <alignment horizontal="right" wrapText="1"/>
    </xf>
    <xf numFmtId="0" fontId="20" fillId="6" borderId="55" xfId="0" applyFont="1" applyFill="1" applyBorder="1" applyAlignment="1">
      <alignment wrapText="1"/>
    </xf>
    <xf numFmtId="0" fontId="36" fillId="6" borderId="26" xfId="0" applyFont="1" applyFill="1" applyBorder="1" applyAlignment="1">
      <alignment wrapText="1"/>
    </xf>
    <xf numFmtId="169" fontId="20" fillId="6" borderId="56" xfId="0" applyNumberFormat="1" applyFont="1" applyFill="1" applyBorder="1" applyAlignment="1">
      <alignment horizontal="right" wrapText="1"/>
    </xf>
    <xf numFmtId="0" fontId="20" fillId="6" borderId="50" xfId="0" applyFont="1" applyFill="1" applyBorder="1" applyAlignment="1">
      <alignment wrapText="1"/>
    </xf>
    <xf numFmtId="0" fontId="7" fillId="0" borderId="18" xfId="0" applyFont="1" applyBorder="1" applyAlignment="1">
      <alignment vertical="center" wrapText="1"/>
    </xf>
    <xf numFmtId="169" fontId="33" fillId="5" borderId="18" xfId="2" applyNumberFormat="1" applyFont="1" applyFill="1" applyBorder="1" applyAlignment="1">
      <alignment horizontal="center" vertical="center"/>
    </xf>
    <xf numFmtId="0" fontId="11" fillId="5" borderId="18" xfId="0" applyFont="1" applyFill="1" applyBorder="1" applyAlignment="1">
      <alignment horizontal="center" vertical="center"/>
    </xf>
    <xf numFmtId="0" fontId="7" fillId="0" borderId="18" xfId="0" applyFont="1" applyBorder="1" applyAlignment="1">
      <alignment horizontal="center" vertical="center" wrapText="1"/>
    </xf>
    <xf numFmtId="0" fontId="16" fillId="6" borderId="59" xfId="0" applyFont="1" applyFill="1" applyBorder="1" applyAlignment="1">
      <alignment horizontal="center" vertical="center" wrapText="1"/>
    </xf>
    <xf numFmtId="0" fontId="32" fillId="0" borderId="18" xfId="0" applyFont="1" applyBorder="1" applyAlignment="1">
      <alignment horizontal="center" vertical="center" wrapText="1"/>
    </xf>
    <xf numFmtId="10" fontId="32" fillId="0" borderId="18" xfId="0" applyNumberFormat="1" applyFont="1" applyBorder="1" applyAlignment="1">
      <alignment horizontal="center" vertical="center" wrapText="1"/>
    </xf>
    <xf numFmtId="0" fontId="39" fillId="0" borderId="18" xfId="1" applyFont="1" applyBorder="1" applyAlignment="1">
      <alignment horizontal="center" vertical="center" wrapText="1"/>
    </xf>
    <xf numFmtId="167" fontId="32" fillId="0" borderId="18" xfId="0" applyNumberFormat="1" applyFont="1" applyBorder="1" applyAlignment="1">
      <alignment horizontal="center" vertical="center" wrapText="1"/>
    </xf>
    <xf numFmtId="0" fontId="39" fillId="0" borderId="69" xfId="1" applyFont="1" applyBorder="1" applyAlignment="1">
      <alignment vertical="center" wrapText="1"/>
    </xf>
    <xf numFmtId="0" fontId="39" fillId="0" borderId="9" xfId="1" applyFont="1" applyBorder="1" applyAlignment="1">
      <alignment vertical="center" wrapText="1"/>
    </xf>
    <xf numFmtId="0" fontId="32" fillId="0" borderId="9" xfId="0" applyFont="1" applyBorder="1" applyAlignment="1">
      <alignment horizontal="center" vertical="center" wrapText="1"/>
    </xf>
    <xf numFmtId="0" fontId="40" fillId="34" borderId="18" xfId="0" applyFont="1" applyFill="1" applyBorder="1" applyAlignment="1">
      <alignment horizontal="center" vertical="center" wrapText="1"/>
    </xf>
    <xf numFmtId="0" fontId="16" fillId="44" borderId="62" xfId="0" applyFont="1" applyFill="1" applyBorder="1" applyAlignment="1">
      <alignment horizontal="center" vertical="center" wrapText="1"/>
    </xf>
    <xf numFmtId="0" fontId="16" fillId="43" borderId="62" xfId="0" applyFont="1" applyFill="1" applyBorder="1" applyAlignment="1">
      <alignment horizontal="center" vertical="center" wrapText="1"/>
    </xf>
    <xf numFmtId="0" fontId="16" fillId="42" borderId="62" xfId="0" applyFont="1" applyFill="1" applyBorder="1" applyAlignment="1">
      <alignment horizontal="center" vertical="center" wrapText="1"/>
    </xf>
    <xf numFmtId="0" fontId="16" fillId="6" borderId="18" xfId="0" applyFont="1" applyFill="1" applyBorder="1" applyAlignment="1">
      <alignment horizontal="center" vertical="center" wrapText="1"/>
    </xf>
    <xf numFmtId="0" fontId="16" fillId="6" borderId="12" xfId="0" applyFont="1" applyFill="1" applyBorder="1" applyAlignment="1">
      <alignment horizontal="center" vertical="center" wrapText="1"/>
    </xf>
    <xf numFmtId="167" fontId="32" fillId="0" borderId="9" xfId="0" applyNumberFormat="1" applyFont="1" applyBorder="1" applyAlignment="1">
      <alignment horizontal="center" vertical="center" wrapText="1"/>
    </xf>
    <xf numFmtId="167" fontId="32" fillId="0" borderId="27" xfId="0" applyNumberFormat="1" applyFont="1" applyBorder="1" applyAlignment="1">
      <alignment horizontal="center" vertical="center" wrapText="1"/>
    </xf>
    <xf numFmtId="0" fontId="16" fillId="34" borderId="68" xfId="0" applyFont="1" applyFill="1" applyBorder="1" applyAlignment="1">
      <alignment horizontal="center" vertical="center" wrapText="1"/>
    </xf>
    <xf numFmtId="0" fontId="33" fillId="0" borderId="69" xfId="0" applyFont="1" applyBorder="1" applyAlignment="1">
      <alignment horizontal="center" vertical="center" wrapText="1"/>
    </xf>
    <xf numFmtId="0" fontId="34" fillId="5" borderId="18" xfId="0" applyFont="1" applyFill="1" applyBorder="1" applyAlignment="1">
      <alignment horizontal="center" vertical="center" wrapText="1"/>
    </xf>
    <xf numFmtId="0" fontId="26" fillId="6" borderId="73" xfId="0" applyFont="1" applyFill="1" applyBorder="1" applyAlignment="1">
      <alignment vertical="center" wrapText="1"/>
    </xf>
    <xf numFmtId="169" fontId="27" fillId="6" borderId="65" xfId="0" applyNumberFormat="1" applyFont="1" applyFill="1" applyBorder="1" applyAlignment="1">
      <alignment horizontal="center" vertical="center" wrapText="1"/>
    </xf>
    <xf numFmtId="0" fontId="8" fillId="0" borderId="18" xfId="0" applyFont="1" applyBorder="1" applyAlignment="1">
      <alignment vertical="center" wrapText="1"/>
    </xf>
    <xf numFmtId="0" fontId="31" fillId="6" borderId="0" xfId="1" applyFont="1" applyFill="1" applyAlignment="1">
      <alignment horizontal="center" vertical="center"/>
    </xf>
    <xf numFmtId="0" fontId="9" fillId="0" borderId="0" xfId="0" applyFont="1" applyAlignment="1">
      <alignment horizontal="left" vertical="center"/>
    </xf>
    <xf numFmtId="0" fontId="9" fillId="36" borderId="38" xfId="0" applyFont="1" applyFill="1" applyBorder="1" applyAlignment="1">
      <alignment horizontal="left" vertical="center"/>
    </xf>
    <xf numFmtId="0" fontId="9" fillId="36" borderId="29" xfId="0" applyFont="1" applyFill="1" applyBorder="1" applyAlignment="1">
      <alignment horizontal="left" vertical="center"/>
    </xf>
    <xf numFmtId="0" fontId="9" fillId="36" borderId="28" xfId="0" applyFont="1" applyFill="1" applyBorder="1" applyAlignment="1">
      <alignment horizontal="left" vertical="center"/>
    </xf>
    <xf numFmtId="0" fontId="9" fillId="34" borderId="28" xfId="0" applyFont="1" applyFill="1" applyBorder="1" applyAlignment="1">
      <alignment horizontal="left" vertical="center"/>
    </xf>
    <xf numFmtId="0" fontId="9" fillId="34" borderId="29" xfId="0" applyFont="1" applyFill="1" applyBorder="1" applyAlignment="1">
      <alignment horizontal="left" vertical="center"/>
    </xf>
    <xf numFmtId="0" fontId="11" fillId="5" borderId="0" xfId="0" applyFont="1" applyFill="1" applyAlignment="1">
      <alignment horizontal="center" vertical="center"/>
    </xf>
    <xf numFmtId="0" fontId="9" fillId="0" borderId="28" xfId="0" applyFont="1" applyBorder="1" applyAlignment="1">
      <alignment horizontal="center" vertical="center"/>
    </xf>
    <xf numFmtId="0" fontId="9" fillId="0" borderId="38" xfId="0" applyFont="1" applyBorder="1" applyAlignment="1">
      <alignment horizontal="center" vertical="center"/>
    </xf>
    <xf numFmtId="0" fontId="9" fillId="0" borderId="29" xfId="0" applyFont="1" applyBorder="1" applyAlignment="1">
      <alignment horizontal="center" vertical="center"/>
    </xf>
    <xf numFmtId="167" fontId="9" fillId="0" borderId="28" xfId="0" applyNumberFormat="1" applyFont="1" applyBorder="1" applyAlignment="1">
      <alignment horizontal="center" vertical="center"/>
    </xf>
    <xf numFmtId="167" fontId="9" fillId="0" borderId="38" xfId="0" applyNumberFormat="1" applyFont="1" applyBorder="1" applyAlignment="1">
      <alignment horizontal="center" vertical="center"/>
    </xf>
    <xf numFmtId="167" fontId="9" fillId="0" borderId="29" xfId="0" applyNumberFormat="1" applyFont="1" applyBorder="1" applyAlignment="1">
      <alignment horizontal="center" vertical="center"/>
    </xf>
    <xf numFmtId="167" fontId="26" fillId="6" borderId="17" xfId="0" applyNumberFormat="1" applyFont="1" applyFill="1" applyBorder="1" applyAlignment="1">
      <alignment horizontal="right" vertical="center" wrapText="1"/>
    </xf>
    <xf numFmtId="0" fontId="15" fillId="0" borderId="9" xfId="0" applyFont="1" applyBorder="1" applyAlignment="1">
      <alignment vertical="center"/>
    </xf>
    <xf numFmtId="0" fontId="17" fillId="0" borderId="9" xfId="0" applyFont="1" applyBorder="1" applyAlignment="1">
      <alignment vertical="center"/>
    </xf>
    <xf numFmtId="167" fontId="10" fillId="8" borderId="18" xfId="2" applyNumberFormat="1" applyFont="1" applyFill="1" applyBorder="1" applyAlignment="1">
      <alignment horizontal="center" vertical="center" wrapText="1"/>
    </xf>
    <xf numFmtId="167" fontId="10" fillId="9" borderId="18" xfId="2" applyNumberFormat="1" applyFont="1" applyFill="1" applyBorder="1" applyAlignment="1">
      <alignment horizontal="center" vertical="center" wrapText="1"/>
    </xf>
    <xf numFmtId="167" fontId="10" fillId="10" borderId="18" xfId="2" applyNumberFormat="1" applyFont="1" applyFill="1" applyBorder="1" applyAlignment="1">
      <alignment horizontal="center" vertical="center" wrapText="1"/>
    </xf>
    <xf numFmtId="167" fontId="10" fillId="11" borderId="18" xfId="2" applyNumberFormat="1" applyFont="1" applyFill="1" applyBorder="1" applyAlignment="1">
      <alignment horizontal="center" vertical="center" wrapText="1"/>
    </xf>
    <xf numFmtId="0" fontId="17" fillId="12" borderId="18" xfId="0" applyFont="1" applyFill="1" applyBorder="1" applyAlignment="1">
      <alignment horizontal="center" vertical="center"/>
    </xf>
    <xf numFmtId="167" fontId="10" fillId="12" borderId="18" xfId="2" applyNumberFormat="1" applyFont="1" applyFill="1" applyBorder="1" applyAlignment="1">
      <alignment horizontal="center" vertical="center" wrapText="1"/>
    </xf>
    <xf numFmtId="0" fontId="9" fillId="0" borderId="9" xfId="0" applyFont="1" applyBorder="1" applyAlignment="1">
      <alignment vertical="center" wrapText="1"/>
    </xf>
    <xf numFmtId="0" fontId="23" fillId="34" borderId="18" xfId="0" applyFont="1" applyFill="1" applyBorder="1" applyAlignment="1">
      <alignment horizontal="center" vertical="center"/>
    </xf>
    <xf numFmtId="0" fontId="13" fillId="34" borderId="18" xfId="0" applyFont="1" applyFill="1" applyBorder="1" applyAlignment="1">
      <alignment horizontal="center" vertical="center"/>
    </xf>
    <xf numFmtId="0" fontId="9" fillId="0" borderId="35" xfId="0" applyFont="1" applyBorder="1" applyAlignment="1">
      <alignment horizontal="left" vertical="center"/>
    </xf>
    <xf numFmtId="0" fontId="9" fillId="0" borderId="31" xfId="0" applyFont="1" applyBorder="1" applyAlignment="1">
      <alignment horizontal="left" vertical="center"/>
    </xf>
    <xf numFmtId="0" fontId="9" fillId="0" borderId="30" xfId="0" applyFont="1" applyBorder="1" applyAlignment="1">
      <alignment horizontal="left" vertical="center"/>
    </xf>
    <xf numFmtId="0" fontId="9" fillId="36" borderId="18" xfId="0" applyFont="1" applyFill="1" applyBorder="1" applyAlignment="1">
      <alignment horizontal="center" vertical="center"/>
    </xf>
    <xf numFmtId="0" fontId="20" fillId="6" borderId="0" xfId="0" applyFont="1" applyFill="1" applyAlignment="1">
      <alignment horizontal="center" vertical="center"/>
    </xf>
    <xf numFmtId="0" fontId="9" fillId="34" borderId="18" xfId="0" applyFont="1" applyFill="1" applyBorder="1" applyAlignment="1">
      <alignment horizontal="center" vertical="center"/>
    </xf>
    <xf numFmtId="0" fontId="9" fillId="0" borderId="31" xfId="0" applyFont="1" applyBorder="1" applyAlignment="1">
      <alignment horizontal="center" vertical="center"/>
    </xf>
    <xf numFmtId="0" fontId="9" fillId="0" borderId="35" xfId="0" applyFont="1" applyBorder="1" applyAlignment="1">
      <alignment horizontal="center" vertical="center"/>
    </xf>
    <xf numFmtId="0" fontId="9" fillId="0" borderId="30" xfId="0" applyFont="1" applyBorder="1" applyAlignment="1">
      <alignment horizontal="center" vertical="center"/>
    </xf>
    <xf numFmtId="0" fontId="11" fillId="5" borderId="0" xfId="0" applyFont="1" applyFill="1" applyAlignment="1">
      <alignment horizontal="center" vertical="center" wrapText="1"/>
    </xf>
    <xf numFmtId="0" fontId="20" fillId="6" borderId="4" xfId="0" applyFont="1" applyFill="1" applyBorder="1" applyAlignment="1">
      <alignment horizontal="center" vertical="center" wrapText="1"/>
    </xf>
    <xf numFmtId="0" fontId="24" fillId="6" borderId="5" xfId="0" applyFont="1" applyFill="1" applyBorder="1"/>
    <xf numFmtId="0" fontId="24" fillId="6" borderId="6" xfId="0" applyFont="1" applyFill="1" applyBorder="1"/>
    <xf numFmtId="0" fontId="3" fillId="0" borderId="4" xfId="0" applyFont="1" applyBorder="1" applyAlignment="1">
      <alignment horizontal="center" vertical="center" wrapText="1"/>
    </xf>
    <xf numFmtId="0" fontId="1" fillId="0" borderId="5" xfId="0" applyFont="1" applyBorder="1"/>
    <xf numFmtId="0" fontId="1" fillId="0" borderId="6" xfId="0" applyFont="1" applyBorder="1"/>
    <xf numFmtId="0" fontId="19" fillId="6" borderId="6" xfId="0" applyFont="1" applyFill="1" applyBorder="1"/>
    <xf numFmtId="0" fontId="11" fillId="5" borderId="18" xfId="0" applyFont="1" applyFill="1" applyBorder="1" applyAlignment="1">
      <alignment horizontal="center" vertical="center" wrapText="1"/>
    </xf>
    <xf numFmtId="0" fontId="20" fillId="6" borderId="18" xfId="0" applyFont="1" applyFill="1" applyBorder="1" applyAlignment="1">
      <alignment horizontal="center" vertical="center"/>
    </xf>
    <xf numFmtId="0" fontId="20" fillId="6" borderId="30" xfId="0" applyFont="1" applyFill="1" applyBorder="1" applyAlignment="1">
      <alignment horizontal="center" vertical="center"/>
    </xf>
    <xf numFmtId="0" fontId="20" fillId="6" borderId="26" xfId="0" applyFont="1" applyFill="1" applyBorder="1" applyAlignment="1">
      <alignment horizontal="center" vertical="center"/>
    </xf>
    <xf numFmtId="0" fontId="10" fillId="11" borderId="9" xfId="0" applyFont="1" applyFill="1" applyBorder="1" applyAlignment="1">
      <alignment horizontal="center" vertical="center" wrapText="1"/>
    </xf>
    <xf numFmtId="0" fontId="20" fillId="6" borderId="9" xfId="0" applyFont="1" applyFill="1" applyBorder="1" applyAlignment="1">
      <alignment horizontal="center" vertical="center" wrapText="1"/>
    </xf>
    <xf numFmtId="0" fontId="9" fillId="5" borderId="31" xfId="0" applyFont="1" applyFill="1" applyBorder="1" applyAlignment="1">
      <alignment horizontal="left" vertical="center" wrapText="1"/>
    </xf>
    <xf numFmtId="0" fontId="9" fillId="5" borderId="27" xfId="0" applyFont="1" applyFill="1" applyBorder="1" applyAlignment="1">
      <alignment horizontal="left" vertical="center" wrapText="1"/>
    </xf>
    <xf numFmtId="0" fontId="9" fillId="5" borderId="32" xfId="0" applyFont="1" applyFill="1" applyBorder="1" applyAlignment="1">
      <alignment horizontal="left" vertical="center" wrapText="1"/>
    </xf>
    <xf numFmtId="0" fontId="9" fillId="5" borderId="35" xfId="0" applyFont="1" applyFill="1" applyBorder="1" applyAlignment="1">
      <alignment horizontal="left" vertical="center" wrapText="1"/>
    </xf>
    <xf numFmtId="0" fontId="9" fillId="5" borderId="9" xfId="0" applyFont="1" applyFill="1" applyBorder="1" applyAlignment="1">
      <alignment horizontal="left" vertical="center" wrapText="1"/>
    </xf>
    <xf numFmtId="0" fontId="9" fillId="5" borderId="34" xfId="0" applyFont="1" applyFill="1" applyBorder="1" applyAlignment="1">
      <alignment horizontal="left" vertical="center" wrapText="1"/>
    </xf>
    <xf numFmtId="0" fontId="9" fillId="5" borderId="30" xfId="0" applyFont="1" applyFill="1" applyBorder="1" applyAlignment="1">
      <alignment horizontal="left" vertical="center" wrapText="1"/>
    </xf>
    <xf numFmtId="0" fontId="9" fillId="5" borderId="26" xfId="0" applyFont="1" applyFill="1" applyBorder="1" applyAlignment="1">
      <alignment horizontal="left" vertical="center" wrapText="1"/>
    </xf>
    <xf numFmtId="0" fontId="9" fillId="5" borderId="33" xfId="0" applyFont="1" applyFill="1" applyBorder="1" applyAlignment="1">
      <alignment horizontal="left" vertical="center" wrapText="1"/>
    </xf>
    <xf numFmtId="0" fontId="16" fillId="7" borderId="27" xfId="0" applyFont="1" applyFill="1" applyBorder="1" applyAlignment="1">
      <alignment horizontal="center" vertical="center" wrapText="1"/>
    </xf>
    <xf numFmtId="0" fontId="16" fillId="7" borderId="26" xfId="0" applyFont="1" applyFill="1" applyBorder="1" applyAlignment="1">
      <alignment horizontal="center" vertical="center" wrapText="1"/>
    </xf>
    <xf numFmtId="41" fontId="15" fillId="0" borderId="18" xfId="2" applyNumberFormat="1" applyFont="1" applyFill="1" applyBorder="1" applyAlignment="1">
      <alignment horizontal="right"/>
    </xf>
    <xf numFmtId="0" fontId="17" fillId="9" borderId="18" xfId="0" applyFont="1" applyFill="1" applyBorder="1" applyAlignment="1">
      <alignment horizontal="center" vertical="center"/>
    </xf>
    <xf numFmtId="0" fontId="17" fillId="10" borderId="18" xfId="0" applyFont="1" applyFill="1" applyBorder="1" applyAlignment="1">
      <alignment horizontal="center" vertical="center"/>
    </xf>
    <xf numFmtId="0" fontId="17" fillId="11" borderId="18" xfId="0" applyFont="1" applyFill="1" applyBorder="1" applyAlignment="1">
      <alignment horizontal="center" vertical="center"/>
    </xf>
    <xf numFmtId="0" fontId="17" fillId="12" borderId="31" xfId="0" applyFont="1" applyFill="1" applyBorder="1" applyAlignment="1">
      <alignment horizontal="center" vertical="center" wrapText="1"/>
    </xf>
    <xf numFmtId="0" fontId="17" fillId="12" borderId="35" xfId="0" applyFont="1" applyFill="1" applyBorder="1" applyAlignment="1">
      <alignment horizontal="center" vertical="center" wrapText="1"/>
    </xf>
    <xf numFmtId="0" fontId="17" fillId="27" borderId="32" xfId="0" applyFont="1" applyFill="1" applyBorder="1" applyAlignment="1">
      <alignment horizontal="center" vertical="center"/>
    </xf>
    <xf numFmtId="0" fontId="17" fillId="27" borderId="34" xfId="0" applyFont="1" applyFill="1" applyBorder="1" applyAlignment="1">
      <alignment horizontal="center" vertical="center"/>
    </xf>
    <xf numFmtId="0" fontId="17" fillId="10" borderId="18" xfId="0" applyFont="1" applyFill="1" applyBorder="1" applyAlignment="1">
      <alignment horizontal="center" vertical="center" wrapText="1"/>
    </xf>
    <xf numFmtId="0" fontId="17" fillId="27" borderId="18" xfId="0" applyFont="1" applyFill="1" applyBorder="1" applyAlignment="1">
      <alignment horizontal="center" vertical="center"/>
    </xf>
    <xf numFmtId="0" fontId="17" fillId="12" borderId="18" xfId="0" applyFont="1" applyFill="1" applyBorder="1" applyAlignment="1">
      <alignment horizontal="center" vertical="center" wrapText="1"/>
    </xf>
    <xf numFmtId="8" fontId="9" fillId="5" borderId="0" xfId="0" applyNumberFormat="1" applyFont="1" applyFill="1" applyAlignment="1">
      <alignment horizontal="center" vertical="center"/>
    </xf>
    <xf numFmtId="6" fontId="11" fillId="35" borderId="0" xfId="0" applyNumberFormat="1" applyFont="1" applyFill="1" applyAlignment="1">
      <alignment horizontal="center" vertical="center"/>
    </xf>
    <xf numFmtId="0" fontId="25" fillId="6" borderId="9" xfId="0" applyFont="1" applyFill="1" applyBorder="1" applyAlignment="1">
      <alignment horizontal="center" vertical="center"/>
    </xf>
    <xf numFmtId="0" fontId="25" fillId="6" borderId="26" xfId="0" applyFont="1" applyFill="1" applyBorder="1" applyAlignment="1">
      <alignment horizontal="center" vertical="center"/>
    </xf>
    <xf numFmtId="165" fontId="10" fillId="13" borderId="18" xfId="0" applyNumberFormat="1" applyFont="1" applyFill="1" applyBorder="1" applyAlignment="1">
      <alignment horizontal="center" vertical="center"/>
    </xf>
    <xf numFmtId="0" fontId="10" fillId="13" borderId="18" xfId="0" applyFont="1" applyFill="1" applyBorder="1" applyAlignment="1">
      <alignment horizontal="center" vertical="center"/>
    </xf>
    <xf numFmtId="0" fontId="10" fillId="0" borderId="18" xfId="0" applyFont="1" applyBorder="1" applyAlignment="1">
      <alignment horizontal="center" vertical="center" wrapText="1"/>
    </xf>
    <xf numFmtId="0" fontId="20" fillId="6" borderId="31" xfId="0" applyFont="1" applyFill="1" applyBorder="1" applyAlignment="1">
      <alignment horizontal="center" vertical="center"/>
    </xf>
    <xf numFmtId="0" fontId="20" fillId="6" borderId="32" xfId="0" applyFont="1" applyFill="1" applyBorder="1" applyAlignment="1">
      <alignment horizontal="center" vertical="center"/>
    </xf>
    <xf numFmtId="0" fontId="20" fillId="6" borderId="33" xfId="0" applyFont="1" applyFill="1" applyBorder="1" applyAlignment="1">
      <alignment horizontal="center" vertical="center"/>
    </xf>
    <xf numFmtId="165" fontId="10" fillId="13" borderId="28" xfId="0" applyNumberFormat="1" applyFont="1" applyFill="1" applyBorder="1" applyAlignment="1">
      <alignment horizontal="center" vertical="center"/>
    </xf>
    <xf numFmtId="165" fontId="10" fillId="13" borderId="29" xfId="0" applyNumberFormat="1" applyFont="1" applyFill="1" applyBorder="1" applyAlignment="1">
      <alignment horizontal="center" vertical="center"/>
    </xf>
    <xf numFmtId="0" fontId="20" fillId="6" borderId="0" xfId="0" applyFont="1" applyFill="1" applyAlignment="1">
      <alignment horizontal="center" vertical="center" wrapText="1"/>
    </xf>
    <xf numFmtId="9" fontId="10" fillId="0" borderId="18" xfId="0" applyNumberFormat="1" applyFont="1" applyBorder="1" applyAlignment="1">
      <alignment horizontal="center" vertical="center"/>
    </xf>
    <xf numFmtId="0" fontId="10" fillId="0" borderId="18" xfId="0" applyFont="1" applyBorder="1" applyAlignment="1">
      <alignment horizontal="center" vertical="center"/>
    </xf>
    <xf numFmtId="9" fontId="10" fillId="0" borderId="9" xfId="0" applyNumberFormat="1" applyFont="1" applyBorder="1" applyAlignment="1">
      <alignment horizontal="center" vertical="center"/>
    </xf>
    <xf numFmtId="0" fontId="10" fillId="0" borderId="9" xfId="0" applyFont="1" applyBorder="1" applyAlignment="1">
      <alignment horizontal="center" vertical="center"/>
    </xf>
    <xf numFmtId="0" fontId="10" fillId="0" borderId="31" xfId="0" applyFont="1" applyBorder="1" applyAlignment="1">
      <alignment horizontal="center" vertical="center" wrapText="1"/>
    </xf>
    <xf numFmtId="0" fontId="10" fillId="0" borderId="27"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5"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34"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26" xfId="0" applyFont="1" applyBorder="1" applyAlignment="1">
      <alignment horizontal="center" vertical="center" wrapText="1"/>
    </xf>
    <xf numFmtId="0" fontId="10" fillId="0" borderId="33" xfId="0" applyFont="1" applyBorder="1" applyAlignment="1">
      <alignment horizontal="center" vertical="center" wrapText="1"/>
    </xf>
    <xf numFmtId="0" fontId="20" fillId="6" borderId="34" xfId="0" applyFont="1" applyFill="1" applyBorder="1" applyAlignment="1">
      <alignment horizontal="center" vertical="center" wrapText="1"/>
    </xf>
    <xf numFmtId="9" fontId="10" fillId="0" borderId="28" xfId="0" applyNumberFormat="1" applyFont="1" applyBorder="1" applyAlignment="1">
      <alignment horizontal="center" vertical="center"/>
    </xf>
    <xf numFmtId="9" fontId="10" fillId="0" borderId="29" xfId="0" applyNumberFormat="1" applyFont="1" applyBorder="1" applyAlignment="1">
      <alignment horizontal="center" vertical="center"/>
    </xf>
    <xf numFmtId="167" fontId="23" fillId="13" borderId="0" xfId="0" applyNumberFormat="1" applyFont="1" applyFill="1" applyAlignment="1">
      <alignment horizontal="center" vertical="center"/>
    </xf>
    <xf numFmtId="0" fontId="23" fillId="13" borderId="0" xfId="0" applyFont="1" applyFill="1" applyAlignment="1">
      <alignment horizontal="center" vertical="center"/>
    </xf>
    <xf numFmtId="167" fontId="9" fillId="13" borderId="18" xfId="0" applyNumberFormat="1" applyFont="1" applyFill="1" applyBorder="1" applyAlignment="1">
      <alignment horizontal="center" vertical="center"/>
    </xf>
    <xf numFmtId="0" fontId="9" fillId="13" borderId="18" xfId="0" applyFont="1" applyFill="1" applyBorder="1" applyAlignment="1">
      <alignment horizontal="center" vertical="center"/>
    </xf>
    <xf numFmtId="0" fontId="9" fillId="5" borderId="31"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35"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9" fillId="5" borderId="34" xfId="0" applyFont="1" applyFill="1" applyBorder="1" applyAlignment="1">
      <alignment horizontal="center" vertical="center" wrapText="1"/>
    </xf>
    <xf numFmtId="0" fontId="9" fillId="5" borderId="30" xfId="0" applyFont="1" applyFill="1" applyBorder="1" applyAlignment="1">
      <alignment horizontal="center" vertical="center" wrapText="1"/>
    </xf>
    <xf numFmtId="0" fontId="9" fillId="5" borderId="26" xfId="0" applyFont="1" applyFill="1" applyBorder="1" applyAlignment="1">
      <alignment horizontal="center" vertical="center" wrapText="1"/>
    </xf>
    <xf numFmtId="0" fontId="9" fillId="5" borderId="33" xfId="0" applyFont="1" applyFill="1" applyBorder="1" applyAlignment="1">
      <alignment horizontal="center" vertical="center" wrapText="1"/>
    </xf>
    <xf numFmtId="9" fontId="9" fillId="13" borderId="18" xfId="0" applyNumberFormat="1" applyFont="1" applyFill="1" applyBorder="1" applyAlignment="1">
      <alignment horizontal="center" vertical="center"/>
    </xf>
    <xf numFmtId="0" fontId="20" fillId="6" borderId="27" xfId="0" applyFont="1" applyFill="1" applyBorder="1" applyAlignment="1">
      <alignment horizontal="center" vertical="center"/>
    </xf>
    <xf numFmtId="0" fontId="20" fillId="6" borderId="35" xfId="0" applyFont="1" applyFill="1" applyBorder="1" applyAlignment="1">
      <alignment horizontal="center" vertical="center"/>
    </xf>
    <xf numFmtId="0" fontId="20" fillId="6" borderId="9" xfId="0" applyFont="1" applyFill="1" applyBorder="1" applyAlignment="1">
      <alignment horizontal="center" vertical="center"/>
    </xf>
    <xf numFmtId="0" fontId="20" fillId="6" borderId="34" xfId="0" applyFont="1" applyFill="1" applyBorder="1" applyAlignment="1">
      <alignment horizontal="center" vertical="center"/>
    </xf>
    <xf numFmtId="168" fontId="9" fillId="13" borderId="0" xfId="0" applyNumberFormat="1" applyFont="1" applyFill="1" applyAlignment="1">
      <alignment horizontal="center" vertical="center"/>
    </xf>
    <xf numFmtId="0" fontId="9" fillId="13" borderId="0" xfId="0" applyFont="1" applyFill="1" applyAlignment="1">
      <alignment horizontal="center" vertical="center"/>
    </xf>
    <xf numFmtId="0" fontId="25" fillId="6" borderId="0" xfId="0" applyFont="1" applyFill="1" applyAlignment="1">
      <alignment horizontal="center" vertical="center" wrapText="1"/>
    </xf>
    <xf numFmtId="0" fontId="27" fillId="6" borderId="18" xfId="0" applyFont="1" applyFill="1" applyBorder="1" applyAlignment="1">
      <alignment vertical="center" wrapText="1"/>
    </xf>
    <xf numFmtId="0" fontId="9" fillId="0" borderId="0" xfId="0" applyFont="1" applyAlignment="1">
      <alignment vertical="center" wrapText="1"/>
    </xf>
    <xf numFmtId="0" fontId="8" fillId="4" borderId="0" xfId="0" applyFont="1" applyFill="1" applyAlignment="1">
      <alignment vertical="center" wrapText="1"/>
    </xf>
    <xf numFmtId="0" fontId="26" fillId="6" borderId="18" xfId="0" applyFont="1" applyFill="1" applyBorder="1" applyAlignment="1">
      <alignment horizontal="left" vertical="center" wrapText="1"/>
    </xf>
    <xf numFmtId="0" fontId="7" fillId="0" borderId="36" xfId="0" applyFont="1" applyBorder="1" applyAlignment="1">
      <alignment horizontal="right" vertical="center" wrapText="1"/>
    </xf>
    <xf numFmtId="0" fontId="7" fillId="0" borderId="37" xfId="0" applyFont="1" applyBorder="1" applyAlignment="1">
      <alignment horizontal="right" vertical="center" wrapText="1"/>
    </xf>
    <xf numFmtId="0" fontId="7" fillId="0" borderId="36" xfId="0" applyFont="1" applyBorder="1" applyAlignment="1">
      <alignment horizontal="right"/>
    </xf>
    <xf numFmtId="0" fontId="7" fillId="0" borderId="37" xfId="0" applyFont="1" applyBorder="1" applyAlignment="1">
      <alignment horizontal="right"/>
    </xf>
    <xf numFmtId="0" fontId="29" fillId="6" borderId="0" xfId="0" applyFont="1" applyFill="1" applyAlignment="1">
      <alignment vertical="center" wrapText="1"/>
    </xf>
    <xf numFmtId="0" fontId="11" fillId="5" borderId="74" xfId="0" applyFont="1" applyFill="1" applyBorder="1" applyAlignment="1">
      <alignment horizontal="center" vertical="center" wrapText="1"/>
    </xf>
    <xf numFmtId="0" fontId="11" fillId="5" borderId="9" xfId="0" applyFont="1" applyFill="1" applyBorder="1" applyAlignment="1">
      <alignment horizontal="center" vertical="center" wrapText="1"/>
    </xf>
    <xf numFmtId="0" fontId="11" fillId="5" borderId="34" xfId="0" applyFont="1" applyFill="1" applyBorder="1" applyAlignment="1">
      <alignment horizontal="center" vertical="center" wrapText="1"/>
    </xf>
    <xf numFmtId="0" fontId="8" fillId="13" borderId="14" xfId="0" applyFont="1" applyFill="1" applyBorder="1" applyAlignment="1">
      <alignment wrapText="1"/>
    </xf>
    <xf numFmtId="0" fontId="8" fillId="13" borderId="16" xfId="0" applyFont="1" applyFill="1" applyBorder="1" applyAlignment="1">
      <alignment wrapText="1"/>
    </xf>
    <xf numFmtId="0" fontId="27" fillId="6" borderId="14" xfId="0" applyFont="1" applyFill="1" applyBorder="1" applyAlignment="1">
      <alignment horizontal="right" wrapText="1"/>
    </xf>
    <xf numFmtId="0" fontId="27" fillId="6" borderId="16" xfId="0" applyFont="1" applyFill="1" applyBorder="1" applyAlignment="1">
      <alignment horizontal="right" wrapText="1"/>
    </xf>
    <xf numFmtId="0" fontId="27" fillId="6" borderId="14" xfId="0" applyFont="1" applyFill="1" applyBorder="1" applyAlignment="1">
      <alignment wrapText="1"/>
    </xf>
    <xf numFmtId="0" fontId="27" fillId="6" borderId="15" xfId="0" applyFont="1" applyFill="1" applyBorder="1" applyAlignment="1">
      <alignment wrapText="1"/>
    </xf>
    <xf numFmtId="0" fontId="27" fillId="6" borderId="16" xfId="0" applyFont="1" applyFill="1" applyBorder="1" applyAlignment="1">
      <alignment wrapText="1"/>
    </xf>
    <xf numFmtId="0" fontId="8" fillId="0" borderId="14" xfId="0" applyFont="1" applyBorder="1" applyAlignment="1">
      <alignment wrapText="1"/>
    </xf>
    <xf numFmtId="0" fontId="8" fillId="0" borderId="16" xfId="0" applyFont="1" applyBorder="1" applyAlignment="1">
      <alignment wrapText="1"/>
    </xf>
    <xf numFmtId="0" fontId="26" fillId="6" borderId="14" xfId="0" applyFont="1" applyFill="1" applyBorder="1" applyAlignment="1">
      <alignment wrapText="1"/>
    </xf>
    <xf numFmtId="0" fontId="26" fillId="6" borderId="15" xfId="0" applyFont="1" applyFill="1" applyBorder="1" applyAlignment="1">
      <alignment wrapText="1"/>
    </xf>
    <xf numFmtId="0" fontId="26" fillId="6" borderId="16" xfId="0" applyFont="1" applyFill="1" applyBorder="1" applyAlignment="1">
      <alignment wrapText="1"/>
    </xf>
    <xf numFmtId="0" fontId="6" fillId="6" borderId="14" xfId="0" applyFont="1" applyFill="1" applyBorder="1" applyAlignment="1">
      <alignment wrapText="1"/>
    </xf>
    <xf numFmtId="0" fontId="6" fillId="6" borderId="15" xfId="0" applyFont="1" applyFill="1" applyBorder="1" applyAlignment="1">
      <alignment wrapText="1"/>
    </xf>
    <xf numFmtId="0" fontId="6" fillId="6" borderId="16" xfId="0" applyFont="1" applyFill="1" applyBorder="1" applyAlignment="1">
      <alignment wrapText="1"/>
    </xf>
    <xf numFmtId="0" fontId="27" fillId="6" borderId="18" xfId="0" applyFont="1" applyFill="1" applyBorder="1" applyAlignment="1">
      <alignment horizontal="left" vertical="center"/>
    </xf>
    <xf numFmtId="0" fontId="5" fillId="0" borderId="0" xfId="1" applyAlignment="1">
      <alignment horizontal="center" vertical="center" wrapText="1"/>
    </xf>
    <xf numFmtId="0" fontId="9" fillId="0" borderId="0" xfId="0" applyFont="1" applyAlignment="1">
      <alignment horizontal="center" vertical="center" wrapText="1"/>
    </xf>
    <xf numFmtId="0" fontId="11" fillId="48" borderId="9" xfId="0" applyFont="1" applyFill="1" applyBorder="1" applyAlignment="1">
      <alignment horizontal="center" vertical="center"/>
    </xf>
    <xf numFmtId="0" fontId="11" fillId="47" borderId="9" xfId="0" applyFont="1" applyFill="1" applyBorder="1" applyAlignment="1">
      <alignment horizontal="center" vertical="center"/>
    </xf>
    <xf numFmtId="0" fontId="11" fillId="46" borderId="9" xfId="0" applyFont="1" applyFill="1" applyBorder="1" applyAlignment="1">
      <alignment horizontal="center" vertical="center"/>
    </xf>
    <xf numFmtId="0" fontId="16" fillId="6" borderId="0" xfId="0" applyFont="1" applyFill="1" applyAlignment="1">
      <alignment horizontal="center" vertical="center"/>
    </xf>
    <xf numFmtId="0" fontId="33" fillId="38" borderId="18" xfId="0" applyFont="1" applyFill="1" applyBorder="1" applyAlignment="1">
      <alignment horizontal="left" vertical="center"/>
    </xf>
    <xf numFmtId="0" fontId="34" fillId="37" borderId="18" xfId="0" applyFont="1" applyFill="1" applyBorder="1" applyAlignment="1">
      <alignment horizontal="center" vertical="center"/>
    </xf>
    <xf numFmtId="0" fontId="34" fillId="38" borderId="18" xfId="0" applyFont="1" applyFill="1" applyBorder="1" applyAlignment="1">
      <alignment horizontal="center"/>
    </xf>
    <xf numFmtId="0" fontId="34" fillId="39" borderId="18" xfId="0" applyFont="1" applyFill="1" applyBorder="1" applyAlignment="1">
      <alignment horizontal="center" vertical="center"/>
    </xf>
    <xf numFmtId="0" fontId="32" fillId="0" borderId="0" xfId="0" applyFont="1" applyAlignment="1">
      <alignment horizontal="center" vertical="center"/>
    </xf>
    <xf numFmtId="0" fontId="32" fillId="38" borderId="18" xfId="0" applyFont="1" applyFill="1" applyBorder="1" applyAlignment="1">
      <alignment horizontal="right" vertical="center"/>
    </xf>
    <xf numFmtId="0" fontId="33" fillId="37" borderId="18" xfId="0" applyFont="1" applyFill="1" applyBorder="1" applyAlignment="1">
      <alignment horizontal="left" vertical="center"/>
    </xf>
    <xf numFmtId="0" fontId="32" fillId="37" borderId="18" xfId="0" applyFont="1" applyFill="1" applyBorder="1" applyAlignment="1">
      <alignment horizontal="right" vertical="center"/>
    </xf>
    <xf numFmtId="0" fontId="33" fillId="39" borderId="18" xfId="0" applyFont="1" applyFill="1" applyBorder="1" applyAlignment="1">
      <alignment horizontal="left" vertical="center"/>
    </xf>
    <xf numFmtId="0" fontId="32" fillId="39" borderId="18" xfId="0" applyFont="1" applyFill="1" applyBorder="1" applyAlignment="1">
      <alignment horizontal="right" vertical="center"/>
    </xf>
    <xf numFmtId="0" fontId="16" fillId="6" borderId="9" xfId="0" applyFont="1" applyFill="1" applyBorder="1" applyAlignment="1">
      <alignment horizontal="center"/>
    </xf>
    <xf numFmtId="0" fontId="34" fillId="40" borderId="18" xfId="0" applyFont="1" applyFill="1" applyBorder="1" applyAlignment="1">
      <alignment horizontal="center" vertical="center"/>
    </xf>
    <xf numFmtId="0" fontId="33" fillId="40" borderId="18" xfId="0" applyFont="1" applyFill="1" applyBorder="1" applyAlignment="1">
      <alignment horizontal="left" vertical="center"/>
    </xf>
    <xf numFmtId="0" fontId="32" fillId="40" borderId="18" xfId="0" applyFont="1" applyFill="1" applyBorder="1" applyAlignment="1">
      <alignment horizontal="right" vertical="center"/>
    </xf>
    <xf numFmtId="0" fontId="35" fillId="6" borderId="39" xfId="0" applyFont="1" applyFill="1" applyBorder="1" applyAlignment="1">
      <alignment horizontal="center" vertical="center" wrapText="1"/>
    </xf>
    <xf numFmtId="0" fontId="35" fillId="6" borderId="40" xfId="0" applyFont="1" applyFill="1" applyBorder="1" applyAlignment="1">
      <alignment horizontal="center" vertical="center" wrapText="1"/>
    </xf>
    <xf numFmtId="0" fontId="35" fillId="6" borderId="41" xfId="0" applyFont="1" applyFill="1" applyBorder="1" applyAlignment="1">
      <alignment horizontal="center" vertical="center" wrapText="1"/>
    </xf>
    <xf numFmtId="0" fontId="35" fillId="6" borderId="52" xfId="0" applyFont="1" applyFill="1" applyBorder="1" applyAlignment="1">
      <alignment horizontal="center" wrapText="1"/>
    </xf>
    <xf numFmtId="0" fontId="35" fillId="6" borderId="53" xfId="0" applyFont="1" applyFill="1" applyBorder="1" applyAlignment="1">
      <alignment horizontal="center" wrapText="1"/>
    </xf>
    <xf numFmtId="0" fontId="35" fillId="6" borderId="54" xfId="0" applyFont="1" applyFill="1" applyBorder="1" applyAlignment="1">
      <alignment horizontal="center" wrapText="1"/>
    </xf>
    <xf numFmtId="0" fontId="11" fillId="5" borderId="0" xfId="0" applyFont="1" applyFill="1" applyAlignment="1">
      <alignment horizontal="center"/>
    </xf>
    <xf numFmtId="0" fontId="26" fillId="6" borderId="60" xfId="0" applyFont="1" applyFill="1" applyBorder="1" applyAlignment="1">
      <alignment vertical="center" wrapText="1"/>
    </xf>
    <xf numFmtId="0" fontId="26" fillId="6" borderId="9" xfId="0" applyFont="1" applyFill="1" applyBorder="1" applyAlignment="1">
      <alignment vertical="center" wrapText="1"/>
    </xf>
    <xf numFmtId="0" fontId="38" fillId="45" borderId="18" xfId="0" applyFont="1" applyFill="1" applyBorder="1" applyAlignment="1">
      <alignment horizontal="center" vertical="center" wrapText="1"/>
    </xf>
    <xf numFmtId="0" fontId="26" fillId="6" borderId="57" xfId="0" applyFont="1" applyFill="1" applyBorder="1" applyAlignment="1">
      <alignment horizontal="center" vertical="center" wrapText="1"/>
    </xf>
    <xf numFmtId="0" fontId="26" fillId="6" borderId="58" xfId="0" applyFont="1" applyFill="1" applyBorder="1" applyAlignment="1">
      <alignment horizontal="center" vertical="center" wrapText="1"/>
    </xf>
    <xf numFmtId="0" fontId="37" fillId="0" borderId="18" xfId="0" applyFont="1" applyBorder="1" applyAlignment="1">
      <alignment horizontal="center" vertical="center" wrapText="1"/>
    </xf>
    <xf numFmtId="0" fontId="6" fillId="6" borderId="72"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16" fillId="6" borderId="61" xfId="0" applyFont="1" applyFill="1" applyBorder="1" applyAlignment="1">
      <alignment horizontal="center" vertical="center" wrapText="1"/>
    </xf>
    <xf numFmtId="0" fontId="16" fillId="6" borderId="70" xfId="0" applyFont="1" applyFill="1" applyBorder="1" applyAlignment="1">
      <alignment horizontal="center" vertical="center" wrapText="1"/>
    </xf>
    <xf numFmtId="0" fontId="16" fillId="6" borderId="71" xfId="0" applyFont="1" applyFill="1" applyBorder="1" applyAlignment="1">
      <alignment horizontal="center" vertical="center" wrapText="1"/>
    </xf>
    <xf numFmtId="0" fontId="16" fillId="6" borderId="63" xfId="0" applyFont="1" applyFill="1" applyBorder="1" applyAlignment="1">
      <alignment horizontal="center" vertical="center" wrapText="1"/>
    </xf>
    <xf numFmtId="0" fontId="16" fillId="6" borderId="64" xfId="0" applyFont="1" applyFill="1" applyBorder="1" applyAlignment="1">
      <alignment horizontal="center" vertical="center" wrapText="1"/>
    </xf>
    <xf numFmtId="0" fontId="40" fillId="34" borderId="18" xfId="0" applyFont="1" applyFill="1" applyBorder="1" applyAlignment="1">
      <alignment horizontal="center" vertical="center" wrapText="1"/>
    </xf>
    <xf numFmtId="0" fontId="22" fillId="0" borderId="69" xfId="1" applyFont="1" applyBorder="1" applyAlignment="1">
      <alignment horizontal="center" vertical="center" wrapText="1"/>
    </xf>
    <xf numFmtId="0" fontId="22" fillId="0" borderId="9" xfId="1" applyFont="1" applyBorder="1" applyAlignment="1">
      <alignment horizontal="center" vertical="center" wrapText="1"/>
    </xf>
    <xf numFmtId="167" fontId="34" fillId="13" borderId="18" xfId="0" applyNumberFormat="1" applyFont="1" applyFill="1" applyBorder="1" applyAlignment="1">
      <alignment horizontal="center" vertical="center" wrapText="1"/>
    </xf>
    <xf numFmtId="0" fontId="16" fillId="42" borderId="59" xfId="0" applyFont="1" applyFill="1" applyBorder="1" applyAlignment="1">
      <alignment horizontal="center" vertical="center"/>
    </xf>
    <xf numFmtId="0" fontId="16" fillId="42" borderId="58" xfId="0" applyFont="1" applyFill="1" applyBorder="1" applyAlignment="1">
      <alignment horizontal="center" vertical="center"/>
    </xf>
    <xf numFmtId="0" fontId="16" fillId="42" borderId="66" xfId="0" applyFont="1" applyFill="1" applyBorder="1" applyAlignment="1">
      <alignment horizontal="center" vertical="center"/>
    </xf>
    <xf numFmtId="0" fontId="16" fillId="44" borderId="59" xfId="0" applyFont="1" applyFill="1" applyBorder="1" applyAlignment="1">
      <alignment horizontal="center" vertical="center"/>
    </xf>
    <xf numFmtId="0" fontId="16" fillId="44" borderId="9" xfId="0" applyFont="1" applyFill="1" applyBorder="1" applyAlignment="1">
      <alignment horizontal="center" vertical="center"/>
    </xf>
    <xf numFmtId="0" fontId="16" fillId="44" borderId="67" xfId="0" applyFont="1" applyFill="1" applyBorder="1" applyAlignment="1">
      <alignment horizontal="center" vertical="center"/>
    </xf>
    <xf numFmtId="0" fontId="16" fillId="43" borderId="59" xfId="0" applyFont="1" applyFill="1" applyBorder="1" applyAlignment="1">
      <alignment horizontal="center" vertical="center"/>
    </xf>
    <xf numFmtId="0" fontId="16" fillId="43" borderId="9" xfId="0" applyFont="1" applyFill="1" applyBorder="1" applyAlignment="1">
      <alignment horizontal="center" vertical="center"/>
    </xf>
    <xf numFmtId="0" fontId="16" fillId="43" borderId="67" xfId="0" applyFont="1" applyFill="1" applyBorder="1" applyAlignment="1">
      <alignment horizontal="center" vertical="center"/>
    </xf>
  </cellXfs>
  <cellStyles count="4">
    <cellStyle name="Currency" xfId="2" builtinId="4"/>
    <cellStyle name="Hyperlink" xfId="1"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99059</xdr:rowOff>
    </xdr:from>
    <xdr:to>
      <xdr:col>3</xdr:col>
      <xdr:colOff>771846</xdr:colOff>
      <xdr:row>27</xdr:row>
      <xdr:rowOff>144780</xdr:rowOff>
    </xdr:to>
    <xdr:pic>
      <xdr:nvPicPr>
        <xdr:cNvPr id="2" name="Picture 1">
          <a:extLst>
            <a:ext uri="{FF2B5EF4-FFF2-40B4-BE49-F238E27FC236}">
              <a16:creationId xmlns:a16="http://schemas.microsoft.com/office/drawing/2014/main" id="{6CC45676-387B-21E0-6C82-03DD1000A243}"/>
            </a:ext>
          </a:extLst>
        </xdr:cNvPr>
        <xdr:cNvPicPr>
          <a:picLocks noChangeAspect="1"/>
        </xdr:cNvPicPr>
      </xdr:nvPicPr>
      <xdr:blipFill>
        <a:blip xmlns:r="http://schemas.openxmlformats.org/officeDocument/2006/relationships" r:embed="rId1"/>
        <a:stretch>
          <a:fillRect/>
        </a:stretch>
      </xdr:blipFill>
      <xdr:spPr>
        <a:xfrm>
          <a:off x="0" y="1440179"/>
          <a:ext cx="4871406" cy="3230881"/>
        </a:xfrm>
        <a:prstGeom prst="rect">
          <a:avLst/>
        </a:prstGeom>
      </xdr:spPr>
    </xdr:pic>
    <xdr:clientData/>
  </xdr:twoCellAnchor>
  <xdr:twoCellAnchor editAs="oneCell">
    <xdr:from>
      <xdr:col>6</xdr:col>
      <xdr:colOff>1005841</xdr:colOff>
      <xdr:row>20</xdr:row>
      <xdr:rowOff>76200</xdr:rowOff>
    </xdr:from>
    <xdr:to>
      <xdr:col>12</xdr:col>
      <xdr:colOff>358141</xdr:colOff>
      <xdr:row>28</xdr:row>
      <xdr:rowOff>7942</xdr:rowOff>
    </xdr:to>
    <xdr:pic>
      <xdr:nvPicPr>
        <xdr:cNvPr id="3" name="Picture 2">
          <a:extLst>
            <a:ext uri="{FF2B5EF4-FFF2-40B4-BE49-F238E27FC236}">
              <a16:creationId xmlns:a16="http://schemas.microsoft.com/office/drawing/2014/main" id="{2EF77291-044F-3F0B-B90B-9973D8F61AD7}"/>
            </a:ext>
          </a:extLst>
        </xdr:cNvPr>
        <xdr:cNvPicPr>
          <a:picLocks noChangeAspect="1"/>
        </xdr:cNvPicPr>
      </xdr:nvPicPr>
      <xdr:blipFill>
        <a:blip xmlns:r="http://schemas.openxmlformats.org/officeDocument/2006/relationships" r:embed="rId2"/>
        <a:stretch>
          <a:fillRect/>
        </a:stretch>
      </xdr:blipFill>
      <xdr:spPr>
        <a:xfrm>
          <a:off x="9144001" y="3429000"/>
          <a:ext cx="4518660" cy="12728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1</xdr:rowOff>
    </xdr:from>
    <xdr:to>
      <xdr:col>3</xdr:col>
      <xdr:colOff>240509</xdr:colOff>
      <xdr:row>17</xdr:row>
      <xdr:rowOff>22861</xdr:rowOff>
    </xdr:to>
    <xdr:pic>
      <xdr:nvPicPr>
        <xdr:cNvPr id="2" name="Picture 1">
          <a:extLst>
            <a:ext uri="{FF2B5EF4-FFF2-40B4-BE49-F238E27FC236}">
              <a16:creationId xmlns:a16="http://schemas.microsoft.com/office/drawing/2014/main" id="{CD31148F-584C-6421-2C4F-AA5497A63810}"/>
            </a:ext>
          </a:extLst>
        </xdr:cNvPr>
        <xdr:cNvPicPr>
          <a:picLocks noChangeAspect="1"/>
        </xdr:cNvPicPr>
      </xdr:nvPicPr>
      <xdr:blipFill>
        <a:blip xmlns:r="http://schemas.openxmlformats.org/officeDocument/2006/relationships" r:embed="rId1"/>
        <a:stretch>
          <a:fillRect/>
        </a:stretch>
      </xdr:blipFill>
      <xdr:spPr>
        <a:xfrm>
          <a:off x="0" y="1173481"/>
          <a:ext cx="3936209" cy="16992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441960</xdr:colOff>
      <xdr:row>13</xdr:row>
      <xdr:rowOff>121920</xdr:rowOff>
    </xdr:from>
    <xdr:to>
      <xdr:col>16</xdr:col>
      <xdr:colOff>83820</xdr:colOff>
      <xdr:row>17</xdr:row>
      <xdr:rowOff>22293</xdr:rowOff>
    </xdr:to>
    <xdr:pic>
      <xdr:nvPicPr>
        <xdr:cNvPr id="2" name="Picture 1" descr="Mở ảnh">
          <a:extLst>
            <a:ext uri="{FF2B5EF4-FFF2-40B4-BE49-F238E27FC236}">
              <a16:creationId xmlns:a16="http://schemas.microsoft.com/office/drawing/2014/main" id="{E0066B57-5620-375B-E15B-AEBD7BD468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4160" y="2301240"/>
          <a:ext cx="3299460" cy="570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449580</xdr:colOff>
      <xdr:row>17</xdr:row>
      <xdr:rowOff>30481</xdr:rowOff>
    </xdr:from>
    <xdr:to>
      <xdr:col>16</xdr:col>
      <xdr:colOff>289560</xdr:colOff>
      <xdr:row>20</xdr:row>
      <xdr:rowOff>95150</xdr:rowOff>
    </xdr:to>
    <xdr:pic>
      <xdr:nvPicPr>
        <xdr:cNvPr id="3" name="Picture 2">
          <a:extLst>
            <a:ext uri="{FF2B5EF4-FFF2-40B4-BE49-F238E27FC236}">
              <a16:creationId xmlns:a16="http://schemas.microsoft.com/office/drawing/2014/main" id="{D636A66B-84D4-C2C2-DF2E-0ECCADAA9490}"/>
            </a:ext>
          </a:extLst>
        </xdr:cNvPr>
        <xdr:cNvPicPr>
          <a:picLocks noChangeAspect="1"/>
        </xdr:cNvPicPr>
      </xdr:nvPicPr>
      <xdr:blipFill>
        <a:blip xmlns:r="http://schemas.openxmlformats.org/officeDocument/2006/relationships" r:embed="rId2"/>
        <a:stretch>
          <a:fillRect/>
        </a:stretch>
      </xdr:blipFill>
      <xdr:spPr>
        <a:xfrm>
          <a:off x="10431780" y="2880361"/>
          <a:ext cx="3497580" cy="5675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4</xdr:row>
      <xdr:rowOff>1</xdr:rowOff>
    </xdr:from>
    <xdr:to>
      <xdr:col>18</xdr:col>
      <xdr:colOff>165989</xdr:colOff>
      <xdr:row>21</xdr:row>
      <xdr:rowOff>38101</xdr:rowOff>
    </xdr:to>
    <xdr:pic>
      <xdr:nvPicPr>
        <xdr:cNvPr id="2" name="Picture 1">
          <a:extLst>
            <a:ext uri="{FF2B5EF4-FFF2-40B4-BE49-F238E27FC236}">
              <a16:creationId xmlns:a16="http://schemas.microsoft.com/office/drawing/2014/main" id="{FDA3441F-317D-E58E-7EF4-F1DBA4DCE497}"/>
            </a:ext>
          </a:extLst>
        </xdr:cNvPr>
        <xdr:cNvPicPr>
          <a:picLocks noChangeAspect="1"/>
        </xdr:cNvPicPr>
      </xdr:nvPicPr>
      <xdr:blipFill>
        <a:blip xmlns:r="http://schemas.openxmlformats.org/officeDocument/2006/relationships" r:embed="rId1"/>
        <a:stretch>
          <a:fillRect/>
        </a:stretch>
      </xdr:blipFill>
      <xdr:spPr>
        <a:xfrm>
          <a:off x="6736080" y="670561"/>
          <a:ext cx="6521069" cy="28879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2</xdr:row>
      <xdr:rowOff>60961</xdr:rowOff>
    </xdr:from>
    <xdr:to>
      <xdr:col>6</xdr:col>
      <xdr:colOff>757331</xdr:colOff>
      <xdr:row>24</xdr:row>
      <xdr:rowOff>129541</xdr:rowOff>
    </xdr:to>
    <xdr:pic>
      <xdr:nvPicPr>
        <xdr:cNvPr id="2" name="Picture 1">
          <a:extLst>
            <a:ext uri="{FF2B5EF4-FFF2-40B4-BE49-F238E27FC236}">
              <a16:creationId xmlns:a16="http://schemas.microsoft.com/office/drawing/2014/main" id="{AB9C8EB5-542C-E05E-61FE-8C9848672CFE}"/>
            </a:ext>
          </a:extLst>
        </xdr:cNvPr>
        <xdr:cNvPicPr>
          <a:picLocks noChangeAspect="1"/>
        </xdr:cNvPicPr>
      </xdr:nvPicPr>
      <xdr:blipFill>
        <a:blip xmlns:r="http://schemas.openxmlformats.org/officeDocument/2006/relationships" r:embed="rId1"/>
        <a:stretch>
          <a:fillRect/>
        </a:stretch>
      </xdr:blipFill>
      <xdr:spPr>
        <a:xfrm>
          <a:off x="175260" y="1143001"/>
          <a:ext cx="6076091" cy="37566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53341</xdr:colOff>
      <xdr:row>7</xdr:row>
      <xdr:rowOff>160020</xdr:rowOff>
    </xdr:from>
    <xdr:to>
      <xdr:col>16</xdr:col>
      <xdr:colOff>777240</xdr:colOff>
      <xdr:row>12</xdr:row>
      <xdr:rowOff>19502</xdr:rowOff>
    </xdr:to>
    <xdr:pic>
      <xdr:nvPicPr>
        <xdr:cNvPr id="2" name="Picture 1">
          <a:extLst>
            <a:ext uri="{FF2B5EF4-FFF2-40B4-BE49-F238E27FC236}">
              <a16:creationId xmlns:a16="http://schemas.microsoft.com/office/drawing/2014/main" id="{E09E8C85-C27D-66FD-846B-FDD5F52111A9}"/>
            </a:ext>
          </a:extLst>
        </xdr:cNvPr>
        <xdr:cNvPicPr>
          <a:picLocks noChangeAspect="1"/>
        </xdr:cNvPicPr>
      </xdr:nvPicPr>
      <xdr:blipFill>
        <a:blip xmlns:r="http://schemas.openxmlformats.org/officeDocument/2006/relationships" r:embed="rId1"/>
        <a:stretch>
          <a:fillRect/>
        </a:stretch>
      </xdr:blipFill>
      <xdr:spPr>
        <a:xfrm>
          <a:off x="16786861" y="2514600"/>
          <a:ext cx="3238499" cy="243504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hyperlink" Target="https://www.wqu.edu/programs/mscfe/" TargetMode="External"/><Relationship Id="rId1" Type="http://schemas.openxmlformats.org/officeDocument/2006/relationships/hyperlink" Target="https://www.vietnamworks.com/lo-trinh-su-nghiep/chuyen-vien/3"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vietnamworks.com/lo-trinh-su-nghiep/giam-doc/22"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forbes.vn/viet-nam-se-kiem-soat-duoc-lam-phat-muc-tieu-4-nam-2022" TargetMode="External"/><Relationship Id="rId2" Type="http://schemas.openxmlformats.org/officeDocument/2006/relationships/hyperlink" Target="https://www.qdnd.vn/quoc-te/doi-song/adb-du-bao-lam-phat-o-viet-nam-se-cham-lai-o-muc-4-735251" TargetMode="External"/><Relationship Id="rId1" Type="http://schemas.openxmlformats.org/officeDocument/2006/relationships/hyperlink" Target="https://vietnamlawmagazine.vn/vietnam-likely-to-keep-inflation-below-45-percent-in-2023-economists-70113.html" TargetMode="External"/><Relationship Id="rId4" Type="http://schemas.openxmlformats.org/officeDocument/2006/relationships/hyperlink" Target="https://www.gso.gov.vn/wp-content/uploads/2020/05/VHLSS2018.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luatvietnam.vn/tinh-luong-gross-net.html" TargetMode="External"/><Relationship Id="rId1" Type="http://schemas.openxmlformats.org/officeDocument/2006/relationships/hyperlink" Target="https://thuvienphapluat.vn/chinh-sach-phap-luat-moi/vn/thoi-su-phap-luat/tu-van-phap-luat/52534/quy-dinh-ky-hop-dong-lao-dong-co-thoi-han-moi-nhat-2023"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luatvietnam.vn/tinh-luong-gross-net.html" TargetMode="External"/><Relationship Id="rId1" Type="http://schemas.openxmlformats.org/officeDocument/2006/relationships/hyperlink" Target="https://thuvienphapluat.vn/chinh-sach-phap-luat-moi/vn/thoi-su-phap-luat/tu-van-phap-luat/52534/quy-dinh-ky-hop-dong-lao-dong-co-thoi-han-moi-nhat-2023"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toyota.com.vn/tin-tuc/thong-tin-bo-tro/khau-hao-xe-o-to-35631" TargetMode="External"/><Relationship Id="rId1" Type="http://schemas.openxmlformats.org/officeDocument/2006/relationships/hyperlink" Target="https://oto.com.vn/bang-gia-xe-o-to-mazda-3-moi-nhat"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ortal.vietcombank.com.vn/Personal/lai-suat/Pages/lai-suat.aspx?devicechannel=defaul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tdongsan.com.vn/tin-tuc/lai-suat-vay-mua-nha-ngan-hang-nao-thap-nhat-103041"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aidoanket.vn/gia-nha-tang-lien-tuc-nhieu-nam-nguoi-lao-dong-lam-sao-co-nha-10205564.html" TargetMode="External"/><Relationship Id="rId2" Type="http://schemas.openxmlformats.org/officeDocument/2006/relationships/hyperlink" Target="https://rever.vn/mua/can-ho-vinhomes-grand-park-huong-ban-cong-dong-nam-noi-that-co-ban-dien-tich-59-1m2-5" TargetMode="External"/><Relationship Id="rId1" Type="http://schemas.openxmlformats.org/officeDocument/2006/relationships/hyperlink" Target="https://momo.vn/blog/bao-hiem-xe-may-de-lam-gi-nhung-loi-ich-quyen-loi-nguoi-mua-can-biet-c116dt208"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mykatstudio.com/chi-phi-dam-cuoi.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vbpl.vn/FileData/TW/Lists/vbpq/Attachments/25441/VanBanGoc_156-2007-TT-BTC_Phu%20luc.pdf" TargetMode="External"/><Relationship Id="rId2" Type="http://schemas.openxmlformats.org/officeDocument/2006/relationships/hyperlink" Target="https://tradingeconomics.com/vietnam/government-bond-yield" TargetMode="External"/><Relationship Id="rId1" Type="http://schemas.openxmlformats.org/officeDocument/2006/relationships/hyperlink" Target="https://pages.stern.nyu.edu/~adamodar/New_Home_Page/datafile/ctryprem.html"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tradingeconomics.com/vietnam/government-bond-yield" TargetMode="External"/><Relationship Id="rId2" Type="http://schemas.openxmlformats.org/officeDocument/2006/relationships/hyperlink" Target="https://pages.stern.nyu.edu/~adamodar/New_Home_Page/datafile/ctryprem.html" TargetMode="External"/><Relationship Id="rId1" Type="http://schemas.openxmlformats.org/officeDocument/2006/relationships/hyperlink" Target="https://vbpl.vn/FileData/TW/Lists/vbpq/Attachments/25441/VanBanGoc_156-2007-TT-BTC_Phu%20luc.pdf"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thuvienphapluat.vn/phap-luat-doanh-nghiep/bai-viet/co-duoc-chuyen-tu-bhxh-bat-buoc-sang-bhxh-tu-nguyen-khong-1595.html" TargetMode="External"/><Relationship Id="rId7" Type="http://schemas.openxmlformats.org/officeDocument/2006/relationships/drawing" Target="../drawings/drawing3.xml"/><Relationship Id="rId2" Type="http://schemas.openxmlformats.org/officeDocument/2006/relationships/hyperlink" Target="https://vnexpress.net/tien-luong-dong-bhxh-bhyt-bhtn-toi-da-cua-nguoi-lao-dong-tu-1-7-4624584.html" TargetMode="External"/><Relationship Id="rId1" Type="http://schemas.openxmlformats.org/officeDocument/2006/relationships/hyperlink" Target="https://baohiemxahoidientu.vn/bhxh/cach-tinh-luong-huu-va-tro-cap-mot-lan-khi-nghi-huu.html" TargetMode="External"/><Relationship Id="rId6" Type="http://schemas.openxmlformats.org/officeDocument/2006/relationships/hyperlink" Target="https://vneconomy.vn/cach-tinh-luong-huu-khi-dong-ca-bao-hiem-xa-hoi-bat-buoc-va-tu-nguyen.htm?fbclid=IwAR3HFCeMDl-HX8g2zgpCkQ0gvCQ6GqdrmRHBm5G-4zRNo8zMdl8lPFBhDvs" TargetMode="External"/><Relationship Id="rId5" Type="http://schemas.openxmlformats.org/officeDocument/2006/relationships/hyperlink" Target="https://luatminhkhue.vn/cach-tinh-he-so-truot-gia.aspx" TargetMode="External"/><Relationship Id="rId4" Type="http://schemas.openxmlformats.org/officeDocument/2006/relationships/hyperlink" Target="https://luatvietnam.vn/bao-hiem/he-so-truot-gia-bhxh-563-28957-article.html"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ebh.vn/nghiep-vu-tong-hop/muc-huong-luong-huu" TargetMode="External"/><Relationship Id="rId1" Type="http://schemas.openxmlformats.org/officeDocument/2006/relationships/hyperlink" Target="https://www.financialsamurai.com/how-do-i-calculate-the-value-of-my-pension/"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manulife.com.vn/vi/bao-hiem-nhan-tho/bao-hiem-nhan-tho-manulife-moi-nhat/an-tam-vui-song.html"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infonet.vietnamnet.vn/lai-suat-tiet-kiem-cao-nhat-thang-9-nam-2016-ngan-hang-nao-tra-lai-cao-nhat-192786.html" TargetMode="External"/><Relationship Id="rId13" Type="http://schemas.openxmlformats.org/officeDocument/2006/relationships/hyperlink" Target="https://www.vcbf.com/quy-mo/cac-quy-mo/quy-dau-tu-trai-phieu-vcbf/" TargetMode="External"/><Relationship Id="rId3" Type="http://schemas.openxmlformats.org/officeDocument/2006/relationships/hyperlink" Target="https://vietnambiz.vn/lai-suat-ngan-hang-vietcombank-thang-12-2021-moi-nhat-20211203160016981.htm" TargetMode="External"/><Relationship Id="rId7" Type="http://schemas.openxmlformats.org/officeDocument/2006/relationships/hyperlink" Target="https://vietnamfinance.vn/lai-suat-ngan-hang-vietcombank-thang-122017-tang-giam-the-nao-20171201081118137.htm" TargetMode="External"/><Relationship Id="rId12" Type="http://schemas.openxmlformats.org/officeDocument/2006/relationships/hyperlink" Target="https://vn.investing.com/etfs/vfmvn30-historical-data" TargetMode="External"/><Relationship Id="rId2" Type="http://schemas.openxmlformats.org/officeDocument/2006/relationships/hyperlink" Target="https://onehousing.vn/blog/lai-suat-gui-tiet-kiem-ngan-hang-vietcombank-moi-nhat-lien-tuc-cap-nhat" TargetMode="External"/><Relationship Id="rId1" Type="http://schemas.openxmlformats.org/officeDocument/2006/relationships/hyperlink" Target="https://vietnambiz.vn/cap-nhat-lai-suat-ngan-hang-vietcombank-thang-122023-moi-nhat-2023124103330568.htm" TargetMode="External"/><Relationship Id="rId6" Type="http://schemas.openxmlformats.org/officeDocument/2006/relationships/hyperlink" Target="https://vietnambiz.vn/lai-suat-ngan-hang-vietcombank-moi-nhat-thang-102018-92160.htm" TargetMode="External"/><Relationship Id="rId11" Type="http://schemas.openxmlformats.org/officeDocument/2006/relationships/hyperlink" Target="https://www.vietnamplus.vn/vietcombank-ha-lai-suat-huy-dong-lan-thu-5-trong-nam-2014-post298233.vnp" TargetMode="External"/><Relationship Id="rId5" Type="http://schemas.openxmlformats.org/officeDocument/2006/relationships/hyperlink" Target="https://bnews.vn/lai-suat-tiet-kiem-ngan-hang-vietcombank-thang-12-2019/141686.html" TargetMode="External"/><Relationship Id="rId15" Type="http://schemas.openxmlformats.org/officeDocument/2006/relationships/hyperlink" Target="https://www.vcbf.com/quy-mo/cac-quy-mo/quy-dau-tu-trai-phieu-vcbf/" TargetMode="External"/><Relationship Id="rId10" Type="http://schemas.openxmlformats.org/officeDocument/2006/relationships/hyperlink" Target="https://www.vietnamplus.vn/vietcombank-ha-lai-suat-huy-dong-lan-thu-5-trong-nam-2014-post298233.vnp" TargetMode="External"/><Relationship Id="rId4" Type="http://schemas.openxmlformats.org/officeDocument/2006/relationships/hyperlink" Target="https://bnews.vn/lai-suat-tiet-kiem-ngan-hang-vietcombank-hom-nay/179591.html" TargetMode="External"/><Relationship Id="rId9" Type="http://schemas.openxmlformats.org/officeDocument/2006/relationships/hyperlink" Target="https://tapchitaichinh.vn/lai-suat-tang-tien-co-chay-vao-ngan-hang.html" TargetMode="External"/><Relationship Id="rId14" Type="http://schemas.openxmlformats.org/officeDocument/2006/relationships/hyperlink" Target="https://www.worldgovernmentbonds.com/country/vietna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traihom.vn/bao-gia-dich-vu-tron-goi/chi-phi-dich-vu-tang-le-mai-tang-tron-goi-tp-ho-chi-minh.html"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s://extranet.who.int/kobe_centre/sites/default/files/How%20will%20population%20ageing%20affect%20health%20expenditure%20trends%20in%20Viet%20Nam.pdf" TargetMode="External"/><Relationship Id="rId2" Type="http://schemas.openxmlformats.org/officeDocument/2006/relationships/hyperlink" Target="https://www.google.com/finance/quote/USD-VND?sa=X&amp;ved=2ahUKEwjM9O3-w76DAxVzsFYBHVvPDWYQmY0JegQIBhAr" TargetMode="External"/><Relationship Id="rId1" Type="http://schemas.openxmlformats.org/officeDocument/2006/relationships/hyperlink" Target="https://www.focus-economics.com/country-indicator/vietnam/gdp-per-capita-usd/" TargetMode="External"/><Relationship Id="rId5" Type="http://schemas.openxmlformats.org/officeDocument/2006/relationships/drawing" Target="../drawings/drawing6.xml"/><Relationship Id="rId4" Type="http://schemas.openxmlformats.org/officeDocument/2006/relationships/hyperlink" Target="https://extranet.who.int/kobe_centre/sites/default/files/How%20will%20population%20ageing%20affect%20health%20expenditure%20trends%20in%20Viet%20Nam.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34D11-ED7D-40F2-BDAC-57560A8133CE}">
  <dimension ref="A1:F36"/>
  <sheetViews>
    <sheetView showGridLines="0" topLeftCell="A19" workbookViewId="0">
      <selection activeCell="F28" sqref="F28"/>
    </sheetView>
  </sheetViews>
  <sheetFormatPr defaultRowHeight="13.2" x14ac:dyDescent="0.25"/>
  <cols>
    <col min="1" max="1" width="8.88671875" style="86"/>
    <col min="2" max="2" width="21.88671875" style="86" customWidth="1"/>
    <col min="3" max="3" width="8.88671875" style="138"/>
    <col min="4" max="4" width="34.21875" style="86" bestFit="1" customWidth="1"/>
    <col min="5" max="5" width="39.33203125" style="276" customWidth="1"/>
    <col min="6" max="6" width="83.5546875" style="86" bestFit="1" customWidth="1"/>
    <col min="7" max="16384" width="8.88671875" style="86"/>
  </cols>
  <sheetData>
    <row r="1" spans="1:6" x14ac:dyDescent="0.25">
      <c r="A1" s="310" t="s">
        <v>634</v>
      </c>
      <c r="B1" s="310"/>
      <c r="C1" s="305" t="s">
        <v>603</v>
      </c>
      <c r="D1" s="305"/>
      <c r="E1" s="305"/>
      <c r="F1" s="282" t="s">
        <v>605</v>
      </c>
    </row>
    <row r="2" spans="1:6" x14ac:dyDescent="0.25">
      <c r="A2" s="310"/>
      <c r="B2" s="310"/>
      <c r="C2" s="305">
        <v>1</v>
      </c>
      <c r="D2" s="304" t="s">
        <v>565</v>
      </c>
      <c r="E2" s="277" t="s">
        <v>580</v>
      </c>
      <c r="F2" s="283" t="s">
        <v>604</v>
      </c>
    </row>
    <row r="3" spans="1:6" x14ac:dyDescent="0.25">
      <c r="A3" s="310"/>
      <c r="B3" s="310"/>
      <c r="C3" s="305"/>
      <c r="D3" s="304"/>
      <c r="E3" s="277" t="s">
        <v>606</v>
      </c>
      <c r="F3" s="284" t="s">
        <v>173</v>
      </c>
    </row>
    <row r="4" spans="1:6" x14ac:dyDescent="0.25">
      <c r="A4" s="310"/>
      <c r="B4" s="310"/>
      <c r="C4" s="305"/>
      <c r="D4" s="304"/>
      <c r="E4" s="277" t="s">
        <v>581</v>
      </c>
      <c r="F4" s="284" t="s">
        <v>607</v>
      </c>
    </row>
    <row r="5" spans="1:6" x14ac:dyDescent="0.25">
      <c r="A5" s="310"/>
      <c r="B5" s="310"/>
      <c r="C5" s="305"/>
      <c r="D5" s="304"/>
      <c r="E5" s="277" t="s">
        <v>582</v>
      </c>
      <c r="F5" s="284" t="s">
        <v>173</v>
      </c>
    </row>
    <row r="6" spans="1:6" x14ac:dyDescent="0.25">
      <c r="A6" s="310"/>
      <c r="B6" s="310"/>
      <c r="C6" s="305"/>
      <c r="D6" s="304"/>
      <c r="E6" s="278" t="s">
        <v>583</v>
      </c>
      <c r="F6" s="285" t="s">
        <v>608</v>
      </c>
    </row>
    <row r="7" spans="1:6" ht="32.4" customHeight="1" x14ac:dyDescent="0.25">
      <c r="A7" s="310"/>
      <c r="B7" s="310"/>
      <c r="C7" s="79">
        <v>2</v>
      </c>
      <c r="D7" s="306" t="s">
        <v>566</v>
      </c>
      <c r="E7" s="306"/>
      <c r="F7" s="88" t="s">
        <v>609</v>
      </c>
    </row>
    <row r="8" spans="1:6" ht="18" customHeight="1" x14ac:dyDescent="0.25">
      <c r="A8" s="310"/>
      <c r="B8" s="310"/>
      <c r="C8" s="305">
        <v>3</v>
      </c>
      <c r="D8" s="304" t="s">
        <v>567</v>
      </c>
      <c r="E8" s="277" t="s">
        <v>584</v>
      </c>
      <c r="F8" s="283" t="s">
        <v>173</v>
      </c>
    </row>
    <row r="9" spans="1:6" x14ac:dyDescent="0.25">
      <c r="C9" s="305"/>
      <c r="D9" s="304"/>
      <c r="E9" s="278" t="s">
        <v>585</v>
      </c>
      <c r="F9" s="285" t="s">
        <v>173</v>
      </c>
    </row>
    <row r="10" spans="1:6" ht="21.6" customHeight="1" x14ac:dyDescent="0.25">
      <c r="C10" s="79">
        <v>4</v>
      </c>
      <c r="D10" s="306" t="s">
        <v>568</v>
      </c>
      <c r="E10" s="306"/>
      <c r="F10" s="88" t="s">
        <v>610</v>
      </c>
    </row>
    <row r="11" spans="1:6" ht="36.6" customHeight="1" x14ac:dyDescent="0.25">
      <c r="C11" s="79">
        <v>5</v>
      </c>
      <c r="D11" s="304" t="s">
        <v>569</v>
      </c>
      <c r="E11" s="304"/>
      <c r="F11" s="88" t="s">
        <v>611</v>
      </c>
    </row>
    <row r="12" spans="1:6" ht="30" customHeight="1" x14ac:dyDescent="0.25">
      <c r="C12" s="79">
        <v>6</v>
      </c>
      <c r="D12" s="306" t="s">
        <v>570</v>
      </c>
      <c r="E12" s="306"/>
      <c r="F12" s="88" t="s">
        <v>612</v>
      </c>
    </row>
    <row r="13" spans="1:6" x14ac:dyDescent="0.25">
      <c r="C13" s="305">
        <v>7</v>
      </c>
      <c r="D13" s="304" t="s">
        <v>571</v>
      </c>
      <c r="E13" s="277" t="s">
        <v>586</v>
      </c>
      <c r="F13" s="283" t="s">
        <v>613</v>
      </c>
    </row>
    <row r="14" spans="1:6" x14ac:dyDescent="0.25">
      <c r="C14" s="305"/>
      <c r="D14" s="304"/>
      <c r="E14" s="277" t="s">
        <v>587</v>
      </c>
      <c r="F14" s="284" t="s">
        <v>614</v>
      </c>
    </row>
    <row r="15" spans="1:6" x14ac:dyDescent="0.25">
      <c r="C15" s="305"/>
      <c r="D15" s="304"/>
      <c r="E15" s="277" t="s">
        <v>588</v>
      </c>
      <c r="F15" s="284" t="s">
        <v>615</v>
      </c>
    </row>
    <row r="16" spans="1:6" x14ac:dyDescent="0.25">
      <c r="C16" s="305"/>
      <c r="D16" s="304"/>
      <c r="E16" s="277" t="s">
        <v>589</v>
      </c>
      <c r="F16" s="284" t="s">
        <v>616</v>
      </c>
    </row>
    <row r="17" spans="3:6" x14ac:dyDescent="0.25">
      <c r="C17" s="305"/>
      <c r="D17" s="304"/>
      <c r="E17" s="277" t="s">
        <v>590</v>
      </c>
      <c r="F17" s="284" t="s">
        <v>617</v>
      </c>
    </row>
    <row r="18" spans="3:6" x14ac:dyDescent="0.25">
      <c r="C18" s="305"/>
      <c r="D18" s="304"/>
      <c r="E18" s="277" t="s">
        <v>591</v>
      </c>
      <c r="F18" s="284" t="s">
        <v>618</v>
      </c>
    </row>
    <row r="19" spans="3:6" x14ac:dyDescent="0.25">
      <c r="C19" s="305"/>
      <c r="D19" s="304"/>
      <c r="E19" s="278" t="s">
        <v>592</v>
      </c>
      <c r="F19" s="285" t="s">
        <v>619</v>
      </c>
    </row>
    <row r="20" spans="3:6" ht="34.200000000000003" customHeight="1" x14ac:dyDescent="0.25">
      <c r="C20" s="79">
        <v>8</v>
      </c>
      <c r="D20" s="306" t="s">
        <v>572</v>
      </c>
      <c r="E20" s="306"/>
      <c r="F20" s="88" t="s">
        <v>173</v>
      </c>
    </row>
    <row r="21" spans="3:6" x14ac:dyDescent="0.25">
      <c r="C21" s="305">
        <v>9</v>
      </c>
      <c r="D21" s="304" t="s">
        <v>573</v>
      </c>
      <c r="E21" s="277" t="s">
        <v>593</v>
      </c>
      <c r="F21" s="283" t="s">
        <v>173</v>
      </c>
    </row>
    <row r="22" spans="3:6" x14ac:dyDescent="0.25">
      <c r="C22" s="305"/>
      <c r="D22" s="304"/>
      <c r="E22" s="278" t="s">
        <v>594</v>
      </c>
      <c r="F22" s="285" t="s">
        <v>173</v>
      </c>
    </row>
    <row r="23" spans="3:6" x14ac:dyDescent="0.25">
      <c r="C23" s="305">
        <v>10</v>
      </c>
      <c r="D23" s="306" t="s">
        <v>574</v>
      </c>
      <c r="E23" s="280" t="s">
        <v>595</v>
      </c>
      <c r="F23" s="283" t="s">
        <v>173</v>
      </c>
    </row>
    <row r="24" spans="3:6" x14ac:dyDescent="0.25">
      <c r="C24" s="305"/>
      <c r="D24" s="306"/>
      <c r="E24" s="281" t="s">
        <v>596</v>
      </c>
      <c r="F24" s="285" t="s">
        <v>173</v>
      </c>
    </row>
    <row r="25" spans="3:6" ht="32.4" customHeight="1" x14ac:dyDescent="0.25">
      <c r="C25" s="79">
        <v>11</v>
      </c>
      <c r="D25" s="304" t="s">
        <v>575</v>
      </c>
      <c r="E25" s="304"/>
      <c r="F25" s="88" t="s">
        <v>620</v>
      </c>
    </row>
    <row r="26" spans="3:6" ht="39.6" customHeight="1" x14ac:dyDescent="0.25">
      <c r="C26" s="79">
        <v>12</v>
      </c>
      <c r="D26" s="306" t="s">
        <v>576</v>
      </c>
      <c r="E26" s="306"/>
      <c r="F26" s="88" t="s">
        <v>621</v>
      </c>
    </row>
    <row r="27" spans="3:6" ht="30" customHeight="1" x14ac:dyDescent="0.25">
      <c r="C27" s="79">
        <v>13</v>
      </c>
      <c r="D27" s="304" t="s">
        <v>577</v>
      </c>
      <c r="E27" s="304"/>
      <c r="F27" s="283" t="s">
        <v>622</v>
      </c>
    </row>
    <row r="28" spans="3:6" ht="18" customHeight="1" x14ac:dyDescent="0.25">
      <c r="C28" s="305">
        <v>14</v>
      </c>
      <c r="D28" s="307" t="s">
        <v>578</v>
      </c>
      <c r="E28" s="302" t="s">
        <v>597</v>
      </c>
      <c r="F28" s="283" t="s">
        <v>623</v>
      </c>
    </row>
    <row r="29" spans="3:6" ht="18.600000000000001" customHeight="1" x14ac:dyDescent="0.25">
      <c r="C29" s="305"/>
      <c r="D29" s="308"/>
      <c r="E29" s="301" t="s">
        <v>598</v>
      </c>
      <c r="F29" s="284" t="s">
        <v>624</v>
      </c>
    </row>
    <row r="30" spans="3:6" ht="18.600000000000001" customHeight="1" x14ac:dyDescent="0.25">
      <c r="C30" s="305"/>
      <c r="D30" s="308"/>
      <c r="E30" s="301" t="s">
        <v>599</v>
      </c>
      <c r="F30" s="284" t="s">
        <v>625</v>
      </c>
    </row>
    <row r="31" spans="3:6" x14ac:dyDescent="0.25">
      <c r="C31" s="305"/>
      <c r="D31" s="308"/>
      <c r="E31" s="301" t="s">
        <v>640</v>
      </c>
      <c r="F31" s="284" t="s">
        <v>643</v>
      </c>
    </row>
    <row r="32" spans="3:6" x14ac:dyDescent="0.25">
      <c r="C32" s="79"/>
      <c r="D32" s="308"/>
      <c r="E32" s="301" t="s">
        <v>641</v>
      </c>
      <c r="F32" s="284" t="s">
        <v>644</v>
      </c>
    </row>
    <row r="33" spans="3:6" x14ac:dyDescent="0.25">
      <c r="C33" s="79"/>
      <c r="D33" s="309"/>
      <c r="E33" s="303" t="s">
        <v>642</v>
      </c>
      <c r="F33" s="284" t="s">
        <v>644</v>
      </c>
    </row>
    <row r="34" spans="3:6" x14ac:dyDescent="0.25">
      <c r="C34" s="305">
        <v>15</v>
      </c>
      <c r="D34" s="304" t="s">
        <v>579</v>
      </c>
      <c r="E34" s="279" t="s">
        <v>600</v>
      </c>
      <c r="F34" s="284" t="s">
        <v>626</v>
      </c>
    </row>
    <row r="35" spans="3:6" x14ac:dyDescent="0.25">
      <c r="C35" s="305"/>
      <c r="D35" s="304"/>
      <c r="E35" s="277" t="s">
        <v>601</v>
      </c>
      <c r="F35" s="284" t="s">
        <v>627</v>
      </c>
    </row>
    <row r="36" spans="3:6" x14ac:dyDescent="0.25">
      <c r="C36" s="305"/>
      <c r="D36" s="304"/>
      <c r="E36" s="278" t="s">
        <v>602</v>
      </c>
      <c r="F36" s="285" t="s">
        <v>628</v>
      </c>
    </row>
  </sheetData>
  <mergeCells count="24">
    <mergeCell ref="A1:B8"/>
    <mergeCell ref="C1:E1"/>
    <mergeCell ref="D7:E7"/>
    <mergeCell ref="D10:E10"/>
    <mergeCell ref="D11:E11"/>
    <mergeCell ref="D12:E12"/>
    <mergeCell ref="C2:C6"/>
    <mergeCell ref="D2:D6"/>
    <mergeCell ref="C8:C9"/>
    <mergeCell ref="D8:D9"/>
    <mergeCell ref="D13:D19"/>
    <mergeCell ref="C34:C36"/>
    <mergeCell ref="D34:D36"/>
    <mergeCell ref="C28:C31"/>
    <mergeCell ref="D25:E25"/>
    <mergeCell ref="D26:E26"/>
    <mergeCell ref="D27:E27"/>
    <mergeCell ref="D20:E20"/>
    <mergeCell ref="C21:C22"/>
    <mergeCell ref="D21:D22"/>
    <mergeCell ref="C23:C24"/>
    <mergeCell ref="D23:D24"/>
    <mergeCell ref="C13:C19"/>
    <mergeCell ref="D28:D3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1:AA995"/>
  <sheetViews>
    <sheetView showGridLines="0" workbookViewId="0">
      <selection activeCell="F5" sqref="F5"/>
    </sheetView>
  </sheetViews>
  <sheetFormatPr defaultColWidth="12.6640625" defaultRowHeight="15.75" customHeight="1" x14ac:dyDescent="0.25"/>
  <cols>
    <col min="2" max="2" width="27.77734375" customWidth="1"/>
    <col min="3" max="3" width="36.77734375" customWidth="1"/>
    <col min="4" max="4" width="36.6640625" customWidth="1"/>
    <col min="5" max="5" width="32.33203125" customWidth="1"/>
    <col min="6" max="6" width="33.44140625" customWidth="1"/>
    <col min="7" max="7" width="24.44140625" customWidth="1"/>
  </cols>
  <sheetData>
    <row r="1" spans="2:27" ht="45" customHeight="1" x14ac:dyDescent="0.25">
      <c r="B1" s="311" t="s">
        <v>0</v>
      </c>
      <c r="C1" s="312"/>
      <c r="D1" s="312"/>
      <c r="E1" s="312"/>
      <c r="F1" s="313"/>
      <c r="G1" s="2"/>
      <c r="H1" s="1"/>
      <c r="K1" s="1"/>
      <c r="L1" s="1"/>
      <c r="M1" s="314" t="s">
        <v>1</v>
      </c>
      <c r="N1" s="315"/>
      <c r="O1" s="315"/>
      <c r="P1" s="315"/>
      <c r="Q1" s="315"/>
      <c r="R1" s="315"/>
      <c r="S1" s="316"/>
      <c r="T1" s="1"/>
      <c r="U1" s="1"/>
      <c r="V1" s="1"/>
      <c r="W1" s="1"/>
      <c r="X1" s="1"/>
      <c r="Y1" s="1"/>
      <c r="Z1" s="1"/>
      <c r="AA1" s="1"/>
    </row>
    <row r="2" spans="2:27" ht="56.4" customHeight="1" x14ac:dyDescent="0.25">
      <c r="B2" s="68" t="s">
        <v>220</v>
      </c>
      <c r="C2" s="68" t="s">
        <v>2</v>
      </c>
      <c r="D2" s="68" t="s">
        <v>3</v>
      </c>
      <c r="E2" s="68" t="s">
        <v>4</v>
      </c>
      <c r="F2" s="68" t="s">
        <v>5</v>
      </c>
      <c r="G2" s="2"/>
      <c r="H2" s="1"/>
      <c r="K2" s="1"/>
      <c r="L2" s="1"/>
      <c r="M2" s="4" t="s">
        <v>9</v>
      </c>
      <c r="N2" s="4" t="s">
        <v>10</v>
      </c>
      <c r="O2" s="3" t="s">
        <v>6</v>
      </c>
      <c r="P2" s="3" t="s">
        <v>3</v>
      </c>
      <c r="Q2" s="3" t="s">
        <v>11</v>
      </c>
      <c r="R2" s="3" t="s">
        <v>12</v>
      </c>
      <c r="S2" s="3" t="s">
        <v>13</v>
      </c>
      <c r="T2" s="1"/>
      <c r="U2" s="1"/>
      <c r="V2" s="1"/>
      <c r="W2" s="1"/>
      <c r="X2" s="1"/>
      <c r="Y2" s="1"/>
      <c r="Z2" s="1"/>
      <c r="AA2" s="1"/>
    </row>
    <row r="3" spans="2:27" ht="55.8" customHeight="1" x14ac:dyDescent="0.25">
      <c r="B3" s="69" t="s">
        <v>37</v>
      </c>
      <c r="C3" s="71" t="s">
        <v>38</v>
      </c>
      <c r="D3" s="70" t="s">
        <v>218</v>
      </c>
      <c r="E3" s="71" t="s">
        <v>31</v>
      </c>
      <c r="F3" s="71">
        <v>2032</v>
      </c>
      <c r="G3" s="5"/>
      <c r="H3" s="1"/>
      <c r="K3" s="1"/>
      <c r="L3" s="1"/>
      <c r="M3" s="3">
        <v>2041</v>
      </c>
      <c r="N3" s="3" t="s">
        <v>41</v>
      </c>
      <c r="O3" s="3">
        <v>39</v>
      </c>
      <c r="P3" s="3"/>
      <c r="Q3" s="3" t="s">
        <v>42</v>
      </c>
      <c r="R3" s="5" t="s">
        <v>43</v>
      </c>
      <c r="S3" s="3" t="s">
        <v>30</v>
      </c>
      <c r="T3" s="1"/>
      <c r="U3" s="1"/>
      <c r="V3" s="1"/>
      <c r="W3" s="1"/>
      <c r="X3" s="1"/>
      <c r="Y3" s="1"/>
      <c r="Z3" s="1"/>
      <c r="AA3" s="1"/>
    </row>
    <row r="4" spans="2:27" ht="64.8" customHeight="1" x14ac:dyDescent="0.25">
      <c r="B4" s="69" t="s">
        <v>215</v>
      </c>
      <c r="C4" s="70" t="s">
        <v>214</v>
      </c>
      <c r="D4" s="70" t="s">
        <v>219</v>
      </c>
      <c r="E4" s="71" t="s">
        <v>31</v>
      </c>
      <c r="F4" s="71">
        <v>2052</v>
      </c>
      <c r="G4" s="5"/>
      <c r="H4" s="1"/>
      <c r="K4" s="1"/>
      <c r="L4" s="1"/>
      <c r="M4" s="3">
        <v>2040</v>
      </c>
      <c r="N4" s="3" t="s">
        <v>33</v>
      </c>
      <c r="O4" s="3">
        <v>38</v>
      </c>
      <c r="P4" s="3" t="s">
        <v>34</v>
      </c>
      <c r="Q4" s="3" t="s">
        <v>35</v>
      </c>
      <c r="R4" s="3" t="s">
        <v>36</v>
      </c>
      <c r="S4" s="3" t="s">
        <v>30</v>
      </c>
      <c r="T4" s="1"/>
      <c r="U4" s="1"/>
      <c r="V4" s="1"/>
      <c r="W4" s="1"/>
      <c r="X4" s="1"/>
      <c r="Y4" s="1"/>
      <c r="Z4" s="1"/>
      <c r="AA4" s="1"/>
    </row>
    <row r="5" spans="2:27" ht="57" customHeight="1" x14ac:dyDescent="0.25">
      <c r="B5" s="69" t="s">
        <v>14</v>
      </c>
      <c r="C5" s="71" t="s">
        <v>15</v>
      </c>
      <c r="D5" s="70" t="s">
        <v>327</v>
      </c>
      <c r="E5" s="70" t="s">
        <v>213</v>
      </c>
      <c r="F5" s="71" t="s">
        <v>16</v>
      </c>
      <c r="G5" s="5"/>
      <c r="H5" s="1"/>
      <c r="K5" s="1"/>
      <c r="L5" s="1"/>
      <c r="M5" s="3">
        <v>2047</v>
      </c>
      <c r="N5" s="3" t="s">
        <v>45</v>
      </c>
      <c r="O5" s="3">
        <v>45</v>
      </c>
      <c r="P5" s="3"/>
      <c r="Q5" s="3" t="s">
        <v>46</v>
      </c>
      <c r="R5" s="3" t="s">
        <v>29</v>
      </c>
      <c r="S5" s="3" t="s">
        <v>30</v>
      </c>
      <c r="T5" s="1"/>
      <c r="U5" s="1"/>
      <c r="V5" s="1"/>
      <c r="W5" s="1"/>
      <c r="X5" s="1"/>
      <c r="Y5" s="1"/>
      <c r="Z5" s="1"/>
      <c r="AA5" s="1"/>
    </row>
    <row r="6" spans="2:27" ht="68.400000000000006" customHeight="1" x14ac:dyDescent="0.25">
      <c r="B6" s="69" t="s">
        <v>629</v>
      </c>
      <c r="C6" s="70" t="s">
        <v>221</v>
      </c>
      <c r="D6" s="70" t="s">
        <v>630</v>
      </c>
      <c r="E6" s="70" t="s">
        <v>25</v>
      </c>
      <c r="F6" s="71">
        <v>2063</v>
      </c>
      <c r="H6" s="1"/>
      <c r="K6" s="1"/>
      <c r="L6" s="1"/>
      <c r="M6" s="3">
        <v>2053</v>
      </c>
      <c r="N6" s="3" t="s">
        <v>48</v>
      </c>
      <c r="O6" s="3">
        <v>51</v>
      </c>
      <c r="P6" s="3" t="s">
        <v>49</v>
      </c>
      <c r="Q6" s="3" t="s">
        <v>50</v>
      </c>
      <c r="R6" s="3" t="s">
        <v>51</v>
      </c>
      <c r="S6" s="3" t="s">
        <v>30</v>
      </c>
      <c r="T6" s="1"/>
      <c r="U6" s="1"/>
      <c r="V6" s="1"/>
      <c r="W6" s="1"/>
      <c r="X6" s="1"/>
      <c r="Y6" s="1"/>
      <c r="Z6" s="1"/>
      <c r="AA6" s="1"/>
    </row>
    <row r="7" spans="2:27" ht="39.6" x14ac:dyDescent="0.25">
      <c r="H7" s="1"/>
      <c r="K7" s="1"/>
      <c r="L7" s="1"/>
      <c r="M7" s="3">
        <v>2057</v>
      </c>
      <c r="N7" s="3" t="s">
        <v>52</v>
      </c>
      <c r="O7" s="3">
        <v>55</v>
      </c>
      <c r="P7" s="3"/>
      <c r="Q7" s="3" t="s">
        <v>53</v>
      </c>
      <c r="R7" s="3" t="s">
        <v>54</v>
      </c>
      <c r="S7" s="3" t="s">
        <v>30</v>
      </c>
      <c r="T7" s="1"/>
      <c r="U7" s="1"/>
      <c r="V7" s="1"/>
      <c r="W7" s="1"/>
      <c r="X7" s="1"/>
      <c r="Y7" s="1"/>
      <c r="Z7" s="1"/>
      <c r="AA7" s="1"/>
    </row>
    <row r="8" spans="2:27" ht="39.6" x14ac:dyDescent="0.25">
      <c r="F8" s="5"/>
      <c r="G8" s="5"/>
      <c r="H8" s="1"/>
      <c r="K8" s="1"/>
      <c r="L8" s="1"/>
      <c r="M8" s="3">
        <v>2059</v>
      </c>
      <c r="N8" s="3" t="s">
        <v>55</v>
      </c>
      <c r="O8" s="3">
        <v>57</v>
      </c>
      <c r="P8" s="3"/>
      <c r="Q8" s="3" t="s">
        <v>56</v>
      </c>
      <c r="R8" s="3" t="s">
        <v>57</v>
      </c>
      <c r="S8" s="3" t="s">
        <v>30</v>
      </c>
      <c r="T8" s="1"/>
      <c r="U8" s="1"/>
      <c r="V8" s="1"/>
      <c r="W8" s="1"/>
      <c r="X8" s="1"/>
      <c r="Y8" s="1"/>
      <c r="Z8" s="1"/>
      <c r="AA8" s="1"/>
    </row>
    <row r="9" spans="2:27" ht="52.8" x14ac:dyDescent="0.25">
      <c r="B9" s="1"/>
      <c r="C9" s="1"/>
      <c r="D9" s="1"/>
      <c r="E9" s="1"/>
      <c r="F9" s="1"/>
      <c r="G9" s="1"/>
      <c r="H9" s="1"/>
      <c r="K9" s="1"/>
      <c r="L9" s="1"/>
      <c r="M9" s="3">
        <v>2063</v>
      </c>
      <c r="N9" s="3" t="s">
        <v>58</v>
      </c>
      <c r="O9" s="3">
        <v>61</v>
      </c>
      <c r="P9" s="3" t="s">
        <v>59</v>
      </c>
      <c r="Q9" s="3" t="s">
        <v>60</v>
      </c>
      <c r="R9" s="3" t="s">
        <v>61</v>
      </c>
      <c r="S9" s="3" t="s">
        <v>30</v>
      </c>
      <c r="T9" s="1"/>
      <c r="U9" s="1"/>
      <c r="V9" s="1"/>
      <c r="W9" s="1"/>
      <c r="X9" s="1"/>
      <c r="Y9" s="1"/>
      <c r="Z9" s="1"/>
      <c r="AA9" s="1"/>
    </row>
    <row r="10" spans="2:27" ht="26.4" x14ac:dyDescent="0.25">
      <c r="B10" s="1"/>
      <c r="C10" s="1"/>
      <c r="D10" s="1"/>
      <c r="E10" s="1"/>
      <c r="F10" s="1"/>
      <c r="G10" s="1"/>
      <c r="H10" s="1"/>
      <c r="K10" s="1"/>
      <c r="L10" s="1"/>
      <c r="M10" s="3">
        <v>2067</v>
      </c>
      <c r="N10" s="3" t="s">
        <v>62</v>
      </c>
      <c r="O10" s="3">
        <v>65</v>
      </c>
      <c r="P10" s="3" t="s">
        <v>24</v>
      </c>
      <c r="Q10" s="3" t="s">
        <v>63</v>
      </c>
      <c r="R10" s="3" t="s">
        <v>64</v>
      </c>
      <c r="S10" s="3" t="s">
        <v>65</v>
      </c>
      <c r="T10" s="1"/>
      <c r="U10" s="1"/>
      <c r="V10" s="1"/>
      <c r="W10" s="1"/>
      <c r="X10" s="1"/>
      <c r="Y10" s="1"/>
      <c r="Z10" s="1"/>
      <c r="AA10" s="1"/>
    </row>
    <row r="11" spans="2:27" ht="13.2" x14ac:dyDescent="0.25">
      <c r="B11" s="1"/>
      <c r="C11" s="1"/>
      <c r="D11" s="1"/>
      <c r="E11" s="1"/>
      <c r="F11" s="1"/>
      <c r="G11" s="1"/>
      <c r="H11" s="1"/>
      <c r="K11" s="1"/>
      <c r="L11" s="1"/>
      <c r="M11" s="1"/>
      <c r="N11" s="1"/>
      <c r="O11" s="1"/>
      <c r="P11" s="1"/>
      <c r="Q11" s="1"/>
      <c r="R11" s="1"/>
      <c r="S11" s="1"/>
      <c r="T11" s="1"/>
      <c r="U11" s="1"/>
      <c r="V11" s="1"/>
      <c r="W11" s="1"/>
      <c r="X11" s="1"/>
      <c r="Y11" s="1"/>
      <c r="Z11" s="1"/>
      <c r="AA11" s="1"/>
    </row>
    <row r="12" spans="2:27" ht="13.2" x14ac:dyDescent="0.25">
      <c r="B12" s="1"/>
      <c r="C12" s="1"/>
      <c r="D12" s="1"/>
      <c r="E12" s="1"/>
      <c r="F12" s="1"/>
      <c r="G12" s="1"/>
      <c r="H12" s="1"/>
      <c r="K12" s="1"/>
      <c r="L12" s="1"/>
      <c r="M12" s="1"/>
      <c r="N12" s="1"/>
      <c r="O12" s="1"/>
      <c r="P12" s="1"/>
      <c r="Q12" s="1"/>
      <c r="R12" s="1"/>
      <c r="S12" s="1"/>
      <c r="T12" s="1"/>
      <c r="U12" s="1"/>
      <c r="V12" s="1"/>
      <c r="W12" s="1"/>
      <c r="X12" s="1"/>
      <c r="Y12" s="1"/>
      <c r="Z12" s="1"/>
      <c r="AA12" s="1"/>
    </row>
    <row r="13" spans="2:27" ht="13.2" x14ac:dyDescent="0.25">
      <c r="B13" s="1"/>
      <c r="C13" s="1"/>
      <c r="D13" s="1"/>
      <c r="E13" s="1"/>
      <c r="F13" s="1"/>
      <c r="G13" s="1"/>
      <c r="H13" s="1"/>
      <c r="K13" s="1"/>
      <c r="L13" s="1"/>
      <c r="M13" s="1"/>
      <c r="N13" s="1"/>
      <c r="O13" s="1"/>
      <c r="P13" s="1"/>
      <c r="Q13" s="1"/>
      <c r="R13" s="1"/>
      <c r="S13" s="1"/>
      <c r="T13" s="1"/>
      <c r="U13" s="1"/>
      <c r="V13" s="1"/>
      <c r="W13" s="1"/>
      <c r="X13" s="1"/>
      <c r="Y13" s="1"/>
      <c r="Z13" s="1"/>
      <c r="AA13" s="1"/>
    </row>
    <row r="14" spans="2:27" ht="13.2" x14ac:dyDescent="0.25">
      <c r="B14" s="1"/>
      <c r="C14" s="1"/>
      <c r="D14" s="1"/>
      <c r="E14" s="1"/>
      <c r="F14" s="1"/>
      <c r="G14" s="1"/>
      <c r="H14" s="1"/>
      <c r="K14" s="1"/>
      <c r="L14" s="1"/>
      <c r="M14" s="1"/>
      <c r="N14" s="1"/>
      <c r="O14" s="1"/>
      <c r="P14" s="1"/>
      <c r="Q14" s="1"/>
      <c r="R14" s="1"/>
      <c r="S14" s="1"/>
      <c r="T14" s="1"/>
      <c r="U14" s="1"/>
      <c r="V14" s="1"/>
      <c r="W14" s="1"/>
      <c r="X14" s="1"/>
      <c r="Y14" s="1"/>
      <c r="Z14" s="1"/>
      <c r="AA14" s="1"/>
    </row>
    <row r="15" spans="2:27" ht="13.2" x14ac:dyDescent="0.25">
      <c r="B15" s="1"/>
      <c r="C15" s="1"/>
      <c r="D15" s="1"/>
      <c r="E15" s="1"/>
      <c r="F15" s="1"/>
      <c r="G15" s="1"/>
      <c r="H15" s="1"/>
      <c r="K15" s="1"/>
      <c r="L15" s="1"/>
      <c r="M15" s="1"/>
      <c r="N15" s="1"/>
      <c r="O15" s="1"/>
      <c r="P15" s="1"/>
      <c r="Q15" s="1"/>
      <c r="R15" s="1"/>
      <c r="S15" s="1"/>
      <c r="T15" s="1"/>
      <c r="U15" s="1"/>
      <c r="V15" s="1"/>
      <c r="W15" s="1"/>
      <c r="X15" s="1"/>
      <c r="Y15" s="1"/>
      <c r="Z15" s="1"/>
      <c r="AA15" s="1"/>
    </row>
    <row r="16" spans="2:27" ht="13.2" x14ac:dyDescent="0.25">
      <c r="B16" s="1"/>
      <c r="C16" s="1"/>
      <c r="D16" s="1"/>
      <c r="E16" s="1"/>
      <c r="F16" s="1"/>
      <c r="G16" s="1"/>
      <c r="H16" s="1"/>
      <c r="K16" s="1"/>
      <c r="L16" s="1"/>
      <c r="M16" s="1"/>
      <c r="N16" s="1"/>
      <c r="O16" s="1"/>
      <c r="P16" s="1"/>
      <c r="Q16" s="1"/>
      <c r="R16" s="1"/>
      <c r="S16" s="1"/>
      <c r="T16" s="1"/>
      <c r="U16" s="1"/>
      <c r="V16" s="1"/>
      <c r="W16" s="1"/>
      <c r="X16" s="1"/>
      <c r="Y16" s="1"/>
      <c r="Z16" s="1"/>
      <c r="AA16" s="1"/>
    </row>
    <row r="17" spans="2:27" ht="13.2" x14ac:dyDescent="0.25">
      <c r="B17" s="1"/>
      <c r="C17" s="1"/>
      <c r="D17" s="1"/>
      <c r="E17" s="1"/>
      <c r="F17" s="1"/>
      <c r="G17" s="1"/>
      <c r="H17" s="1"/>
      <c r="K17" s="1"/>
      <c r="L17" s="1"/>
      <c r="M17" s="1"/>
      <c r="N17" s="1"/>
      <c r="O17" s="1"/>
      <c r="P17" s="1"/>
      <c r="Q17" s="1"/>
      <c r="R17" s="1"/>
      <c r="S17" s="1"/>
      <c r="T17" s="1"/>
      <c r="U17" s="1"/>
      <c r="V17" s="1"/>
      <c r="W17" s="1"/>
      <c r="X17" s="1"/>
      <c r="Y17" s="1"/>
      <c r="Z17" s="1"/>
      <c r="AA17" s="1"/>
    </row>
    <row r="18" spans="2:27" ht="13.2" x14ac:dyDescent="0.25">
      <c r="B18" s="1"/>
      <c r="C18" s="1"/>
      <c r="D18" s="1"/>
      <c r="E18" s="1"/>
      <c r="F18" s="1"/>
      <c r="G18" s="1"/>
      <c r="H18" s="1"/>
      <c r="K18" s="1"/>
      <c r="L18" s="1"/>
      <c r="M18" s="1"/>
      <c r="N18" s="1"/>
      <c r="O18" s="1"/>
      <c r="P18" s="1"/>
      <c r="Q18" s="1"/>
      <c r="R18" s="1"/>
      <c r="S18" s="1"/>
      <c r="T18" s="1"/>
      <c r="U18" s="1"/>
      <c r="V18" s="1"/>
      <c r="W18" s="1"/>
      <c r="X18" s="1"/>
      <c r="Y18" s="1"/>
      <c r="Z18" s="1"/>
      <c r="AA18" s="1"/>
    </row>
    <row r="19" spans="2:27" ht="13.2" x14ac:dyDescent="0.25">
      <c r="B19" s="1"/>
      <c r="C19" s="1"/>
      <c r="D19" s="1"/>
      <c r="E19" s="1"/>
      <c r="F19" s="1"/>
      <c r="G19" s="1"/>
      <c r="H19" s="1"/>
      <c r="K19" s="1"/>
      <c r="L19" s="1"/>
      <c r="M19" s="1"/>
      <c r="N19" s="1"/>
      <c r="O19" s="1"/>
      <c r="P19" s="1"/>
      <c r="Q19" s="1"/>
      <c r="R19" s="1"/>
      <c r="S19" s="1"/>
      <c r="T19" s="1"/>
      <c r="U19" s="1"/>
      <c r="V19" s="1"/>
      <c r="W19" s="1"/>
      <c r="X19" s="1"/>
      <c r="Y19" s="1"/>
      <c r="Z19" s="1"/>
      <c r="AA19" s="1"/>
    </row>
    <row r="20" spans="2:27" ht="13.2" x14ac:dyDescent="0.25">
      <c r="B20" s="1"/>
      <c r="C20" s="1"/>
      <c r="D20" s="1"/>
      <c r="E20" s="1"/>
      <c r="F20" s="1"/>
      <c r="G20" s="1"/>
      <c r="H20" s="1"/>
      <c r="K20" s="1"/>
      <c r="L20" s="1"/>
      <c r="M20" s="1"/>
      <c r="N20" s="1"/>
      <c r="O20" s="1"/>
      <c r="P20" s="1"/>
      <c r="Q20" s="1"/>
      <c r="R20" s="1"/>
      <c r="S20" s="1"/>
      <c r="T20" s="1"/>
      <c r="U20" s="1"/>
      <c r="V20" s="1"/>
      <c r="W20" s="1"/>
      <c r="X20" s="1"/>
      <c r="Y20" s="1"/>
      <c r="Z20" s="1"/>
      <c r="AA20" s="1"/>
    </row>
    <row r="21" spans="2:27" ht="13.2" x14ac:dyDescent="0.25">
      <c r="B21" s="1"/>
      <c r="C21" s="1"/>
      <c r="D21" s="1"/>
      <c r="E21" s="1"/>
      <c r="F21" s="1"/>
      <c r="G21" s="1"/>
      <c r="H21" s="1"/>
      <c r="K21" s="1"/>
      <c r="L21" s="1"/>
      <c r="M21" s="1"/>
      <c r="N21" s="1"/>
      <c r="O21" s="1"/>
      <c r="P21" s="1"/>
      <c r="Q21" s="1"/>
      <c r="R21" s="1"/>
      <c r="S21" s="1"/>
      <c r="T21" s="1"/>
      <c r="U21" s="1"/>
      <c r="V21" s="1"/>
      <c r="W21" s="1"/>
      <c r="X21" s="1"/>
      <c r="Y21" s="1"/>
      <c r="Z21" s="1"/>
      <c r="AA21" s="1"/>
    </row>
    <row r="22" spans="2:27" ht="13.2" x14ac:dyDescent="0.25">
      <c r="B22" s="1"/>
      <c r="C22" s="1"/>
      <c r="D22" s="1"/>
      <c r="E22" s="1"/>
      <c r="F22" s="1"/>
      <c r="G22" s="1"/>
      <c r="H22" s="1"/>
      <c r="K22" s="1"/>
      <c r="L22" s="1"/>
      <c r="M22" s="1"/>
      <c r="N22" s="1"/>
      <c r="O22" s="1"/>
      <c r="P22" s="1"/>
      <c r="Q22" s="1"/>
      <c r="R22" s="1"/>
      <c r="S22" s="1"/>
      <c r="T22" s="1"/>
      <c r="U22" s="1"/>
      <c r="V22" s="1"/>
      <c r="W22" s="1"/>
      <c r="X22" s="1"/>
      <c r="Y22" s="1"/>
      <c r="Z22" s="1"/>
      <c r="AA22" s="1"/>
    </row>
    <row r="23" spans="2:27" ht="13.2" x14ac:dyDescent="0.25">
      <c r="B23" s="1"/>
      <c r="C23" s="1"/>
      <c r="D23" s="1"/>
      <c r="E23" s="1"/>
      <c r="F23" s="1"/>
      <c r="G23" s="1"/>
      <c r="H23" s="1"/>
      <c r="K23" s="1"/>
      <c r="L23" s="1"/>
      <c r="M23" s="1"/>
      <c r="N23" s="1"/>
      <c r="O23" s="1"/>
      <c r="P23" s="1"/>
      <c r="Q23" s="1"/>
      <c r="R23" s="1"/>
      <c r="S23" s="1"/>
      <c r="T23" s="1"/>
      <c r="U23" s="1"/>
      <c r="V23" s="1"/>
      <c r="W23" s="1"/>
      <c r="X23" s="1"/>
      <c r="Y23" s="1"/>
      <c r="Z23" s="1"/>
      <c r="AA23" s="1"/>
    </row>
    <row r="24" spans="2:27" ht="13.2" x14ac:dyDescent="0.25">
      <c r="B24" s="1"/>
      <c r="C24" s="1"/>
      <c r="D24" s="1"/>
      <c r="E24" s="1"/>
      <c r="F24" s="1"/>
      <c r="G24" s="1"/>
      <c r="H24" s="1"/>
      <c r="K24" s="1"/>
      <c r="L24" s="1"/>
      <c r="M24" s="1"/>
      <c r="N24" s="1"/>
      <c r="O24" s="1"/>
      <c r="P24" s="1"/>
      <c r="Q24" s="1"/>
      <c r="R24" s="1"/>
      <c r="S24" s="1"/>
      <c r="T24" s="1"/>
      <c r="U24" s="1"/>
      <c r="V24" s="1"/>
      <c r="W24" s="1"/>
      <c r="X24" s="1"/>
      <c r="Y24" s="1"/>
      <c r="Z24" s="1"/>
      <c r="AA24" s="1"/>
    </row>
    <row r="25" spans="2:27" ht="13.2" x14ac:dyDescent="0.25">
      <c r="B25" s="1"/>
      <c r="C25" s="1"/>
      <c r="D25" s="1"/>
      <c r="E25" s="1"/>
      <c r="F25" s="1"/>
      <c r="G25" s="1"/>
      <c r="H25" s="1"/>
      <c r="K25" s="1"/>
      <c r="L25" s="1"/>
      <c r="M25" s="1"/>
      <c r="N25" s="1"/>
      <c r="O25" s="1"/>
      <c r="P25" s="1"/>
      <c r="Q25" s="1"/>
      <c r="R25" s="1"/>
      <c r="S25" s="1"/>
      <c r="T25" s="1"/>
      <c r="U25" s="1"/>
      <c r="V25" s="1"/>
      <c r="W25" s="1"/>
      <c r="X25" s="1"/>
      <c r="Y25" s="1"/>
      <c r="Z25" s="1"/>
      <c r="AA25" s="1"/>
    </row>
    <row r="26" spans="2:27" ht="13.2" x14ac:dyDescent="0.25">
      <c r="B26" s="1"/>
      <c r="C26" s="1"/>
      <c r="D26" s="1"/>
      <c r="E26" s="1"/>
      <c r="F26" s="1"/>
      <c r="G26" s="1"/>
      <c r="H26" s="1"/>
      <c r="K26" s="1"/>
      <c r="L26" s="1"/>
      <c r="M26" s="1"/>
      <c r="N26" s="1"/>
      <c r="O26" s="1"/>
      <c r="P26" s="1"/>
      <c r="Q26" s="1"/>
      <c r="R26" s="1"/>
      <c r="S26" s="1"/>
      <c r="T26" s="1"/>
      <c r="U26" s="1"/>
      <c r="V26" s="1"/>
      <c r="W26" s="1"/>
      <c r="X26" s="1"/>
      <c r="Y26" s="1"/>
      <c r="Z26" s="1"/>
      <c r="AA26" s="1"/>
    </row>
    <row r="27" spans="2:27" ht="13.2" x14ac:dyDescent="0.25">
      <c r="B27" s="1"/>
      <c r="C27" s="1"/>
      <c r="D27" s="1"/>
      <c r="E27" s="1"/>
      <c r="F27" s="1"/>
      <c r="G27" s="1"/>
      <c r="H27" s="1"/>
      <c r="K27" s="1"/>
      <c r="L27" s="1"/>
      <c r="M27" s="1"/>
      <c r="N27" s="1"/>
      <c r="O27" s="1"/>
      <c r="P27" s="1"/>
      <c r="Q27" s="1"/>
      <c r="R27" s="1"/>
      <c r="S27" s="1"/>
      <c r="T27" s="1"/>
      <c r="U27" s="1"/>
      <c r="V27" s="1"/>
      <c r="W27" s="1"/>
      <c r="X27" s="1"/>
      <c r="Y27" s="1"/>
      <c r="Z27" s="1"/>
      <c r="AA27" s="1"/>
    </row>
    <row r="28" spans="2:27" ht="13.2" x14ac:dyDescent="0.25">
      <c r="B28" s="1"/>
      <c r="C28" s="1"/>
      <c r="D28" s="1"/>
      <c r="E28" s="1"/>
      <c r="F28" s="1"/>
      <c r="G28" s="1"/>
      <c r="H28" s="1"/>
      <c r="K28" s="1"/>
      <c r="L28" s="1"/>
      <c r="M28" s="1"/>
      <c r="N28" s="1"/>
      <c r="O28" s="1"/>
      <c r="P28" s="1"/>
      <c r="Q28" s="1"/>
      <c r="R28" s="1"/>
      <c r="S28" s="1"/>
      <c r="T28" s="1"/>
      <c r="U28" s="1"/>
      <c r="V28" s="1"/>
      <c r="W28" s="1"/>
      <c r="X28" s="1"/>
      <c r="Y28" s="1"/>
      <c r="Z28" s="1"/>
      <c r="AA28" s="1"/>
    </row>
    <row r="29" spans="2:27" ht="13.2" x14ac:dyDescent="0.25">
      <c r="B29" s="1"/>
      <c r="C29" s="1"/>
      <c r="D29" s="1"/>
      <c r="E29" s="1"/>
      <c r="F29" s="1"/>
      <c r="G29" s="1"/>
      <c r="H29" s="1"/>
      <c r="K29" s="1"/>
      <c r="L29" s="1"/>
      <c r="M29" s="1"/>
      <c r="N29" s="1"/>
      <c r="O29" s="1"/>
      <c r="P29" s="1"/>
      <c r="Q29" s="1"/>
      <c r="R29" s="1"/>
      <c r="S29" s="1"/>
      <c r="T29" s="1"/>
      <c r="U29" s="1"/>
      <c r="V29" s="1"/>
      <c r="W29" s="1"/>
      <c r="X29" s="1"/>
      <c r="Y29" s="1"/>
      <c r="Z29" s="1"/>
      <c r="AA29" s="1"/>
    </row>
    <row r="30" spans="2:27" ht="13.2" x14ac:dyDescent="0.25">
      <c r="B30" s="1"/>
      <c r="C30" s="1"/>
      <c r="D30" s="1"/>
      <c r="E30" s="1"/>
      <c r="F30" s="1"/>
      <c r="G30" s="1"/>
      <c r="H30" s="1"/>
      <c r="K30" s="1"/>
      <c r="L30" s="1"/>
      <c r="M30" s="1"/>
      <c r="N30" s="1"/>
      <c r="O30" s="1"/>
      <c r="P30" s="1"/>
      <c r="Q30" s="1"/>
      <c r="R30" s="1"/>
      <c r="S30" s="1"/>
      <c r="T30" s="1"/>
      <c r="U30" s="1"/>
      <c r="V30" s="1"/>
      <c r="W30" s="1"/>
      <c r="X30" s="1"/>
      <c r="Y30" s="1"/>
      <c r="Z30" s="1"/>
      <c r="AA30" s="1"/>
    </row>
    <row r="31" spans="2:27" ht="13.2" x14ac:dyDescent="0.25">
      <c r="B31" s="1"/>
      <c r="C31" s="1"/>
      <c r="D31" s="1"/>
      <c r="E31" s="1"/>
      <c r="F31" s="1"/>
      <c r="G31" s="1"/>
      <c r="H31" s="1"/>
      <c r="K31" s="1"/>
      <c r="L31" s="1"/>
      <c r="M31" s="1"/>
      <c r="N31" s="1"/>
      <c r="O31" s="1"/>
      <c r="P31" s="1"/>
      <c r="Q31" s="1"/>
      <c r="R31" s="1"/>
      <c r="S31" s="1"/>
      <c r="T31" s="1"/>
      <c r="U31" s="1"/>
      <c r="V31" s="1"/>
      <c r="W31" s="1"/>
      <c r="X31" s="1"/>
      <c r="Y31" s="1"/>
      <c r="Z31" s="1"/>
      <c r="AA31" s="1"/>
    </row>
    <row r="32" spans="2:27" ht="13.2" x14ac:dyDescent="0.25">
      <c r="B32" s="1"/>
      <c r="C32" s="1"/>
      <c r="D32" s="1"/>
      <c r="E32" s="1"/>
      <c r="F32" s="1"/>
      <c r="G32" s="1"/>
      <c r="H32" s="1"/>
      <c r="K32" s="1"/>
      <c r="L32" s="1"/>
      <c r="M32" s="1"/>
      <c r="N32" s="1"/>
      <c r="O32" s="1"/>
      <c r="P32" s="1"/>
      <c r="Q32" s="1"/>
      <c r="R32" s="1"/>
      <c r="S32" s="1"/>
      <c r="T32" s="1"/>
      <c r="U32" s="1"/>
      <c r="V32" s="1"/>
      <c r="W32" s="1"/>
      <c r="X32" s="1"/>
      <c r="Y32" s="1"/>
      <c r="Z32" s="1"/>
      <c r="AA32" s="1"/>
    </row>
    <row r="33" spans="2:27" ht="13.2" x14ac:dyDescent="0.25">
      <c r="B33" s="1"/>
      <c r="C33" s="1"/>
      <c r="D33" s="1"/>
      <c r="E33" s="1"/>
      <c r="F33" s="1"/>
      <c r="G33" s="1"/>
      <c r="H33" s="1"/>
      <c r="K33" s="1"/>
      <c r="L33" s="1"/>
      <c r="M33" s="1"/>
      <c r="N33" s="1"/>
      <c r="O33" s="1"/>
      <c r="P33" s="1"/>
      <c r="Q33" s="1"/>
      <c r="R33" s="1"/>
      <c r="S33" s="1"/>
      <c r="T33" s="1"/>
      <c r="U33" s="1"/>
      <c r="V33" s="1"/>
      <c r="W33" s="1"/>
      <c r="X33" s="1"/>
      <c r="Y33" s="1"/>
      <c r="Z33" s="1"/>
      <c r="AA33" s="1"/>
    </row>
    <row r="34" spans="2:27" ht="13.2" x14ac:dyDescent="0.25">
      <c r="B34" s="1"/>
      <c r="C34" s="1"/>
      <c r="D34" s="1"/>
      <c r="E34" s="1"/>
      <c r="F34" s="1"/>
      <c r="G34" s="1"/>
      <c r="H34" s="1"/>
      <c r="K34" s="1"/>
      <c r="L34" s="1"/>
      <c r="M34" s="1"/>
      <c r="N34" s="1"/>
      <c r="O34" s="1"/>
      <c r="P34" s="1"/>
      <c r="Q34" s="1"/>
      <c r="R34" s="1"/>
      <c r="S34" s="1"/>
      <c r="T34" s="1"/>
      <c r="U34" s="1"/>
      <c r="V34" s="1"/>
      <c r="W34" s="1"/>
      <c r="X34" s="1"/>
      <c r="Y34" s="1"/>
      <c r="Z34" s="1"/>
      <c r="AA34" s="1"/>
    </row>
    <row r="35" spans="2:27" ht="13.2" x14ac:dyDescent="0.25">
      <c r="B35" s="1"/>
      <c r="C35" s="1"/>
      <c r="D35" s="1"/>
      <c r="E35" s="1"/>
      <c r="F35" s="1"/>
      <c r="G35" s="1"/>
      <c r="H35" s="1"/>
      <c r="K35" s="1"/>
      <c r="L35" s="1"/>
      <c r="M35" s="1"/>
      <c r="N35" s="1"/>
      <c r="O35" s="1"/>
      <c r="P35" s="1"/>
      <c r="Q35" s="1"/>
      <c r="R35" s="1"/>
      <c r="S35" s="1"/>
      <c r="T35" s="1"/>
      <c r="U35" s="1"/>
      <c r="V35" s="1"/>
      <c r="W35" s="1"/>
      <c r="X35" s="1"/>
      <c r="Y35" s="1"/>
      <c r="Z35" s="1"/>
      <c r="AA35" s="1"/>
    </row>
    <row r="36" spans="2:27" ht="13.2" x14ac:dyDescent="0.25">
      <c r="B36" s="1"/>
      <c r="C36" s="1"/>
      <c r="D36" s="1"/>
      <c r="E36" s="1"/>
      <c r="F36" s="1"/>
      <c r="G36" s="1"/>
      <c r="H36" s="1"/>
      <c r="K36" s="1"/>
      <c r="L36" s="1"/>
      <c r="M36" s="1"/>
      <c r="N36" s="1"/>
      <c r="O36" s="1"/>
      <c r="P36" s="1"/>
      <c r="Q36" s="1"/>
      <c r="R36" s="1"/>
      <c r="S36" s="1"/>
      <c r="T36" s="1"/>
      <c r="U36" s="1"/>
      <c r="V36" s="1"/>
      <c r="W36" s="1"/>
      <c r="X36" s="1"/>
      <c r="Y36" s="1"/>
      <c r="Z36" s="1"/>
      <c r="AA36" s="1"/>
    </row>
    <row r="37" spans="2:27" ht="13.2" x14ac:dyDescent="0.25">
      <c r="B37" s="1"/>
      <c r="C37" s="1"/>
      <c r="D37" s="1"/>
      <c r="E37" s="1"/>
      <c r="F37" s="1"/>
      <c r="G37" s="1"/>
      <c r="H37" s="1"/>
      <c r="K37" s="1"/>
      <c r="L37" s="1"/>
      <c r="M37" s="1"/>
      <c r="N37" s="1"/>
      <c r="O37" s="1"/>
      <c r="P37" s="1"/>
      <c r="Q37" s="1"/>
      <c r="R37" s="1"/>
      <c r="S37" s="1"/>
      <c r="T37" s="1"/>
      <c r="U37" s="1"/>
      <c r="V37" s="1"/>
      <c r="W37" s="1"/>
      <c r="X37" s="1"/>
      <c r="Y37" s="1"/>
      <c r="Z37" s="1"/>
      <c r="AA37" s="1"/>
    </row>
    <row r="38" spans="2:27" ht="13.2" x14ac:dyDescent="0.25">
      <c r="B38" s="1"/>
      <c r="C38" s="1"/>
      <c r="D38" s="1"/>
      <c r="E38" s="1"/>
      <c r="F38" s="1"/>
      <c r="G38" s="1"/>
      <c r="H38" s="1"/>
      <c r="K38" s="1"/>
      <c r="L38" s="1"/>
      <c r="M38" s="1"/>
      <c r="N38" s="1"/>
      <c r="O38" s="1"/>
      <c r="P38" s="1"/>
      <c r="Q38" s="1"/>
      <c r="R38" s="1"/>
      <c r="S38" s="1"/>
      <c r="T38" s="1"/>
      <c r="U38" s="1"/>
      <c r="V38" s="1"/>
      <c r="W38" s="1"/>
      <c r="X38" s="1"/>
      <c r="Y38" s="1"/>
      <c r="Z38" s="1"/>
      <c r="AA38" s="1"/>
    </row>
    <row r="39" spans="2:27" ht="13.2" x14ac:dyDescent="0.25">
      <c r="B39" s="1"/>
      <c r="C39" s="1"/>
      <c r="D39" s="1"/>
      <c r="E39" s="1"/>
      <c r="F39" s="1"/>
      <c r="G39" s="1"/>
      <c r="H39" s="1"/>
      <c r="K39" s="1"/>
      <c r="L39" s="1"/>
      <c r="M39" s="1"/>
      <c r="N39" s="1"/>
      <c r="O39" s="1"/>
      <c r="P39" s="1"/>
      <c r="Q39" s="1"/>
      <c r="R39" s="1"/>
      <c r="S39" s="1"/>
      <c r="T39" s="1"/>
      <c r="U39" s="1"/>
      <c r="V39" s="1"/>
      <c r="W39" s="1"/>
      <c r="X39" s="1"/>
      <c r="Y39" s="1"/>
      <c r="Z39" s="1"/>
      <c r="AA39" s="1"/>
    </row>
    <row r="40" spans="2:27" ht="13.2" x14ac:dyDescent="0.25">
      <c r="B40" s="1"/>
      <c r="C40" s="1"/>
      <c r="D40" s="1"/>
      <c r="E40" s="1"/>
      <c r="F40" s="1"/>
      <c r="G40" s="1"/>
      <c r="H40" s="1"/>
      <c r="K40" s="1"/>
      <c r="L40" s="1"/>
      <c r="M40" s="1"/>
      <c r="N40" s="1"/>
      <c r="O40" s="1"/>
      <c r="P40" s="1"/>
      <c r="Q40" s="1"/>
      <c r="R40" s="1"/>
      <c r="S40" s="1"/>
      <c r="T40" s="1"/>
      <c r="U40" s="1"/>
      <c r="V40" s="1"/>
      <c r="W40" s="1"/>
      <c r="X40" s="1"/>
      <c r="Y40" s="1"/>
      <c r="Z40" s="1"/>
      <c r="AA40" s="1"/>
    </row>
    <row r="41" spans="2:27" ht="13.2" x14ac:dyDescent="0.25">
      <c r="B41" s="1"/>
      <c r="C41" s="1"/>
      <c r="D41" s="1"/>
      <c r="E41" s="1"/>
      <c r="F41" s="1"/>
      <c r="G41" s="1"/>
      <c r="H41" s="1"/>
      <c r="K41" s="1"/>
      <c r="L41" s="1"/>
      <c r="M41" s="1"/>
      <c r="N41" s="1"/>
      <c r="O41" s="1"/>
      <c r="P41" s="1"/>
      <c r="Q41" s="1"/>
      <c r="R41" s="1"/>
      <c r="S41" s="1"/>
      <c r="T41" s="1"/>
      <c r="U41" s="1"/>
      <c r="V41" s="1"/>
      <c r="W41" s="1"/>
      <c r="X41" s="1"/>
      <c r="Y41" s="1"/>
      <c r="Z41" s="1"/>
      <c r="AA41" s="1"/>
    </row>
    <row r="42" spans="2:27" ht="13.2" x14ac:dyDescent="0.25">
      <c r="B42" s="1"/>
      <c r="C42" s="1"/>
      <c r="D42" s="1"/>
      <c r="E42" s="1"/>
      <c r="F42" s="1"/>
      <c r="G42" s="1"/>
      <c r="H42" s="1"/>
      <c r="K42" s="1"/>
      <c r="L42" s="1"/>
      <c r="M42" s="1"/>
      <c r="N42" s="1"/>
      <c r="O42" s="1"/>
      <c r="P42" s="1"/>
      <c r="Q42" s="1"/>
      <c r="R42" s="1"/>
      <c r="S42" s="1"/>
      <c r="T42" s="1"/>
      <c r="U42" s="1"/>
      <c r="V42" s="1"/>
      <c r="W42" s="1"/>
      <c r="X42" s="1"/>
      <c r="Y42" s="1"/>
      <c r="Z42" s="1"/>
      <c r="AA42" s="1"/>
    </row>
    <row r="43" spans="2:27" ht="13.2" x14ac:dyDescent="0.25">
      <c r="B43" s="1"/>
      <c r="C43" s="1"/>
      <c r="D43" s="1"/>
      <c r="E43" s="1"/>
      <c r="F43" s="1"/>
      <c r="G43" s="1"/>
      <c r="H43" s="1"/>
      <c r="K43" s="1"/>
      <c r="L43" s="1"/>
      <c r="M43" s="1"/>
      <c r="N43" s="1"/>
      <c r="O43" s="1"/>
      <c r="P43" s="1"/>
      <c r="Q43" s="1"/>
      <c r="R43" s="1"/>
      <c r="S43" s="1"/>
      <c r="T43" s="1"/>
      <c r="U43" s="1"/>
      <c r="V43" s="1"/>
      <c r="W43" s="1"/>
      <c r="X43" s="1"/>
      <c r="Y43" s="1"/>
      <c r="Z43" s="1"/>
      <c r="AA43" s="1"/>
    </row>
    <row r="44" spans="2:27" ht="13.2" x14ac:dyDescent="0.25">
      <c r="B44" s="1"/>
      <c r="C44" s="1"/>
      <c r="D44" s="1"/>
      <c r="E44" s="1"/>
      <c r="F44" s="1"/>
      <c r="G44" s="1"/>
      <c r="H44" s="1"/>
      <c r="K44" s="1"/>
      <c r="L44" s="1"/>
      <c r="M44" s="1"/>
      <c r="N44" s="1"/>
      <c r="O44" s="1"/>
      <c r="P44" s="1"/>
      <c r="Q44" s="1"/>
      <c r="R44" s="1"/>
      <c r="S44" s="1"/>
      <c r="T44" s="1"/>
      <c r="U44" s="1"/>
      <c r="V44" s="1"/>
      <c r="W44" s="1"/>
      <c r="X44" s="1"/>
      <c r="Y44" s="1"/>
      <c r="Z44" s="1"/>
      <c r="AA44" s="1"/>
    </row>
    <row r="45" spans="2:27" ht="13.2" x14ac:dyDescent="0.25">
      <c r="B45" s="1"/>
      <c r="C45" s="1"/>
      <c r="D45" s="1"/>
      <c r="E45" s="1"/>
      <c r="F45" s="1"/>
      <c r="G45" s="1"/>
      <c r="H45" s="1"/>
      <c r="K45" s="1"/>
      <c r="L45" s="1"/>
      <c r="M45" s="1"/>
      <c r="N45" s="1"/>
      <c r="O45" s="1"/>
      <c r="P45" s="1"/>
      <c r="Q45" s="1"/>
      <c r="R45" s="1"/>
      <c r="S45" s="1"/>
      <c r="T45" s="1"/>
      <c r="U45" s="1"/>
      <c r="V45" s="1"/>
      <c r="W45" s="1"/>
      <c r="X45" s="1"/>
      <c r="Y45" s="1"/>
      <c r="Z45" s="1"/>
      <c r="AA45" s="1"/>
    </row>
    <row r="46" spans="2:27" ht="13.2" x14ac:dyDescent="0.25">
      <c r="B46" s="1"/>
      <c r="C46" s="1"/>
      <c r="D46" s="1"/>
      <c r="E46" s="1"/>
      <c r="F46" s="1"/>
      <c r="G46" s="1"/>
      <c r="H46" s="1"/>
      <c r="K46" s="1"/>
      <c r="L46" s="1"/>
      <c r="M46" s="1"/>
      <c r="N46" s="1"/>
      <c r="O46" s="1"/>
      <c r="P46" s="1"/>
      <c r="Q46" s="1"/>
      <c r="R46" s="1"/>
      <c r="S46" s="1"/>
      <c r="T46" s="1"/>
      <c r="U46" s="1"/>
      <c r="V46" s="1"/>
      <c r="W46" s="1"/>
      <c r="X46" s="1"/>
      <c r="Y46" s="1"/>
      <c r="Z46" s="1"/>
      <c r="AA46" s="1"/>
    </row>
    <row r="47" spans="2:27" ht="13.2" x14ac:dyDescent="0.25">
      <c r="B47" s="1"/>
      <c r="C47" s="1"/>
      <c r="D47" s="1"/>
      <c r="E47" s="1"/>
      <c r="F47" s="1"/>
      <c r="G47" s="1"/>
      <c r="H47" s="1"/>
      <c r="K47" s="1"/>
      <c r="L47" s="1"/>
      <c r="M47" s="1"/>
      <c r="N47" s="1"/>
      <c r="O47" s="1"/>
      <c r="P47" s="1"/>
      <c r="Q47" s="1"/>
      <c r="R47" s="1"/>
      <c r="S47" s="1"/>
      <c r="T47" s="1"/>
      <c r="U47" s="1"/>
      <c r="V47" s="1"/>
      <c r="W47" s="1"/>
      <c r="X47" s="1"/>
      <c r="Y47" s="1"/>
      <c r="Z47" s="1"/>
      <c r="AA47" s="1"/>
    </row>
    <row r="48" spans="2:27" ht="13.2" x14ac:dyDescent="0.25">
      <c r="B48" s="1"/>
      <c r="C48" s="1"/>
      <c r="D48" s="1"/>
      <c r="E48" s="1"/>
      <c r="F48" s="1"/>
      <c r="G48" s="1"/>
      <c r="H48" s="1"/>
      <c r="K48" s="1"/>
      <c r="L48" s="1"/>
      <c r="M48" s="1"/>
      <c r="N48" s="1"/>
      <c r="O48" s="1"/>
      <c r="P48" s="1"/>
      <c r="Q48" s="1"/>
      <c r="R48" s="1"/>
      <c r="S48" s="1"/>
      <c r="T48" s="1"/>
      <c r="U48" s="1"/>
      <c r="V48" s="1"/>
      <c r="W48" s="1"/>
      <c r="X48" s="1"/>
      <c r="Y48" s="1"/>
      <c r="Z48" s="1"/>
      <c r="AA48" s="1"/>
    </row>
    <row r="49" spans="2:27" ht="13.2" x14ac:dyDescent="0.25">
      <c r="B49" s="1"/>
      <c r="C49" s="1"/>
      <c r="D49" s="1"/>
      <c r="E49" s="1"/>
      <c r="F49" s="1"/>
      <c r="G49" s="1"/>
      <c r="H49" s="1"/>
      <c r="K49" s="1"/>
      <c r="L49" s="1"/>
      <c r="M49" s="1"/>
      <c r="N49" s="1"/>
      <c r="O49" s="1"/>
      <c r="P49" s="1"/>
      <c r="Q49" s="1"/>
      <c r="R49" s="1"/>
      <c r="S49" s="1"/>
      <c r="T49" s="1"/>
      <c r="U49" s="1"/>
      <c r="V49" s="1"/>
      <c r="W49" s="1"/>
      <c r="X49" s="1"/>
      <c r="Y49" s="1"/>
      <c r="Z49" s="1"/>
      <c r="AA49" s="1"/>
    </row>
    <row r="50" spans="2:27" ht="13.2" x14ac:dyDescent="0.25">
      <c r="B50" s="1"/>
      <c r="C50" s="1"/>
      <c r="D50" s="1"/>
      <c r="E50" s="1"/>
      <c r="F50" s="1"/>
      <c r="G50" s="1"/>
      <c r="H50" s="1"/>
      <c r="K50" s="1"/>
      <c r="L50" s="1"/>
      <c r="M50" s="1"/>
      <c r="N50" s="1"/>
      <c r="O50" s="1"/>
      <c r="P50" s="1"/>
      <c r="Q50" s="1"/>
      <c r="R50" s="1"/>
      <c r="S50" s="1"/>
      <c r="T50" s="1"/>
      <c r="U50" s="1"/>
      <c r="V50" s="1"/>
      <c r="W50" s="1"/>
      <c r="X50" s="1"/>
      <c r="Y50" s="1"/>
      <c r="Z50" s="1"/>
      <c r="AA50" s="1"/>
    </row>
    <row r="51" spans="2:27" ht="13.2" x14ac:dyDescent="0.25">
      <c r="B51" s="1"/>
      <c r="C51" s="1"/>
      <c r="D51" s="1"/>
      <c r="E51" s="1"/>
      <c r="F51" s="1"/>
      <c r="G51" s="1"/>
      <c r="H51" s="1"/>
      <c r="K51" s="1"/>
      <c r="L51" s="1"/>
      <c r="M51" s="1"/>
      <c r="N51" s="1"/>
      <c r="O51" s="1"/>
      <c r="P51" s="1"/>
      <c r="Q51" s="1"/>
      <c r="R51" s="1"/>
      <c r="S51" s="1"/>
      <c r="T51" s="1"/>
      <c r="U51" s="1"/>
      <c r="V51" s="1"/>
      <c r="W51" s="1"/>
      <c r="X51" s="1"/>
      <c r="Y51" s="1"/>
      <c r="Z51" s="1"/>
      <c r="AA51" s="1"/>
    </row>
    <row r="52" spans="2:27" ht="13.2" x14ac:dyDescent="0.25">
      <c r="B52" s="1"/>
      <c r="C52" s="1"/>
      <c r="D52" s="1"/>
      <c r="E52" s="1"/>
      <c r="F52" s="1"/>
      <c r="G52" s="1"/>
      <c r="H52" s="1"/>
      <c r="K52" s="1"/>
      <c r="L52" s="1"/>
      <c r="M52" s="1"/>
      <c r="N52" s="1"/>
      <c r="O52" s="1"/>
      <c r="P52" s="1"/>
      <c r="Q52" s="1"/>
      <c r="R52" s="1"/>
      <c r="S52" s="1"/>
      <c r="T52" s="1"/>
      <c r="U52" s="1"/>
      <c r="V52" s="1"/>
      <c r="W52" s="1"/>
      <c r="X52" s="1"/>
      <c r="Y52" s="1"/>
      <c r="Z52" s="1"/>
      <c r="AA52" s="1"/>
    </row>
    <row r="53" spans="2:27" ht="13.2" x14ac:dyDescent="0.25">
      <c r="B53" s="1"/>
      <c r="C53" s="1"/>
      <c r="D53" s="1"/>
      <c r="E53" s="1"/>
      <c r="F53" s="1"/>
      <c r="G53" s="1"/>
      <c r="H53" s="1"/>
      <c r="K53" s="1"/>
      <c r="L53" s="1"/>
      <c r="M53" s="1"/>
      <c r="N53" s="1"/>
      <c r="O53" s="1"/>
      <c r="P53" s="1"/>
      <c r="Q53" s="1"/>
      <c r="R53" s="1"/>
      <c r="S53" s="1"/>
      <c r="T53" s="1"/>
      <c r="U53" s="1"/>
      <c r="V53" s="1"/>
      <c r="W53" s="1"/>
      <c r="X53" s="1"/>
      <c r="Y53" s="1"/>
      <c r="Z53" s="1"/>
      <c r="AA53" s="1"/>
    </row>
    <row r="54" spans="2:27" ht="13.2" x14ac:dyDescent="0.25">
      <c r="B54" s="1"/>
      <c r="C54" s="1"/>
      <c r="D54" s="1"/>
      <c r="E54" s="1"/>
      <c r="F54" s="1"/>
      <c r="G54" s="1"/>
      <c r="H54" s="1"/>
      <c r="K54" s="1"/>
      <c r="L54" s="1"/>
      <c r="M54" s="1"/>
      <c r="N54" s="1"/>
      <c r="O54" s="1"/>
      <c r="P54" s="1"/>
      <c r="Q54" s="1"/>
      <c r="R54" s="1"/>
      <c r="S54" s="1"/>
      <c r="T54" s="1"/>
      <c r="U54" s="1"/>
      <c r="V54" s="1"/>
      <c r="W54" s="1"/>
      <c r="X54" s="1"/>
      <c r="Y54" s="1"/>
      <c r="Z54" s="1"/>
      <c r="AA54" s="1"/>
    </row>
    <row r="55" spans="2:27" ht="13.2" x14ac:dyDescent="0.25">
      <c r="B55" s="1"/>
      <c r="C55" s="1"/>
      <c r="D55" s="1"/>
      <c r="E55" s="1"/>
      <c r="F55" s="1"/>
      <c r="G55" s="1"/>
      <c r="H55" s="1"/>
      <c r="K55" s="1"/>
      <c r="L55" s="1"/>
      <c r="M55" s="1"/>
      <c r="N55" s="1"/>
      <c r="O55" s="1"/>
      <c r="P55" s="1"/>
      <c r="Q55" s="1"/>
      <c r="R55" s="1"/>
      <c r="S55" s="1"/>
      <c r="T55" s="1"/>
      <c r="U55" s="1"/>
      <c r="V55" s="1"/>
      <c r="W55" s="1"/>
      <c r="X55" s="1"/>
      <c r="Y55" s="1"/>
      <c r="Z55" s="1"/>
      <c r="AA55" s="1"/>
    </row>
    <row r="56" spans="2:27" ht="13.2" x14ac:dyDescent="0.25">
      <c r="B56" s="1"/>
      <c r="C56" s="1"/>
      <c r="D56" s="1"/>
      <c r="E56" s="1"/>
      <c r="F56" s="1"/>
      <c r="G56" s="1"/>
      <c r="H56" s="1"/>
      <c r="K56" s="1"/>
      <c r="L56" s="1"/>
      <c r="M56" s="1"/>
      <c r="N56" s="1"/>
      <c r="O56" s="1"/>
      <c r="P56" s="1"/>
      <c r="Q56" s="1"/>
      <c r="R56" s="1"/>
      <c r="S56" s="1"/>
      <c r="T56" s="1"/>
      <c r="U56" s="1"/>
      <c r="V56" s="1"/>
      <c r="W56" s="1"/>
      <c r="X56" s="1"/>
      <c r="Y56" s="1"/>
      <c r="Z56" s="1"/>
      <c r="AA56" s="1"/>
    </row>
    <row r="57" spans="2:27" ht="13.2" x14ac:dyDescent="0.25">
      <c r="B57" s="1"/>
      <c r="C57" s="1"/>
      <c r="D57" s="1"/>
      <c r="E57" s="1"/>
      <c r="F57" s="1"/>
      <c r="G57" s="1"/>
      <c r="H57" s="1"/>
      <c r="K57" s="1"/>
      <c r="L57" s="1"/>
      <c r="M57" s="1"/>
      <c r="N57" s="1"/>
      <c r="O57" s="1"/>
      <c r="P57" s="1"/>
      <c r="Q57" s="1"/>
      <c r="R57" s="1"/>
      <c r="S57" s="1"/>
      <c r="T57" s="1"/>
      <c r="U57" s="1"/>
      <c r="V57" s="1"/>
      <c r="W57" s="1"/>
      <c r="X57" s="1"/>
      <c r="Y57" s="1"/>
      <c r="Z57" s="1"/>
      <c r="AA57" s="1"/>
    </row>
    <row r="58" spans="2:27" ht="13.2" x14ac:dyDescent="0.25">
      <c r="B58" s="1"/>
      <c r="C58" s="1"/>
      <c r="D58" s="1"/>
      <c r="E58" s="1"/>
      <c r="F58" s="1"/>
      <c r="G58" s="1"/>
      <c r="H58" s="1"/>
      <c r="K58" s="1"/>
      <c r="L58" s="1"/>
      <c r="M58" s="1"/>
      <c r="N58" s="1"/>
      <c r="O58" s="1"/>
      <c r="P58" s="1"/>
      <c r="Q58" s="1"/>
      <c r="R58" s="1"/>
      <c r="S58" s="1"/>
      <c r="T58" s="1"/>
      <c r="U58" s="1"/>
      <c r="V58" s="1"/>
      <c r="W58" s="1"/>
      <c r="X58" s="1"/>
      <c r="Y58" s="1"/>
      <c r="Z58" s="1"/>
      <c r="AA58" s="1"/>
    </row>
    <row r="59" spans="2:27" ht="13.2" x14ac:dyDescent="0.25">
      <c r="B59" s="1"/>
      <c r="C59" s="1"/>
      <c r="D59" s="1"/>
      <c r="E59" s="1"/>
      <c r="F59" s="1"/>
      <c r="G59" s="1"/>
      <c r="H59" s="1"/>
      <c r="K59" s="1"/>
      <c r="L59" s="1"/>
      <c r="M59" s="1"/>
      <c r="N59" s="1"/>
      <c r="O59" s="1"/>
      <c r="P59" s="1"/>
      <c r="Q59" s="1"/>
      <c r="R59" s="1"/>
      <c r="S59" s="1"/>
      <c r="T59" s="1"/>
      <c r="U59" s="1"/>
      <c r="V59" s="1"/>
      <c r="W59" s="1"/>
      <c r="X59" s="1"/>
      <c r="Y59" s="1"/>
      <c r="Z59" s="1"/>
      <c r="AA59" s="1"/>
    </row>
    <row r="60" spans="2:27" ht="13.2" x14ac:dyDescent="0.25">
      <c r="B60" s="1"/>
      <c r="C60" s="1"/>
      <c r="D60" s="1"/>
      <c r="E60" s="1"/>
      <c r="F60" s="1"/>
      <c r="G60" s="1"/>
      <c r="H60" s="1"/>
      <c r="K60" s="1"/>
      <c r="L60" s="1"/>
      <c r="M60" s="1"/>
      <c r="N60" s="1"/>
      <c r="O60" s="1"/>
      <c r="P60" s="1"/>
      <c r="Q60" s="1"/>
      <c r="R60" s="1"/>
      <c r="S60" s="1"/>
      <c r="T60" s="1"/>
      <c r="U60" s="1"/>
      <c r="V60" s="1"/>
      <c r="W60" s="1"/>
      <c r="X60" s="1"/>
      <c r="Y60" s="1"/>
      <c r="Z60" s="1"/>
      <c r="AA60" s="1"/>
    </row>
    <row r="61" spans="2:27" ht="13.2" x14ac:dyDescent="0.25">
      <c r="B61" s="1"/>
      <c r="C61" s="1"/>
      <c r="D61" s="1"/>
      <c r="E61" s="1"/>
      <c r="F61" s="1"/>
      <c r="G61" s="1"/>
      <c r="H61" s="1"/>
      <c r="K61" s="1"/>
      <c r="L61" s="1"/>
      <c r="M61" s="1"/>
      <c r="N61" s="1"/>
      <c r="O61" s="1"/>
      <c r="P61" s="1"/>
      <c r="Q61" s="1"/>
      <c r="R61" s="1"/>
      <c r="S61" s="1"/>
      <c r="T61" s="1"/>
      <c r="U61" s="1"/>
      <c r="V61" s="1"/>
      <c r="W61" s="1"/>
      <c r="X61" s="1"/>
      <c r="Y61" s="1"/>
      <c r="Z61" s="1"/>
      <c r="AA61" s="1"/>
    </row>
    <row r="62" spans="2:27" ht="13.2" x14ac:dyDescent="0.25">
      <c r="B62" s="1"/>
      <c r="C62" s="1"/>
      <c r="D62" s="1"/>
      <c r="E62" s="1"/>
      <c r="F62" s="1"/>
      <c r="G62" s="1"/>
      <c r="H62" s="1"/>
      <c r="K62" s="1"/>
      <c r="L62" s="1"/>
      <c r="M62" s="1"/>
      <c r="N62" s="1"/>
      <c r="O62" s="1"/>
      <c r="P62" s="1"/>
      <c r="Q62" s="1"/>
      <c r="R62" s="1"/>
      <c r="S62" s="1"/>
      <c r="T62" s="1"/>
      <c r="U62" s="1"/>
      <c r="V62" s="1"/>
      <c r="W62" s="1"/>
      <c r="X62" s="1"/>
      <c r="Y62" s="1"/>
      <c r="Z62" s="1"/>
      <c r="AA62" s="1"/>
    </row>
    <row r="63" spans="2:27" ht="13.2" x14ac:dyDescent="0.25">
      <c r="B63" s="1"/>
      <c r="C63" s="1"/>
      <c r="D63" s="1"/>
      <c r="E63" s="1"/>
      <c r="F63" s="1"/>
      <c r="G63" s="1"/>
      <c r="H63" s="1"/>
      <c r="K63" s="1"/>
      <c r="L63" s="1"/>
      <c r="M63" s="1"/>
      <c r="N63" s="1"/>
      <c r="O63" s="1"/>
      <c r="P63" s="1"/>
      <c r="Q63" s="1"/>
      <c r="R63" s="1"/>
      <c r="S63" s="1"/>
      <c r="T63" s="1"/>
      <c r="U63" s="1"/>
      <c r="V63" s="1"/>
      <c r="W63" s="1"/>
      <c r="X63" s="1"/>
      <c r="Y63" s="1"/>
      <c r="Z63" s="1"/>
      <c r="AA63" s="1"/>
    </row>
    <row r="64" spans="2:27" ht="13.2" x14ac:dyDescent="0.25">
      <c r="B64" s="1"/>
      <c r="C64" s="1"/>
      <c r="D64" s="1"/>
      <c r="E64" s="1"/>
      <c r="F64" s="1"/>
      <c r="G64" s="1"/>
      <c r="H64" s="1"/>
      <c r="K64" s="1"/>
      <c r="L64" s="1"/>
      <c r="M64" s="1"/>
      <c r="N64" s="1"/>
      <c r="O64" s="1"/>
      <c r="P64" s="1"/>
      <c r="Q64" s="1"/>
      <c r="R64" s="1"/>
      <c r="S64" s="1"/>
      <c r="T64" s="1"/>
      <c r="U64" s="1"/>
      <c r="V64" s="1"/>
      <c r="W64" s="1"/>
      <c r="X64" s="1"/>
      <c r="Y64" s="1"/>
      <c r="Z64" s="1"/>
      <c r="AA64" s="1"/>
    </row>
    <row r="65" spans="2:27" ht="13.2" x14ac:dyDescent="0.25">
      <c r="B65" s="1"/>
      <c r="C65" s="1"/>
      <c r="D65" s="1"/>
      <c r="E65" s="1"/>
      <c r="F65" s="1"/>
      <c r="G65" s="1"/>
      <c r="H65" s="1"/>
      <c r="K65" s="1"/>
      <c r="L65" s="1"/>
      <c r="M65" s="1"/>
      <c r="N65" s="1"/>
      <c r="O65" s="1"/>
      <c r="P65" s="1"/>
      <c r="Q65" s="1"/>
      <c r="R65" s="1"/>
      <c r="S65" s="1"/>
      <c r="T65" s="1"/>
      <c r="U65" s="1"/>
      <c r="V65" s="1"/>
      <c r="W65" s="1"/>
      <c r="X65" s="1"/>
      <c r="Y65" s="1"/>
      <c r="Z65" s="1"/>
      <c r="AA65" s="1"/>
    </row>
    <row r="66" spans="2:27" ht="13.2" x14ac:dyDescent="0.25">
      <c r="B66" s="1"/>
      <c r="C66" s="1"/>
      <c r="D66" s="1"/>
      <c r="E66" s="1"/>
      <c r="F66" s="1"/>
      <c r="G66" s="1"/>
      <c r="H66" s="1"/>
      <c r="K66" s="1"/>
      <c r="L66" s="1"/>
      <c r="M66" s="1"/>
      <c r="N66" s="1"/>
      <c r="O66" s="1"/>
      <c r="P66" s="1"/>
      <c r="Q66" s="1"/>
      <c r="R66" s="1"/>
      <c r="S66" s="1"/>
      <c r="T66" s="1"/>
      <c r="U66" s="1"/>
      <c r="V66" s="1"/>
      <c r="W66" s="1"/>
      <c r="X66" s="1"/>
      <c r="Y66" s="1"/>
      <c r="Z66" s="1"/>
      <c r="AA66" s="1"/>
    </row>
    <row r="67" spans="2:27" ht="13.2" x14ac:dyDescent="0.25">
      <c r="B67" s="1"/>
      <c r="C67" s="1"/>
      <c r="D67" s="1"/>
      <c r="E67" s="1"/>
      <c r="F67" s="1"/>
      <c r="G67" s="1"/>
      <c r="H67" s="1"/>
      <c r="K67" s="1"/>
      <c r="L67" s="1"/>
      <c r="M67" s="1"/>
      <c r="N67" s="1"/>
      <c r="O67" s="1"/>
      <c r="P67" s="1"/>
      <c r="Q67" s="1"/>
      <c r="R67" s="1"/>
      <c r="S67" s="1"/>
      <c r="T67" s="1"/>
      <c r="U67" s="1"/>
      <c r="V67" s="1"/>
      <c r="W67" s="1"/>
      <c r="X67" s="1"/>
      <c r="Y67" s="1"/>
      <c r="Z67" s="1"/>
      <c r="AA67" s="1"/>
    </row>
    <row r="68" spans="2:27" ht="13.2" x14ac:dyDescent="0.25">
      <c r="B68" s="1"/>
      <c r="C68" s="1"/>
      <c r="D68" s="1"/>
      <c r="E68" s="1"/>
      <c r="F68" s="1"/>
      <c r="G68" s="1"/>
      <c r="H68" s="1"/>
      <c r="K68" s="1"/>
      <c r="L68" s="1"/>
      <c r="M68" s="1"/>
      <c r="N68" s="1"/>
      <c r="O68" s="1"/>
      <c r="P68" s="1"/>
      <c r="Q68" s="1"/>
      <c r="R68" s="1"/>
      <c r="S68" s="1"/>
      <c r="T68" s="1"/>
      <c r="U68" s="1"/>
      <c r="V68" s="1"/>
      <c r="W68" s="1"/>
      <c r="X68" s="1"/>
      <c r="Y68" s="1"/>
      <c r="Z68" s="1"/>
      <c r="AA68" s="1"/>
    </row>
    <row r="69" spans="2:27" ht="13.2" x14ac:dyDescent="0.25">
      <c r="B69" s="1"/>
      <c r="C69" s="1"/>
      <c r="D69" s="1"/>
      <c r="E69" s="1"/>
      <c r="F69" s="1"/>
      <c r="G69" s="1"/>
      <c r="H69" s="1"/>
      <c r="K69" s="1"/>
      <c r="L69" s="1"/>
      <c r="M69" s="1"/>
      <c r="N69" s="1"/>
      <c r="O69" s="1"/>
      <c r="P69" s="1"/>
      <c r="Q69" s="1"/>
      <c r="R69" s="1"/>
      <c r="S69" s="1"/>
      <c r="T69" s="1"/>
      <c r="U69" s="1"/>
      <c r="V69" s="1"/>
      <c r="W69" s="1"/>
      <c r="X69" s="1"/>
      <c r="Y69" s="1"/>
      <c r="Z69" s="1"/>
      <c r="AA69" s="1"/>
    </row>
    <row r="70" spans="2:27" ht="13.2" x14ac:dyDescent="0.25">
      <c r="B70" s="1"/>
      <c r="C70" s="1"/>
      <c r="D70" s="1"/>
      <c r="E70" s="1"/>
      <c r="F70" s="1"/>
      <c r="G70" s="1"/>
      <c r="H70" s="1"/>
      <c r="K70" s="1"/>
      <c r="L70" s="1"/>
      <c r="M70" s="1"/>
      <c r="N70" s="1"/>
      <c r="O70" s="1"/>
      <c r="P70" s="1"/>
      <c r="Q70" s="1"/>
      <c r="R70" s="1"/>
      <c r="S70" s="1"/>
      <c r="T70" s="1"/>
      <c r="U70" s="1"/>
      <c r="V70" s="1"/>
      <c r="W70" s="1"/>
      <c r="X70" s="1"/>
      <c r="Y70" s="1"/>
      <c r="Z70" s="1"/>
      <c r="AA70" s="1"/>
    </row>
    <row r="71" spans="2:27" ht="13.2" x14ac:dyDescent="0.25">
      <c r="B71" s="1"/>
      <c r="C71" s="1"/>
      <c r="D71" s="1"/>
      <c r="E71" s="1"/>
      <c r="F71" s="1"/>
      <c r="G71" s="1"/>
      <c r="H71" s="1"/>
      <c r="K71" s="1"/>
      <c r="L71" s="1"/>
      <c r="M71" s="1"/>
      <c r="N71" s="1"/>
      <c r="O71" s="1"/>
      <c r="P71" s="1"/>
      <c r="Q71" s="1"/>
      <c r="R71" s="1"/>
      <c r="S71" s="1"/>
      <c r="T71" s="1"/>
      <c r="U71" s="1"/>
      <c r="V71" s="1"/>
      <c r="W71" s="1"/>
      <c r="X71" s="1"/>
      <c r="Y71" s="1"/>
      <c r="Z71" s="1"/>
      <c r="AA71" s="1"/>
    </row>
    <row r="72" spans="2:27" ht="13.2" x14ac:dyDescent="0.25">
      <c r="B72" s="1"/>
      <c r="C72" s="1"/>
      <c r="D72" s="1"/>
      <c r="E72" s="1"/>
      <c r="F72" s="1"/>
      <c r="G72" s="1"/>
      <c r="H72" s="1"/>
      <c r="K72" s="1"/>
      <c r="L72" s="1"/>
      <c r="M72" s="1"/>
      <c r="N72" s="1"/>
      <c r="O72" s="1"/>
      <c r="P72" s="1"/>
      <c r="Q72" s="1"/>
      <c r="R72" s="1"/>
      <c r="S72" s="1"/>
      <c r="T72" s="1"/>
      <c r="U72" s="1"/>
      <c r="V72" s="1"/>
      <c r="W72" s="1"/>
      <c r="X72" s="1"/>
      <c r="Y72" s="1"/>
      <c r="Z72" s="1"/>
      <c r="AA72" s="1"/>
    </row>
    <row r="73" spans="2:27" ht="13.2" x14ac:dyDescent="0.25">
      <c r="B73" s="1"/>
      <c r="C73" s="1"/>
      <c r="D73" s="1"/>
      <c r="E73" s="1"/>
      <c r="F73" s="1"/>
      <c r="G73" s="1"/>
      <c r="H73" s="1"/>
      <c r="K73" s="1"/>
      <c r="L73" s="1"/>
      <c r="M73" s="1"/>
      <c r="N73" s="1"/>
      <c r="O73" s="1"/>
      <c r="P73" s="1"/>
      <c r="Q73" s="1"/>
      <c r="R73" s="1"/>
      <c r="S73" s="1"/>
      <c r="T73" s="1"/>
      <c r="U73" s="1"/>
      <c r="V73" s="1"/>
      <c r="W73" s="1"/>
      <c r="X73" s="1"/>
      <c r="Y73" s="1"/>
      <c r="Z73" s="1"/>
      <c r="AA73" s="1"/>
    </row>
    <row r="74" spans="2:27" ht="13.2" x14ac:dyDescent="0.25">
      <c r="B74" s="1"/>
      <c r="C74" s="1"/>
      <c r="D74" s="1"/>
      <c r="E74" s="1"/>
      <c r="F74" s="1"/>
      <c r="G74" s="1"/>
      <c r="H74" s="1"/>
      <c r="K74" s="1"/>
      <c r="L74" s="1"/>
      <c r="M74" s="1"/>
      <c r="N74" s="1"/>
      <c r="O74" s="1"/>
      <c r="P74" s="1"/>
      <c r="Q74" s="1"/>
      <c r="R74" s="1"/>
      <c r="S74" s="1"/>
      <c r="T74" s="1"/>
      <c r="U74" s="1"/>
      <c r="V74" s="1"/>
      <c r="W74" s="1"/>
      <c r="X74" s="1"/>
      <c r="Y74" s="1"/>
      <c r="Z74" s="1"/>
      <c r="AA74" s="1"/>
    </row>
    <row r="75" spans="2:27" ht="13.2" x14ac:dyDescent="0.25">
      <c r="B75" s="1"/>
      <c r="C75" s="1"/>
      <c r="D75" s="1"/>
      <c r="E75" s="1"/>
      <c r="F75" s="1"/>
      <c r="G75" s="1"/>
      <c r="H75" s="1"/>
      <c r="K75" s="1"/>
      <c r="L75" s="1"/>
      <c r="M75" s="1"/>
      <c r="N75" s="1"/>
      <c r="O75" s="1"/>
      <c r="P75" s="1"/>
      <c r="Q75" s="1"/>
      <c r="R75" s="1"/>
      <c r="S75" s="1"/>
      <c r="T75" s="1"/>
      <c r="U75" s="1"/>
      <c r="V75" s="1"/>
      <c r="W75" s="1"/>
      <c r="X75" s="1"/>
      <c r="Y75" s="1"/>
      <c r="Z75" s="1"/>
      <c r="AA75" s="1"/>
    </row>
    <row r="76" spans="2:27" ht="13.2" x14ac:dyDescent="0.25">
      <c r="B76" s="1"/>
      <c r="C76" s="1"/>
      <c r="D76" s="1"/>
      <c r="E76" s="1"/>
      <c r="F76" s="1"/>
      <c r="G76" s="1"/>
      <c r="H76" s="1"/>
      <c r="K76" s="1"/>
      <c r="L76" s="1"/>
      <c r="M76" s="1"/>
      <c r="N76" s="1"/>
      <c r="O76" s="1"/>
      <c r="P76" s="1"/>
      <c r="Q76" s="1"/>
      <c r="R76" s="1"/>
      <c r="S76" s="1"/>
      <c r="T76" s="1"/>
      <c r="U76" s="1"/>
      <c r="V76" s="1"/>
      <c r="W76" s="1"/>
      <c r="X76" s="1"/>
      <c r="Y76" s="1"/>
      <c r="Z76" s="1"/>
      <c r="AA76" s="1"/>
    </row>
    <row r="77" spans="2:27" ht="13.2" x14ac:dyDescent="0.25">
      <c r="B77" s="1"/>
      <c r="C77" s="1"/>
      <c r="D77" s="1"/>
      <c r="E77" s="1"/>
      <c r="F77" s="1"/>
      <c r="G77" s="1"/>
      <c r="H77" s="1"/>
      <c r="K77" s="1"/>
      <c r="L77" s="1"/>
      <c r="M77" s="1"/>
      <c r="N77" s="1"/>
      <c r="O77" s="1"/>
      <c r="P77" s="1"/>
      <c r="Q77" s="1"/>
      <c r="R77" s="1"/>
      <c r="S77" s="1"/>
      <c r="T77" s="1"/>
      <c r="U77" s="1"/>
      <c r="V77" s="1"/>
      <c r="W77" s="1"/>
      <c r="X77" s="1"/>
      <c r="Y77" s="1"/>
      <c r="Z77" s="1"/>
      <c r="AA77" s="1"/>
    </row>
    <row r="78" spans="2:27" ht="13.2" x14ac:dyDescent="0.25">
      <c r="B78" s="1"/>
      <c r="C78" s="1"/>
      <c r="D78" s="1"/>
      <c r="E78" s="1"/>
      <c r="F78" s="1"/>
      <c r="G78" s="1"/>
      <c r="H78" s="1"/>
      <c r="K78" s="1"/>
      <c r="L78" s="1"/>
      <c r="M78" s="1"/>
      <c r="N78" s="1"/>
      <c r="O78" s="1"/>
      <c r="P78" s="1"/>
      <c r="Q78" s="1"/>
      <c r="R78" s="1"/>
      <c r="S78" s="1"/>
      <c r="T78" s="1"/>
      <c r="U78" s="1"/>
      <c r="V78" s="1"/>
      <c r="W78" s="1"/>
      <c r="X78" s="1"/>
      <c r="Y78" s="1"/>
      <c r="Z78" s="1"/>
      <c r="AA78" s="1"/>
    </row>
    <row r="79" spans="2:27" ht="13.2" x14ac:dyDescent="0.25">
      <c r="B79" s="1"/>
      <c r="C79" s="1"/>
      <c r="D79" s="1"/>
      <c r="E79" s="1"/>
      <c r="F79" s="1"/>
      <c r="G79" s="1"/>
      <c r="H79" s="1"/>
      <c r="K79" s="1"/>
      <c r="L79" s="1"/>
      <c r="M79" s="1"/>
      <c r="N79" s="1"/>
      <c r="O79" s="1"/>
      <c r="P79" s="1"/>
      <c r="Q79" s="1"/>
      <c r="R79" s="1"/>
      <c r="S79" s="1"/>
      <c r="T79" s="1"/>
      <c r="U79" s="1"/>
      <c r="V79" s="1"/>
      <c r="W79" s="1"/>
      <c r="X79" s="1"/>
      <c r="Y79" s="1"/>
      <c r="Z79" s="1"/>
      <c r="AA79" s="1"/>
    </row>
    <row r="80" spans="2:27" ht="13.2" x14ac:dyDescent="0.25">
      <c r="B80" s="1"/>
      <c r="C80" s="1"/>
      <c r="D80" s="1"/>
      <c r="E80" s="1"/>
      <c r="F80" s="1"/>
      <c r="G80" s="1"/>
      <c r="H80" s="1"/>
      <c r="K80" s="1"/>
      <c r="L80" s="1"/>
      <c r="M80" s="1"/>
      <c r="N80" s="1"/>
      <c r="O80" s="1"/>
      <c r="P80" s="1"/>
      <c r="Q80" s="1"/>
      <c r="R80" s="1"/>
      <c r="S80" s="1"/>
      <c r="T80" s="1"/>
      <c r="U80" s="1"/>
      <c r="V80" s="1"/>
      <c r="W80" s="1"/>
      <c r="X80" s="1"/>
      <c r="Y80" s="1"/>
      <c r="Z80" s="1"/>
      <c r="AA80" s="1"/>
    </row>
    <row r="81" spans="2:27" ht="13.2" x14ac:dyDescent="0.25">
      <c r="B81" s="1"/>
      <c r="C81" s="1"/>
      <c r="D81" s="1"/>
      <c r="E81" s="1"/>
      <c r="F81" s="1"/>
      <c r="G81" s="1"/>
      <c r="H81" s="1"/>
      <c r="K81" s="1"/>
      <c r="L81" s="1"/>
      <c r="M81" s="1"/>
      <c r="N81" s="1"/>
      <c r="O81" s="1"/>
      <c r="P81" s="1"/>
      <c r="Q81" s="1"/>
      <c r="R81" s="1"/>
      <c r="S81" s="1"/>
      <c r="T81" s="1"/>
      <c r="U81" s="1"/>
      <c r="V81" s="1"/>
      <c r="W81" s="1"/>
      <c r="X81" s="1"/>
      <c r="Y81" s="1"/>
      <c r="Z81" s="1"/>
      <c r="AA81" s="1"/>
    </row>
    <row r="82" spans="2:27" ht="13.2" x14ac:dyDescent="0.25">
      <c r="B82" s="1"/>
      <c r="C82" s="1"/>
      <c r="D82" s="1"/>
      <c r="E82" s="1"/>
      <c r="F82" s="1"/>
      <c r="G82" s="1"/>
      <c r="H82" s="1"/>
      <c r="K82" s="1"/>
      <c r="L82" s="1"/>
      <c r="M82" s="1"/>
      <c r="N82" s="1"/>
      <c r="O82" s="1"/>
      <c r="P82" s="1"/>
      <c r="Q82" s="1"/>
      <c r="R82" s="1"/>
      <c r="S82" s="1"/>
      <c r="T82" s="1"/>
      <c r="U82" s="1"/>
      <c r="V82" s="1"/>
      <c r="W82" s="1"/>
      <c r="X82" s="1"/>
      <c r="Y82" s="1"/>
      <c r="Z82" s="1"/>
      <c r="AA82" s="1"/>
    </row>
    <row r="83" spans="2:27" ht="13.2" x14ac:dyDescent="0.25">
      <c r="B83" s="1"/>
      <c r="C83" s="1"/>
      <c r="D83" s="1"/>
      <c r="E83" s="1"/>
      <c r="F83" s="1"/>
      <c r="G83" s="1"/>
      <c r="H83" s="1"/>
      <c r="K83" s="1"/>
      <c r="L83" s="1"/>
      <c r="M83" s="1"/>
      <c r="N83" s="1"/>
      <c r="O83" s="1"/>
      <c r="P83" s="1"/>
      <c r="Q83" s="1"/>
      <c r="R83" s="1"/>
      <c r="S83" s="1"/>
      <c r="T83" s="1"/>
      <c r="U83" s="1"/>
      <c r="V83" s="1"/>
      <c r="W83" s="1"/>
      <c r="X83" s="1"/>
      <c r="Y83" s="1"/>
      <c r="Z83" s="1"/>
      <c r="AA83" s="1"/>
    </row>
    <row r="84" spans="2:27" ht="13.2" x14ac:dyDescent="0.25">
      <c r="B84" s="1"/>
      <c r="C84" s="1"/>
      <c r="D84" s="1"/>
      <c r="E84" s="1"/>
      <c r="F84" s="1"/>
      <c r="G84" s="1"/>
      <c r="H84" s="1"/>
      <c r="K84" s="1"/>
      <c r="L84" s="1"/>
      <c r="M84" s="1"/>
      <c r="N84" s="1"/>
      <c r="O84" s="1"/>
      <c r="P84" s="1"/>
      <c r="Q84" s="1"/>
      <c r="R84" s="1"/>
      <c r="S84" s="1"/>
      <c r="T84" s="1"/>
      <c r="U84" s="1"/>
      <c r="V84" s="1"/>
      <c r="W84" s="1"/>
      <c r="X84" s="1"/>
      <c r="Y84" s="1"/>
      <c r="Z84" s="1"/>
      <c r="AA84" s="1"/>
    </row>
    <row r="85" spans="2:27" ht="13.2" x14ac:dyDescent="0.25">
      <c r="B85" s="1"/>
      <c r="C85" s="1"/>
      <c r="D85" s="1"/>
      <c r="E85" s="1"/>
      <c r="F85" s="1"/>
      <c r="G85" s="1"/>
      <c r="H85" s="1"/>
      <c r="K85" s="1"/>
      <c r="L85" s="1"/>
      <c r="M85" s="1"/>
      <c r="N85" s="1"/>
      <c r="O85" s="1"/>
      <c r="P85" s="1"/>
      <c r="Q85" s="1"/>
      <c r="R85" s="1"/>
      <c r="S85" s="1"/>
      <c r="T85" s="1"/>
      <c r="U85" s="1"/>
      <c r="V85" s="1"/>
      <c r="W85" s="1"/>
      <c r="X85" s="1"/>
      <c r="Y85" s="1"/>
      <c r="Z85" s="1"/>
      <c r="AA85" s="1"/>
    </row>
    <row r="86" spans="2:27" ht="13.2" x14ac:dyDescent="0.25">
      <c r="B86" s="1"/>
      <c r="C86" s="1"/>
      <c r="D86" s="1"/>
      <c r="E86" s="1"/>
      <c r="F86" s="1"/>
      <c r="G86" s="1"/>
      <c r="H86" s="1"/>
      <c r="K86" s="1"/>
      <c r="L86" s="1"/>
      <c r="M86" s="1"/>
      <c r="N86" s="1"/>
      <c r="O86" s="1"/>
      <c r="P86" s="1"/>
      <c r="Q86" s="1"/>
      <c r="R86" s="1"/>
      <c r="S86" s="1"/>
      <c r="T86" s="1"/>
      <c r="U86" s="1"/>
      <c r="V86" s="1"/>
      <c r="W86" s="1"/>
      <c r="X86" s="1"/>
      <c r="Y86" s="1"/>
      <c r="Z86" s="1"/>
      <c r="AA86" s="1"/>
    </row>
    <row r="87" spans="2:27" ht="13.2" x14ac:dyDescent="0.25">
      <c r="B87" s="1"/>
      <c r="C87" s="1"/>
      <c r="D87" s="1"/>
      <c r="E87" s="1"/>
      <c r="F87" s="1"/>
      <c r="G87" s="1"/>
      <c r="H87" s="1"/>
      <c r="K87" s="1"/>
      <c r="L87" s="1"/>
      <c r="M87" s="1"/>
      <c r="N87" s="1"/>
      <c r="O87" s="1"/>
      <c r="P87" s="1"/>
      <c r="Q87" s="1"/>
      <c r="R87" s="1"/>
      <c r="S87" s="1"/>
      <c r="T87" s="1"/>
      <c r="U87" s="1"/>
      <c r="V87" s="1"/>
      <c r="W87" s="1"/>
      <c r="X87" s="1"/>
      <c r="Y87" s="1"/>
      <c r="Z87" s="1"/>
      <c r="AA87" s="1"/>
    </row>
    <row r="88" spans="2:27" ht="13.2" x14ac:dyDescent="0.25">
      <c r="B88" s="1"/>
      <c r="C88" s="1"/>
      <c r="D88" s="1"/>
      <c r="E88" s="1"/>
      <c r="F88" s="1"/>
      <c r="G88" s="1"/>
      <c r="H88" s="1"/>
      <c r="K88" s="1"/>
      <c r="L88" s="1"/>
      <c r="M88" s="1"/>
      <c r="N88" s="1"/>
      <c r="O88" s="1"/>
      <c r="P88" s="1"/>
      <c r="Q88" s="1"/>
      <c r="R88" s="1"/>
      <c r="S88" s="1"/>
      <c r="T88" s="1"/>
      <c r="U88" s="1"/>
      <c r="V88" s="1"/>
      <c r="W88" s="1"/>
      <c r="X88" s="1"/>
      <c r="Y88" s="1"/>
      <c r="Z88" s="1"/>
      <c r="AA88" s="1"/>
    </row>
    <row r="89" spans="2:27" ht="13.2" x14ac:dyDescent="0.25">
      <c r="B89" s="1"/>
      <c r="C89" s="1"/>
      <c r="D89" s="1"/>
      <c r="E89" s="1"/>
      <c r="F89" s="1"/>
      <c r="G89" s="1"/>
      <c r="H89" s="1"/>
      <c r="K89" s="1"/>
      <c r="L89" s="1"/>
      <c r="M89" s="1"/>
      <c r="N89" s="1"/>
      <c r="O89" s="1"/>
      <c r="P89" s="1"/>
      <c r="Q89" s="1"/>
      <c r="R89" s="1"/>
      <c r="S89" s="1"/>
      <c r="T89" s="1"/>
      <c r="U89" s="1"/>
      <c r="V89" s="1"/>
      <c r="W89" s="1"/>
      <c r="X89" s="1"/>
      <c r="Y89" s="1"/>
      <c r="Z89" s="1"/>
      <c r="AA89" s="1"/>
    </row>
    <row r="90" spans="2:27" ht="13.2" x14ac:dyDescent="0.25">
      <c r="B90" s="1"/>
      <c r="C90" s="1"/>
      <c r="D90" s="1"/>
      <c r="E90" s="1"/>
      <c r="F90" s="1"/>
      <c r="G90" s="1"/>
      <c r="H90" s="1"/>
      <c r="K90" s="1"/>
      <c r="L90" s="1"/>
      <c r="M90" s="1"/>
      <c r="N90" s="1"/>
      <c r="O90" s="1"/>
      <c r="P90" s="1"/>
      <c r="Q90" s="1"/>
      <c r="R90" s="1"/>
      <c r="S90" s="1"/>
      <c r="T90" s="1"/>
      <c r="U90" s="1"/>
      <c r="V90" s="1"/>
      <c r="W90" s="1"/>
      <c r="X90" s="1"/>
      <c r="Y90" s="1"/>
      <c r="Z90" s="1"/>
      <c r="AA90" s="1"/>
    </row>
    <row r="91" spans="2:27" ht="13.2" x14ac:dyDescent="0.25">
      <c r="B91" s="1"/>
      <c r="C91" s="1"/>
      <c r="D91" s="1"/>
      <c r="E91" s="1"/>
      <c r="F91" s="1"/>
      <c r="G91" s="1"/>
      <c r="H91" s="1"/>
      <c r="K91" s="1"/>
      <c r="L91" s="1"/>
      <c r="M91" s="1"/>
      <c r="N91" s="1"/>
      <c r="O91" s="1"/>
      <c r="P91" s="1"/>
      <c r="Q91" s="1"/>
      <c r="R91" s="1"/>
      <c r="S91" s="1"/>
      <c r="T91" s="1"/>
      <c r="U91" s="1"/>
      <c r="V91" s="1"/>
      <c r="W91" s="1"/>
      <c r="X91" s="1"/>
      <c r="Y91" s="1"/>
      <c r="Z91" s="1"/>
      <c r="AA91" s="1"/>
    </row>
    <row r="92" spans="2:27" ht="13.2" x14ac:dyDescent="0.25">
      <c r="B92" s="1"/>
      <c r="C92" s="1"/>
      <c r="D92" s="1"/>
      <c r="E92" s="1"/>
      <c r="F92" s="1"/>
      <c r="G92" s="1"/>
      <c r="H92" s="1"/>
      <c r="K92" s="1"/>
      <c r="L92" s="1"/>
      <c r="M92" s="1"/>
      <c r="N92" s="1"/>
      <c r="O92" s="1"/>
      <c r="P92" s="1"/>
      <c r="Q92" s="1"/>
      <c r="R92" s="1"/>
      <c r="S92" s="1"/>
      <c r="T92" s="1"/>
      <c r="U92" s="1"/>
      <c r="V92" s="1"/>
      <c r="W92" s="1"/>
      <c r="X92" s="1"/>
      <c r="Y92" s="1"/>
      <c r="Z92" s="1"/>
      <c r="AA92" s="1"/>
    </row>
    <row r="93" spans="2:27" ht="13.2" x14ac:dyDescent="0.25">
      <c r="B93" s="1"/>
      <c r="C93" s="1"/>
      <c r="D93" s="1"/>
      <c r="E93" s="1"/>
      <c r="F93" s="1"/>
      <c r="G93" s="1"/>
      <c r="H93" s="1"/>
      <c r="K93" s="1"/>
      <c r="L93" s="1"/>
      <c r="M93" s="1"/>
      <c r="N93" s="1"/>
      <c r="O93" s="1"/>
      <c r="P93" s="1"/>
      <c r="Q93" s="1"/>
      <c r="R93" s="1"/>
      <c r="S93" s="1"/>
      <c r="T93" s="1"/>
      <c r="U93" s="1"/>
      <c r="V93" s="1"/>
      <c r="W93" s="1"/>
      <c r="X93" s="1"/>
      <c r="Y93" s="1"/>
      <c r="Z93" s="1"/>
      <c r="AA93" s="1"/>
    </row>
    <row r="94" spans="2:27" ht="13.2" x14ac:dyDescent="0.25">
      <c r="B94" s="1"/>
      <c r="C94" s="1"/>
      <c r="D94" s="1"/>
      <c r="E94" s="1"/>
      <c r="F94" s="1"/>
      <c r="G94" s="1"/>
      <c r="H94" s="1"/>
      <c r="K94" s="1"/>
      <c r="L94" s="1"/>
      <c r="M94" s="1"/>
      <c r="N94" s="1"/>
      <c r="O94" s="1"/>
      <c r="P94" s="1"/>
      <c r="Q94" s="1"/>
      <c r="R94" s="1"/>
      <c r="S94" s="1"/>
      <c r="T94" s="1"/>
      <c r="U94" s="1"/>
      <c r="V94" s="1"/>
      <c r="W94" s="1"/>
      <c r="X94" s="1"/>
      <c r="Y94" s="1"/>
      <c r="Z94" s="1"/>
      <c r="AA94" s="1"/>
    </row>
    <row r="95" spans="2:27" ht="13.2" x14ac:dyDescent="0.25">
      <c r="B95" s="1"/>
      <c r="C95" s="1"/>
      <c r="D95" s="1"/>
      <c r="E95" s="1"/>
      <c r="F95" s="1"/>
      <c r="G95" s="1"/>
      <c r="H95" s="1"/>
      <c r="K95" s="1"/>
      <c r="L95" s="1"/>
      <c r="M95" s="1"/>
      <c r="N95" s="1"/>
      <c r="O95" s="1"/>
      <c r="P95" s="1"/>
      <c r="Q95" s="1"/>
      <c r="R95" s="1"/>
      <c r="S95" s="1"/>
      <c r="T95" s="1"/>
      <c r="U95" s="1"/>
      <c r="V95" s="1"/>
      <c r="W95" s="1"/>
      <c r="X95" s="1"/>
      <c r="Y95" s="1"/>
      <c r="Z95" s="1"/>
      <c r="AA95" s="1"/>
    </row>
    <row r="96" spans="2:27" ht="13.2" x14ac:dyDescent="0.25">
      <c r="B96" s="1"/>
      <c r="C96" s="1"/>
      <c r="D96" s="1"/>
      <c r="E96" s="1"/>
      <c r="F96" s="1"/>
      <c r="G96" s="1"/>
      <c r="H96" s="1"/>
      <c r="K96" s="1"/>
      <c r="L96" s="1"/>
      <c r="M96" s="1"/>
      <c r="N96" s="1"/>
      <c r="O96" s="1"/>
      <c r="P96" s="1"/>
      <c r="Q96" s="1"/>
      <c r="R96" s="1"/>
      <c r="S96" s="1"/>
      <c r="T96" s="1"/>
      <c r="U96" s="1"/>
      <c r="V96" s="1"/>
      <c r="W96" s="1"/>
      <c r="X96" s="1"/>
      <c r="Y96" s="1"/>
      <c r="Z96" s="1"/>
      <c r="AA96" s="1"/>
    </row>
    <row r="97" spans="2:27" ht="13.2" x14ac:dyDescent="0.25">
      <c r="B97" s="1"/>
      <c r="C97" s="1"/>
      <c r="D97" s="1"/>
      <c r="E97" s="1"/>
      <c r="F97" s="1"/>
      <c r="G97" s="1"/>
      <c r="H97" s="1"/>
      <c r="K97" s="1"/>
      <c r="L97" s="1"/>
      <c r="M97" s="1"/>
      <c r="N97" s="1"/>
      <c r="O97" s="1"/>
      <c r="P97" s="1"/>
      <c r="Q97" s="1"/>
      <c r="R97" s="1"/>
      <c r="S97" s="1"/>
      <c r="T97" s="1"/>
      <c r="U97" s="1"/>
      <c r="V97" s="1"/>
      <c r="W97" s="1"/>
      <c r="X97" s="1"/>
      <c r="Y97" s="1"/>
      <c r="Z97" s="1"/>
      <c r="AA97" s="1"/>
    </row>
    <row r="98" spans="2:27" ht="13.2" x14ac:dyDescent="0.25">
      <c r="B98" s="1"/>
      <c r="C98" s="1"/>
      <c r="D98" s="1"/>
      <c r="E98" s="1"/>
      <c r="F98" s="1"/>
      <c r="G98" s="1"/>
      <c r="H98" s="1"/>
      <c r="K98" s="1"/>
      <c r="L98" s="1"/>
      <c r="M98" s="1"/>
      <c r="N98" s="1"/>
      <c r="O98" s="1"/>
      <c r="P98" s="1"/>
      <c r="Q98" s="1"/>
      <c r="R98" s="1"/>
      <c r="S98" s="1"/>
      <c r="T98" s="1"/>
      <c r="U98" s="1"/>
      <c r="V98" s="1"/>
      <c r="W98" s="1"/>
      <c r="X98" s="1"/>
      <c r="Y98" s="1"/>
      <c r="Z98" s="1"/>
      <c r="AA98" s="1"/>
    </row>
    <row r="99" spans="2:27" ht="13.2" x14ac:dyDescent="0.25">
      <c r="B99" s="1"/>
      <c r="C99" s="1"/>
      <c r="D99" s="1"/>
      <c r="E99" s="1"/>
      <c r="F99" s="1"/>
      <c r="G99" s="1"/>
      <c r="H99" s="1"/>
      <c r="K99" s="1"/>
      <c r="L99" s="1"/>
      <c r="M99" s="1"/>
      <c r="N99" s="1"/>
      <c r="O99" s="1"/>
      <c r="P99" s="1"/>
      <c r="Q99" s="1"/>
      <c r="R99" s="1"/>
      <c r="S99" s="1"/>
      <c r="T99" s="1"/>
      <c r="U99" s="1"/>
      <c r="V99" s="1"/>
      <c r="W99" s="1"/>
      <c r="X99" s="1"/>
      <c r="Y99" s="1"/>
      <c r="Z99" s="1"/>
      <c r="AA99" s="1"/>
    </row>
    <row r="100" spans="2:27" ht="13.2" x14ac:dyDescent="0.25">
      <c r="B100" s="1"/>
      <c r="C100" s="1"/>
      <c r="D100" s="1"/>
      <c r="E100" s="1"/>
      <c r="F100" s="1"/>
      <c r="G100" s="1"/>
      <c r="H100" s="1"/>
      <c r="K100" s="1"/>
      <c r="L100" s="1"/>
      <c r="M100" s="1"/>
      <c r="N100" s="1"/>
      <c r="O100" s="1"/>
      <c r="P100" s="1"/>
      <c r="Q100" s="1"/>
      <c r="R100" s="1"/>
      <c r="S100" s="1"/>
      <c r="T100" s="1"/>
      <c r="U100" s="1"/>
      <c r="V100" s="1"/>
      <c r="W100" s="1"/>
      <c r="X100" s="1"/>
      <c r="Y100" s="1"/>
      <c r="Z100" s="1"/>
      <c r="AA100" s="1"/>
    </row>
    <row r="101" spans="2:27" ht="13.2" x14ac:dyDescent="0.25">
      <c r="B101" s="1"/>
      <c r="C101" s="1"/>
      <c r="D101" s="1"/>
      <c r="E101" s="1"/>
      <c r="F101" s="1"/>
      <c r="G101" s="1"/>
      <c r="H101" s="1"/>
      <c r="K101" s="1"/>
      <c r="L101" s="1"/>
      <c r="M101" s="1"/>
      <c r="N101" s="1"/>
      <c r="O101" s="1"/>
      <c r="P101" s="1"/>
      <c r="Q101" s="1"/>
      <c r="R101" s="1"/>
      <c r="S101" s="1"/>
      <c r="T101" s="1"/>
      <c r="U101" s="1"/>
      <c r="V101" s="1"/>
      <c r="W101" s="1"/>
      <c r="X101" s="1"/>
      <c r="Y101" s="1"/>
      <c r="Z101" s="1"/>
      <c r="AA101" s="1"/>
    </row>
    <row r="102" spans="2:27" ht="13.2" x14ac:dyDescent="0.25">
      <c r="B102" s="1"/>
      <c r="C102" s="1"/>
      <c r="D102" s="1"/>
      <c r="E102" s="1"/>
      <c r="F102" s="1"/>
      <c r="G102" s="1"/>
      <c r="H102" s="1"/>
      <c r="K102" s="1"/>
      <c r="L102" s="1"/>
      <c r="M102" s="1"/>
      <c r="N102" s="1"/>
      <c r="O102" s="1"/>
      <c r="P102" s="1"/>
      <c r="Q102" s="1"/>
      <c r="R102" s="1"/>
      <c r="S102" s="1"/>
      <c r="T102" s="1"/>
      <c r="U102" s="1"/>
      <c r="V102" s="1"/>
      <c r="W102" s="1"/>
      <c r="X102" s="1"/>
      <c r="Y102" s="1"/>
      <c r="Z102" s="1"/>
      <c r="AA102" s="1"/>
    </row>
    <row r="103" spans="2:27" ht="13.2" x14ac:dyDescent="0.25">
      <c r="B103" s="1"/>
      <c r="C103" s="1"/>
      <c r="D103" s="1"/>
      <c r="E103" s="1"/>
      <c r="F103" s="1"/>
      <c r="G103" s="1"/>
      <c r="H103" s="1"/>
      <c r="K103" s="1"/>
      <c r="L103" s="1"/>
      <c r="M103" s="1"/>
      <c r="N103" s="1"/>
      <c r="O103" s="1"/>
      <c r="P103" s="1"/>
      <c r="Q103" s="1"/>
      <c r="R103" s="1"/>
      <c r="S103" s="1"/>
      <c r="T103" s="1"/>
      <c r="U103" s="1"/>
      <c r="V103" s="1"/>
      <c r="W103" s="1"/>
      <c r="X103" s="1"/>
      <c r="Y103" s="1"/>
      <c r="Z103" s="1"/>
      <c r="AA103" s="1"/>
    </row>
    <row r="104" spans="2:27" ht="13.2" x14ac:dyDescent="0.25">
      <c r="B104" s="1"/>
      <c r="C104" s="1"/>
      <c r="D104" s="1"/>
      <c r="E104" s="1"/>
      <c r="F104" s="1"/>
      <c r="G104" s="1"/>
      <c r="H104" s="1"/>
      <c r="K104" s="1"/>
      <c r="L104" s="1"/>
      <c r="M104" s="1"/>
      <c r="N104" s="1"/>
      <c r="O104" s="1"/>
      <c r="P104" s="1"/>
      <c r="Q104" s="1"/>
      <c r="R104" s="1"/>
      <c r="S104" s="1"/>
      <c r="T104" s="1"/>
      <c r="U104" s="1"/>
      <c r="V104" s="1"/>
      <c r="W104" s="1"/>
      <c r="X104" s="1"/>
      <c r="Y104" s="1"/>
      <c r="Z104" s="1"/>
      <c r="AA104" s="1"/>
    </row>
    <row r="105" spans="2:27" ht="13.2" x14ac:dyDescent="0.25">
      <c r="B105" s="1"/>
      <c r="C105" s="1"/>
      <c r="D105" s="1"/>
      <c r="E105" s="1"/>
      <c r="F105" s="1"/>
      <c r="G105" s="1"/>
      <c r="H105" s="1"/>
      <c r="K105" s="1"/>
      <c r="L105" s="1"/>
      <c r="M105" s="1"/>
      <c r="N105" s="1"/>
      <c r="O105" s="1"/>
      <c r="P105" s="1"/>
      <c r="Q105" s="1"/>
      <c r="R105" s="1"/>
      <c r="S105" s="1"/>
      <c r="T105" s="1"/>
      <c r="U105" s="1"/>
      <c r="V105" s="1"/>
      <c r="W105" s="1"/>
      <c r="X105" s="1"/>
      <c r="Y105" s="1"/>
      <c r="Z105" s="1"/>
      <c r="AA105" s="1"/>
    </row>
    <row r="106" spans="2:27" ht="13.2" x14ac:dyDescent="0.25">
      <c r="B106" s="1"/>
      <c r="C106" s="1"/>
      <c r="D106" s="1"/>
      <c r="E106" s="1"/>
      <c r="F106" s="1"/>
      <c r="G106" s="1"/>
      <c r="H106" s="1"/>
      <c r="K106" s="1"/>
      <c r="L106" s="1"/>
      <c r="M106" s="1"/>
      <c r="N106" s="1"/>
      <c r="O106" s="1"/>
      <c r="P106" s="1"/>
      <c r="Q106" s="1"/>
      <c r="R106" s="1"/>
      <c r="S106" s="1"/>
      <c r="T106" s="1"/>
      <c r="U106" s="1"/>
      <c r="V106" s="1"/>
      <c r="W106" s="1"/>
      <c r="X106" s="1"/>
      <c r="Y106" s="1"/>
      <c r="Z106" s="1"/>
      <c r="AA106" s="1"/>
    </row>
    <row r="107" spans="2:27" ht="13.2" x14ac:dyDescent="0.25">
      <c r="B107" s="1"/>
      <c r="C107" s="1"/>
      <c r="D107" s="1"/>
      <c r="E107" s="1"/>
      <c r="F107" s="1"/>
      <c r="G107" s="1"/>
      <c r="H107" s="1"/>
      <c r="K107" s="1"/>
      <c r="L107" s="1"/>
      <c r="M107" s="1"/>
      <c r="N107" s="1"/>
      <c r="O107" s="1"/>
      <c r="P107" s="1"/>
      <c r="Q107" s="1"/>
      <c r="R107" s="1"/>
      <c r="S107" s="1"/>
      <c r="T107" s="1"/>
      <c r="U107" s="1"/>
      <c r="V107" s="1"/>
      <c r="W107" s="1"/>
      <c r="X107" s="1"/>
      <c r="Y107" s="1"/>
      <c r="Z107" s="1"/>
      <c r="AA107" s="1"/>
    </row>
    <row r="108" spans="2:27" ht="13.2" x14ac:dyDescent="0.25">
      <c r="B108" s="1"/>
      <c r="C108" s="1"/>
      <c r="D108" s="1"/>
      <c r="E108" s="1"/>
      <c r="F108" s="1"/>
      <c r="G108" s="1"/>
      <c r="H108" s="1"/>
      <c r="K108" s="1"/>
      <c r="L108" s="1"/>
      <c r="M108" s="1"/>
      <c r="N108" s="1"/>
      <c r="O108" s="1"/>
      <c r="P108" s="1"/>
      <c r="Q108" s="1"/>
      <c r="R108" s="1"/>
      <c r="S108" s="1"/>
      <c r="T108" s="1"/>
      <c r="U108" s="1"/>
      <c r="V108" s="1"/>
      <c r="W108" s="1"/>
      <c r="X108" s="1"/>
      <c r="Y108" s="1"/>
      <c r="Z108" s="1"/>
      <c r="AA108" s="1"/>
    </row>
    <row r="109" spans="2:27" ht="13.2" x14ac:dyDescent="0.25">
      <c r="B109" s="1"/>
      <c r="C109" s="1"/>
      <c r="D109" s="1"/>
      <c r="E109" s="1"/>
      <c r="F109" s="1"/>
      <c r="G109" s="1"/>
      <c r="H109" s="1"/>
      <c r="K109" s="1"/>
      <c r="L109" s="1"/>
      <c r="M109" s="1"/>
      <c r="N109" s="1"/>
      <c r="O109" s="1"/>
      <c r="P109" s="1"/>
      <c r="Q109" s="1"/>
      <c r="R109" s="1"/>
      <c r="S109" s="1"/>
      <c r="T109" s="1"/>
      <c r="U109" s="1"/>
      <c r="V109" s="1"/>
      <c r="W109" s="1"/>
      <c r="X109" s="1"/>
      <c r="Y109" s="1"/>
      <c r="Z109" s="1"/>
      <c r="AA109" s="1"/>
    </row>
    <row r="110" spans="2:27" ht="13.2" x14ac:dyDescent="0.25">
      <c r="B110" s="1"/>
      <c r="C110" s="1"/>
      <c r="D110" s="1"/>
      <c r="E110" s="1"/>
      <c r="F110" s="1"/>
      <c r="G110" s="1"/>
      <c r="H110" s="1"/>
      <c r="K110" s="1"/>
      <c r="L110" s="1"/>
      <c r="M110" s="1"/>
      <c r="N110" s="1"/>
      <c r="O110" s="1"/>
      <c r="P110" s="1"/>
      <c r="Q110" s="1"/>
      <c r="R110" s="1"/>
      <c r="S110" s="1"/>
      <c r="T110" s="1"/>
      <c r="U110" s="1"/>
      <c r="V110" s="1"/>
      <c r="W110" s="1"/>
      <c r="X110" s="1"/>
      <c r="Y110" s="1"/>
      <c r="Z110" s="1"/>
      <c r="AA110" s="1"/>
    </row>
    <row r="111" spans="2:27" ht="13.2" x14ac:dyDescent="0.25">
      <c r="B111" s="1"/>
      <c r="C111" s="1"/>
      <c r="D111" s="1"/>
      <c r="E111" s="1"/>
      <c r="F111" s="1"/>
      <c r="G111" s="1"/>
      <c r="H111" s="1"/>
      <c r="K111" s="1"/>
      <c r="L111" s="1"/>
      <c r="M111" s="1"/>
      <c r="N111" s="1"/>
      <c r="O111" s="1"/>
      <c r="P111" s="1"/>
      <c r="Q111" s="1"/>
      <c r="R111" s="1"/>
      <c r="S111" s="1"/>
      <c r="T111" s="1"/>
      <c r="U111" s="1"/>
      <c r="V111" s="1"/>
      <c r="W111" s="1"/>
      <c r="X111" s="1"/>
      <c r="Y111" s="1"/>
      <c r="Z111" s="1"/>
      <c r="AA111" s="1"/>
    </row>
    <row r="112" spans="2:27" ht="13.2" x14ac:dyDescent="0.25">
      <c r="B112" s="1"/>
      <c r="C112" s="1"/>
      <c r="D112" s="1"/>
      <c r="E112" s="1"/>
      <c r="F112" s="1"/>
      <c r="G112" s="1"/>
      <c r="H112" s="1"/>
      <c r="K112" s="1"/>
      <c r="L112" s="1"/>
      <c r="M112" s="1"/>
      <c r="N112" s="1"/>
      <c r="O112" s="1"/>
      <c r="P112" s="1"/>
      <c r="Q112" s="1"/>
      <c r="R112" s="1"/>
      <c r="S112" s="1"/>
      <c r="T112" s="1"/>
      <c r="U112" s="1"/>
      <c r="V112" s="1"/>
      <c r="W112" s="1"/>
      <c r="X112" s="1"/>
      <c r="Y112" s="1"/>
      <c r="Z112" s="1"/>
      <c r="AA112" s="1"/>
    </row>
    <row r="113" spans="2:27" ht="13.2" x14ac:dyDescent="0.25">
      <c r="B113" s="1"/>
      <c r="C113" s="1"/>
      <c r="D113" s="1"/>
      <c r="E113" s="1"/>
      <c r="F113" s="1"/>
      <c r="G113" s="1"/>
      <c r="H113" s="1"/>
      <c r="K113" s="1"/>
      <c r="L113" s="1"/>
      <c r="M113" s="1"/>
      <c r="N113" s="1"/>
      <c r="O113" s="1"/>
      <c r="P113" s="1"/>
      <c r="Q113" s="1"/>
      <c r="R113" s="1"/>
      <c r="S113" s="1"/>
      <c r="T113" s="1"/>
      <c r="U113" s="1"/>
      <c r="V113" s="1"/>
      <c r="W113" s="1"/>
      <c r="X113" s="1"/>
      <c r="Y113" s="1"/>
      <c r="Z113" s="1"/>
      <c r="AA113" s="1"/>
    </row>
    <row r="114" spans="2:27" ht="13.2" x14ac:dyDescent="0.25">
      <c r="B114" s="1"/>
      <c r="C114" s="1"/>
      <c r="D114" s="1"/>
      <c r="E114" s="1"/>
      <c r="F114" s="1"/>
      <c r="G114" s="1"/>
      <c r="H114" s="1"/>
      <c r="K114" s="1"/>
      <c r="L114" s="1"/>
      <c r="M114" s="1"/>
      <c r="N114" s="1"/>
      <c r="O114" s="1"/>
      <c r="P114" s="1"/>
      <c r="Q114" s="1"/>
      <c r="R114" s="1"/>
      <c r="S114" s="1"/>
      <c r="T114" s="1"/>
      <c r="U114" s="1"/>
      <c r="V114" s="1"/>
      <c r="W114" s="1"/>
      <c r="X114" s="1"/>
      <c r="Y114" s="1"/>
      <c r="Z114" s="1"/>
      <c r="AA114" s="1"/>
    </row>
    <row r="115" spans="2:27" ht="13.2" x14ac:dyDescent="0.25">
      <c r="B115" s="1"/>
      <c r="C115" s="1"/>
      <c r="D115" s="1"/>
      <c r="E115" s="1"/>
      <c r="F115" s="1"/>
      <c r="G115" s="1"/>
      <c r="H115" s="1"/>
      <c r="K115" s="1"/>
      <c r="L115" s="1"/>
      <c r="M115" s="1"/>
      <c r="N115" s="1"/>
      <c r="O115" s="1"/>
      <c r="P115" s="1"/>
      <c r="Q115" s="1"/>
      <c r="R115" s="1"/>
      <c r="S115" s="1"/>
      <c r="T115" s="1"/>
      <c r="U115" s="1"/>
      <c r="V115" s="1"/>
      <c r="W115" s="1"/>
      <c r="X115" s="1"/>
      <c r="Y115" s="1"/>
      <c r="Z115" s="1"/>
      <c r="AA115" s="1"/>
    </row>
    <row r="116" spans="2:27" ht="13.2" x14ac:dyDescent="0.25">
      <c r="B116" s="1"/>
      <c r="C116" s="1"/>
      <c r="D116" s="1"/>
      <c r="E116" s="1"/>
      <c r="F116" s="1"/>
      <c r="G116" s="1"/>
      <c r="H116" s="1"/>
      <c r="K116" s="1"/>
      <c r="L116" s="1"/>
      <c r="M116" s="1"/>
      <c r="N116" s="1"/>
      <c r="O116" s="1"/>
      <c r="P116" s="1"/>
      <c r="Q116" s="1"/>
      <c r="R116" s="1"/>
      <c r="S116" s="1"/>
      <c r="T116" s="1"/>
      <c r="U116" s="1"/>
      <c r="V116" s="1"/>
      <c r="W116" s="1"/>
      <c r="X116" s="1"/>
      <c r="Y116" s="1"/>
      <c r="Z116" s="1"/>
      <c r="AA116" s="1"/>
    </row>
    <row r="117" spans="2:27" ht="13.2" x14ac:dyDescent="0.25">
      <c r="B117" s="1"/>
      <c r="C117" s="1"/>
      <c r="D117" s="1"/>
      <c r="E117" s="1"/>
      <c r="F117" s="1"/>
      <c r="G117" s="1"/>
      <c r="H117" s="1"/>
      <c r="K117" s="1"/>
      <c r="L117" s="1"/>
      <c r="M117" s="1"/>
      <c r="N117" s="1"/>
      <c r="O117" s="1"/>
      <c r="P117" s="1"/>
      <c r="Q117" s="1"/>
      <c r="R117" s="1"/>
      <c r="S117" s="1"/>
      <c r="T117" s="1"/>
      <c r="U117" s="1"/>
      <c r="V117" s="1"/>
      <c r="W117" s="1"/>
      <c r="X117" s="1"/>
      <c r="Y117" s="1"/>
      <c r="Z117" s="1"/>
      <c r="AA117" s="1"/>
    </row>
    <row r="118" spans="2:27" ht="13.2" x14ac:dyDescent="0.25">
      <c r="B118" s="1"/>
      <c r="C118" s="1"/>
      <c r="D118" s="1"/>
      <c r="E118" s="1"/>
      <c r="F118" s="1"/>
      <c r="G118" s="1"/>
      <c r="H118" s="1"/>
      <c r="K118" s="1"/>
      <c r="L118" s="1"/>
      <c r="M118" s="1"/>
      <c r="N118" s="1"/>
      <c r="O118" s="1"/>
      <c r="P118" s="1"/>
      <c r="Q118" s="1"/>
      <c r="R118" s="1"/>
      <c r="S118" s="1"/>
      <c r="T118" s="1"/>
      <c r="U118" s="1"/>
      <c r="V118" s="1"/>
      <c r="W118" s="1"/>
      <c r="X118" s="1"/>
      <c r="Y118" s="1"/>
      <c r="Z118" s="1"/>
      <c r="AA118" s="1"/>
    </row>
    <row r="119" spans="2:27" ht="13.2" x14ac:dyDescent="0.25">
      <c r="B119" s="1"/>
      <c r="C119" s="1"/>
      <c r="D119" s="1"/>
      <c r="E119" s="1"/>
      <c r="F119" s="1"/>
      <c r="G119" s="1"/>
      <c r="H119" s="1"/>
      <c r="K119" s="1"/>
      <c r="L119" s="1"/>
      <c r="M119" s="1"/>
      <c r="N119" s="1"/>
      <c r="O119" s="1"/>
      <c r="P119" s="1"/>
      <c r="Q119" s="1"/>
      <c r="R119" s="1"/>
      <c r="S119" s="1"/>
      <c r="T119" s="1"/>
      <c r="U119" s="1"/>
      <c r="V119" s="1"/>
      <c r="W119" s="1"/>
      <c r="X119" s="1"/>
      <c r="Y119" s="1"/>
      <c r="Z119" s="1"/>
      <c r="AA119" s="1"/>
    </row>
    <row r="120" spans="2:27" ht="13.2" x14ac:dyDescent="0.25">
      <c r="B120" s="1"/>
      <c r="C120" s="1"/>
      <c r="D120" s="1"/>
      <c r="E120" s="1"/>
      <c r="F120" s="1"/>
      <c r="G120" s="1"/>
      <c r="H120" s="1"/>
      <c r="K120" s="1"/>
      <c r="L120" s="1"/>
      <c r="M120" s="1"/>
      <c r="N120" s="1"/>
      <c r="O120" s="1"/>
      <c r="P120" s="1"/>
      <c r="Q120" s="1"/>
      <c r="R120" s="1"/>
      <c r="S120" s="1"/>
      <c r="T120" s="1"/>
      <c r="U120" s="1"/>
      <c r="V120" s="1"/>
      <c r="W120" s="1"/>
      <c r="X120" s="1"/>
      <c r="Y120" s="1"/>
      <c r="Z120" s="1"/>
      <c r="AA120" s="1"/>
    </row>
    <row r="121" spans="2:27" ht="13.2" x14ac:dyDescent="0.25">
      <c r="B121" s="1"/>
      <c r="C121" s="1"/>
      <c r="D121" s="1"/>
      <c r="E121" s="1"/>
      <c r="F121" s="1"/>
      <c r="G121" s="1"/>
      <c r="H121" s="1"/>
      <c r="K121" s="1"/>
      <c r="L121" s="1"/>
      <c r="M121" s="1"/>
      <c r="N121" s="1"/>
      <c r="O121" s="1"/>
      <c r="P121" s="1"/>
      <c r="Q121" s="1"/>
      <c r="R121" s="1"/>
      <c r="S121" s="1"/>
      <c r="T121" s="1"/>
      <c r="U121" s="1"/>
      <c r="V121" s="1"/>
      <c r="W121" s="1"/>
      <c r="X121" s="1"/>
      <c r="Y121" s="1"/>
      <c r="Z121" s="1"/>
      <c r="AA121" s="1"/>
    </row>
    <row r="122" spans="2:27" ht="13.2" x14ac:dyDescent="0.25">
      <c r="B122" s="1"/>
      <c r="C122" s="1"/>
      <c r="D122" s="1"/>
      <c r="E122" s="1"/>
      <c r="F122" s="1"/>
      <c r="G122" s="1"/>
      <c r="H122" s="1"/>
      <c r="K122" s="1"/>
      <c r="L122" s="1"/>
      <c r="M122" s="1"/>
      <c r="N122" s="1"/>
      <c r="O122" s="1"/>
      <c r="P122" s="1"/>
      <c r="Q122" s="1"/>
      <c r="R122" s="1"/>
      <c r="S122" s="1"/>
      <c r="T122" s="1"/>
      <c r="U122" s="1"/>
      <c r="V122" s="1"/>
      <c r="W122" s="1"/>
      <c r="X122" s="1"/>
      <c r="Y122" s="1"/>
      <c r="Z122" s="1"/>
      <c r="AA122" s="1"/>
    </row>
    <row r="123" spans="2:27" ht="13.2" x14ac:dyDescent="0.25">
      <c r="B123" s="1"/>
      <c r="C123" s="1"/>
      <c r="D123" s="1"/>
      <c r="E123" s="1"/>
      <c r="F123" s="1"/>
      <c r="G123" s="1"/>
      <c r="H123" s="1"/>
      <c r="K123" s="1"/>
      <c r="L123" s="1"/>
      <c r="M123" s="1"/>
      <c r="N123" s="1"/>
      <c r="O123" s="1"/>
      <c r="P123" s="1"/>
      <c r="Q123" s="1"/>
      <c r="R123" s="1"/>
      <c r="S123" s="1"/>
      <c r="T123" s="1"/>
      <c r="U123" s="1"/>
      <c r="V123" s="1"/>
      <c r="W123" s="1"/>
      <c r="X123" s="1"/>
      <c r="Y123" s="1"/>
      <c r="Z123" s="1"/>
      <c r="AA123" s="1"/>
    </row>
    <row r="124" spans="2:27" ht="13.2" x14ac:dyDescent="0.25">
      <c r="B124" s="1"/>
      <c r="C124" s="1"/>
      <c r="D124" s="1"/>
      <c r="E124" s="1"/>
      <c r="F124" s="1"/>
      <c r="G124" s="1"/>
      <c r="H124" s="1"/>
      <c r="K124" s="1"/>
      <c r="L124" s="1"/>
      <c r="M124" s="1"/>
      <c r="N124" s="1"/>
      <c r="O124" s="1"/>
      <c r="P124" s="1"/>
      <c r="Q124" s="1"/>
      <c r="R124" s="1"/>
      <c r="S124" s="1"/>
      <c r="T124" s="1"/>
      <c r="U124" s="1"/>
      <c r="V124" s="1"/>
      <c r="W124" s="1"/>
      <c r="X124" s="1"/>
      <c r="Y124" s="1"/>
      <c r="Z124" s="1"/>
      <c r="AA124" s="1"/>
    </row>
    <row r="125" spans="2:27" ht="13.2" x14ac:dyDescent="0.25">
      <c r="B125" s="1"/>
      <c r="C125" s="1"/>
      <c r="D125" s="1"/>
      <c r="E125" s="1"/>
      <c r="F125" s="1"/>
      <c r="G125" s="1"/>
      <c r="H125" s="1"/>
      <c r="K125" s="1"/>
      <c r="L125" s="1"/>
      <c r="M125" s="1"/>
      <c r="N125" s="1"/>
      <c r="O125" s="1"/>
      <c r="P125" s="1"/>
      <c r="Q125" s="1"/>
      <c r="R125" s="1"/>
      <c r="S125" s="1"/>
      <c r="T125" s="1"/>
      <c r="U125" s="1"/>
      <c r="V125" s="1"/>
      <c r="W125" s="1"/>
      <c r="X125" s="1"/>
      <c r="Y125" s="1"/>
      <c r="Z125" s="1"/>
      <c r="AA125" s="1"/>
    </row>
    <row r="126" spans="2:27" ht="13.2" x14ac:dyDescent="0.25">
      <c r="B126" s="1"/>
      <c r="C126" s="1"/>
      <c r="D126" s="1"/>
      <c r="E126" s="1"/>
      <c r="F126" s="1"/>
      <c r="G126" s="1"/>
      <c r="H126" s="1"/>
      <c r="K126" s="1"/>
      <c r="L126" s="1"/>
      <c r="M126" s="1"/>
      <c r="N126" s="1"/>
      <c r="O126" s="1"/>
      <c r="P126" s="1"/>
      <c r="Q126" s="1"/>
      <c r="R126" s="1"/>
      <c r="S126" s="1"/>
      <c r="T126" s="1"/>
      <c r="U126" s="1"/>
      <c r="V126" s="1"/>
      <c r="W126" s="1"/>
      <c r="X126" s="1"/>
      <c r="Y126" s="1"/>
      <c r="Z126" s="1"/>
      <c r="AA126" s="1"/>
    </row>
    <row r="127" spans="2:27" ht="13.2" x14ac:dyDescent="0.25">
      <c r="B127" s="1"/>
      <c r="C127" s="1"/>
      <c r="D127" s="1"/>
      <c r="E127" s="1"/>
      <c r="F127" s="1"/>
      <c r="G127" s="1"/>
      <c r="H127" s="1"/>
      <c r="K127" s="1"/>
      <c r="L127" s="1"/>
      <c r="M127" s="1"/>
      <c r="N127" s="1"/>
      <c r="O127" s="1"/>
      <c r="P127" s="1"/>
      <c r="Q127" s="1"/>
      <c r="R127" s="1"/>
      <c r="S127" s="1"/>
      <c r="T127" s="1"/>
      <c r="U127" s="1"/>
      <c r="V127" s="1"/>
      <c r="W127" s="1"/>
      <c r="X127" s="1"/>
      <c r="Y127" s="1"/>
      <c r="Z127" s="1"/>
      <c r="AA127" s="1"/>
    </row>
    <row r="128" spans="2:27" ht="13.2" x14ac:dyDescent="0.25">
      <c r="B128" s="1"/>
      <c r="C128" s="1"/>
      <c r="D128" s="1"/>
      <c r="E128" s="1"/>
      <c r="F128" s="1"/>
      <c r="G128" s="1"/>
      <c r="H128" s="1"/>
      <c r="K128" s="1"/>
      <c r="L128" s="1"/>
      <c r="M128" s="1"/>
      <c r="N128" s="1"/>
      <c r="O128" s="1"/>
      <c r="P128" s="1"/>
      <c r="Q128" s="1"/>
      <c r="R128" s="1"/>
      <c r="S128" s="1"/>
      <c r="T128" s="1"/>
      <c r="U128" s="1"/>
      <c r="V128" s="1"/>
      <c r="W128" s="1"/>
      <c r="X128" s="1"/>
      <c r="Y128" s="1"/>
      <c r="Z128" s="1"/>
      <c r="AA128" s="1"/>
    </row>
    <row r="129" spans="2:27" ht="13.2" x14ac:dyDescent="0.25">
      <c r="B129" s="1"/>
      <c r="C129" s="1"/>
      <c r="D129" s="1"/>
      <c r="E129" s="1"/>
      <c r="F129" s="1"/>
      <c r="G129" s="1"/>
      <c r="H129" s="1"/>
      <c r="K129" s="1"/>
      <c r="L129" s="1"/>
      <c r="M129" s="1"/>
      <c r="N129" s="1"/>
      <c r="O129" s="1"/>
      <c r="P129" s="1"/>
      <c r="Q129" s="1"/>
      <c r="R129" s="1"/>
      <c r="S129" s="1"/>
      <c r="T129" s="1"/>
      <c r="U129" s="1"/>
      <c r="V129" s="1"/>
      <c r="W129" s="1"/>
      <c r="X129" s="1"/>
      <c r="Y129" s="1"/>
      <c r="Z129" s="1"/>
      <c r="AA129" s="1"/>
    </row>
    <row r="130" spans="2:27" ht="13.2" x14ac:dyDescent="0.25">
      <c r="B130" s="1"/>
      <c r="C130" s="1"/>
      <c r="D130" s="1"/>
      <c r="E130" s="1"/>
      <c r="F130" s="1"/>
      <c r="G130" s="1"/>
      <c r="H130" s="1"/>
      <c r="K130" s="1"/>
      <c r="L130" s="1"/>
      <c r="M130" s="1"/>
      <c r="N130" s="1"/>
      <c r="O130" s="1"/>
      <c r="P130" s="1"/>
      <c r="Q130" s="1"/>
      <c r="R130" s="1"/>
      <c r="S130" s="1"/>
      <c r="T130" s="1"/>
      <c r="U130" s="1"/>
      <c r="V130" s="1"/>
      <c r="W130" s="1"/>
      <c r="X130" s="1"/>
      <c r="Y130" s="1"/>
      <c r="Z130" s="1"/>
      <c r="AA130" s="1"/>
    </row>
    <row r="131" spans="2:27" ht="13.2" x14ac:dyDescent="0.25">
      <c r="B131" s="1"/>
      <c r="C131" s="1"/>
      <c r="D131" s="1"/>
      <c r="E131" s="1"/>
      <c r="F131" s="1"/>
      <c r="G131" s="1"/>
      <c r="H131" s="1"/>
      <c r="K131" s="1"/>
      <c r="L131" s="1"/>
      <c r="M131" s="1"/>
      <c r="N131" s="1"/>
      <c r="O131" s="1"/>
      <c r="P131" s="1"/>
      <c r="Q131" s="1"/>
      <c r="R131" s="1"/>
      <c r="S131" s="1"/>
      <c r="T131" s="1"/>
      <c r="U131" s="1"/>
      <c r="V131" s="1"/>
      <c r="W131" s="1"/>
      <c r="X131" s="1"/>
      <c r="Y131" s="1"/>
      <c r="Z131" s="1"/>
      <c r="AA131" s="1"/>
    </row>
    <row r="132" spans="2:27" ht="13.2" x14ac:dyDescent="0.25">
      <c r="B132" s="1"/>
      <c r="C132" s="1"/>
      <c r="D132" s="1"/>
      <c r="E132" s="1"/>
      <c r="F132" s="1"/>
      <c r="G132" s="1"/>
      <c r="H132" s="1"/>
      <c r="K132" s="1"/>
      <c r="L132" s="1"/>
      <c r="M132" s="1"/>
      <c r="N132" s="1"/>
      <c r="O132" s="1"/>
      <c r="P132" s="1"/>
      <c r="Q132" s="1"/>
      <c r="R132" s="1"/>
      <c r="S132" s="1"/>
      <c r="T132" s="1"/>
      <c r="U132" s="1"/>
      <c r="V132" s="1"/>
      <c r="W132" s="1"/>
      <c r="X132" s="1"/>
      <c r="Y132" s="1"/>
      <c r="Z132" s="1"/>
      <c r="AA132" s="1"/>
    </row>
    <row r="133" spans="2:27" ht="13.2" x14ac:dyDescent="0.25">
      <c r="B133" s="1"/>
      <c r="C133" s="1"/>
      <c r="D133" s="1"/>
      <c r="E133" s="1"/>
      <c r="F133" s="1"/>
      <c r="G133" s="1"/>
      <c r="H133" s="1"/>
      <c r="K133" s="1"/>
      <c r="L133" s="1"/>
      <c r="M133" s="1"/>
      <c r="N133" s="1"/>
      <c r="O133" s="1"/>
      <c r="P133" s="1"/>
      <c r="Q133" s="1"/>
      <c r="R133" s="1"/>
      <c r="S133" s="1"/>
      <c r="T133" s="1"/>
      <c r="U133" s="1"/>
      <c r="V133" s="1"/>
      <c r="W133" s="1"/>
      <c r="X133" s="1"/>
      <c r="Y133" s="1"/>
      <c r="Z133" s="1"/>
      <c r="AA133" s="1"/>
    </row>
    <row r="134" spans="2:27" ht="13.2" x14ac:dyDescent="0.25">
      <c r="B134" s="1"/>
      <c r="C134" s="1"/>
      <c r="D134" s="1"/>
      <c r="E134" s="1"/>
      <c r="F134" s="1"/>
      <c r="G134" s="1"/>
      <c r="H134" s="1"/>
      <c r="K134" s="1"/>
      <c r="L134" s="1"/>
      <c r="M134" s="1"/>
      <c r="N134" s="1"/>
      <c r="O134" s="1"/>
      <c r="P134" s="1"/>
      <c r="Q134" s="1"/>
      <c r="R134" s="1"/>
      <c r="S134" s="1"/>
      <c r="T134" s="1"/>
      <c r="U134" s="1"/>
      <c r="V134" s="1"/>
      <c r="W134" s="1"/>
      <c r="X134" s="1"/>
      <c r="Y134" s="1"/>
      <c r="Z134" s="1"/>
      <c r="AA134" s="1"/>
    </row>
    <row r="135" spans="2:27" ht="13.2" x14ac:dyDescent="0.25">
      <c r="B135" s="1"/>
      <c r="C135" s="1"/>
      <c r="D135" s="1"/>
      <c r="E135" s="1"/>
      <c r="F135" s="1"/>
      <c r="G135" s="1"/>
      <c r="H135" s="1"/>
      <c r="K135" s="1"/>
      <c r="L135" s="1"/>
      <c r="M135" s="1"/>
      <c r="N135" s="1"/>
      <c r="O135" s="1"/>
      <c r="P135" s="1"/>
      <c r="Q135" s="1"/>
      <c r="R135" s="1"/>
      <c r="S135" s="1"/>
      <c r="T135" s="1"/>
      <c r="U135" s="1"/>
      <c r="V135" s="1"/>
      <c r="W135" s="1"/>
      <c r="X135" s="1"/>
      <c r="Y135" s="1"/>
      <c r="Z135" s="1"/>
      <c r="AA135" s="1"/>
    </row>
    <row r="136" spans="2:27" ht="13.2" x14ac:dyDescent="0.25">
      <c r="B136" s="1"/>
      <c r="C136" s="1"/>
      <c r="D136" s="1"/>
      <c r="E136" s="1"/>
      <c r="F136" s="1"/>
      <c r="G136" s="1"/>
      <c r="H136" s="1"/>
      <c r="K136" s="1"/>
      <c r="L136" s="1"/>
      <c r="M136" s="1"/>
      <c r="N136" s="1"/>
      <c r="O136" s="1"/>
      <c r="P136" s="1"/>
      <c r="Q136" s="1"/>
      <c r="R136" s="1"/>
      <c r="S136" s="1"/>
      <c r="T136" s="1"/>
      <c r="U136" s="1"/>
      <c r="V136" s="1"/>
      <c r="W136" s="1"/>
      <c r="X136" s="1"/>
      <c r="Y136" s="1"/>
      <c r="Z136" s="1"/>
      <c r="AA136" s="1"/>
    </row>
    <row r="137" spans="2:27" ht="13.2" x14ac:dyDescent="0.25">
      <c r="B137" s="1"/>
      <c r="C137" s="1"/>
      <c r="D137" s="1"/>
      <c r="E137" s="1"/>
      <c r="F137" s="1"/>
      <c r="G137" s="1"/>
      <c r="H137" s="1"/>
      <c r="K137" s="1"/>
      <c r="L137" s="1"/>
      <c r="M137" s="1"/>
      <c r="N137" s="1"/>
      <c r="O137" s="1"/>
      <c r="P137" s="1"/>
      <c r="Q137" s="1"/>
      <c r="R137" s="1"/>
      <c r="S137" s="1"/>
      <c r="T137" s="1"/>
      <c r="U137" s="1"/>
      <c r="V137" s="1"/>
      <c r="W137" s="1"/>
      <c r="X137" s="1"/>
      <c r="Y137" s="1"/>
      <c r="Z137" s="1"/>
      <c r="AA137" s="1"/>
    </row>
    <row r="138" spans="2:27" ht="13.2" x14ac:dyDescent="0.25">
      <c r="B138" s="1"/>
      <c r="C138" s="1"/>
      <c r="D138" s="1"/>
      <c r="E138" s="1"/>
      <c r="F138" s="1"/>
      <c r="G138" s="1"/>
      <c r="H138" s="1"/>
      <c r="K138" s="1"/>
      <c r="L138" s="1"/>
      <c r="M138" s="1"/>
      <c r="N138" s="1"/>
      <c r="O138" s="1"/>
      <c r="P138" s="1"/>
      <c r="Q138" s="1"/>
      <c r="R138" s="1"/>
      <c r="S138" s="1"/>
      <c r="T138" s="1"/>
      <c r="U138" s="1"/>
      <c r="V138" s="1"/>
      <c r="W138" s="1"/>
      <c r="X138" s="1"/>
      <c r="Y138" s="1"/>
      <c r="Z138" s="1"/>
      <c r="AA138" s="1"/>
    </row>
    <row r="139" spans="2:27" ht="13.2" x14ac:dyDescent="0.25">
      <c r="B139" s="1"/>
      <c r="C139" s="1"/>
      <c r="D139" s="1"/>
      <c r="E139" s="1"/>
      <c r="F139" s="1"/>
      <c r="G139" s="1"/>
      <c r="H139" s="1"/>
      <c r="K139" s="1"/>
      <c r="L139" s="1"/>
      <c r="M139" s="1"/>
      <c r="N139" s="1"/>
      <c r="O139" s="1"/>
      <c r="P139" s="1"/>
      <c r="Q139" s="1"/>
      <c r="R139" s="1"/>
      <c r="S139" s="1"/>
      <c r="T139" s="1"/>
      <c r="U139" s="1"/>
      <c r="V139" s="1"/>
      <c r="W139" s="1"/>
      <c r="X139" s="1"/>
      <c r="Y139" s="1"/>
      <c r="Z139" s="1"/>
      <c r="AA139" s="1"/>
    </row>
    <row r="140" spans="2:27" ht="13.2" x14ac:dyDescent="0.25">
      <c r="B140" s="1"/>
      <c r="C140" s="1"/>
      <c r="D140" s="1"/>
      <c r="E140" s="1"/>
      <c r="F140" s="1"/>
      <c r="G140" s="1"/>
      <c r="H140" s="1"/>
      <c r="K140" s="1"/>
      <c r="L140" s="1"/>
      <c r="M140" s="1"/>
      <c r="N140" s="1"/>
      <c r="O140" s="1"/>
      <c r="P140" s="1"/>
      <c r="Q140" s="1"/>
      <c r="R140" s="1"/>
      <c r="S140" s="1"/>
      <c r="T140" s="1"/>
      <c r="U140" s="1"/>
      <c r="V140" s="1"/>
      <c r="W140" s="1"/>
      <c r="X140" s="1"/>
      <c r="Y140" s="1"/>
      <c r="Z140" s="1"/>
      <c r="AA140" s="1"/>
    </row>
    <row r="141" spans="2:27" ht="13.2" x14ac:dyDescent="0.25">
      <c r="B141" s="1"/>
      <c r="C141" s="1"/>
      <c r="D141" s="1"/>
      <c r="E141" s="1"/>
      <c r="F141" s="1"/>
      <c r="G141" s="1"/>
      <c r="H141" s="1"/>
      <c r="K141" s="1"/>
      <c r="L141" s="1"/>
      <c r="M141" s="1"/>
      <c r="N141" s="1"/>
      <c r="O141" s="1"/>
      <c r="P141" s="1"/>
      <c r="Q141" s="1"/>
      <c r="R141" s="1"/>
      <c r="S141" s="1"/>
      <c r="T141" s="1"/>
      <c r="U141" s="1"/>
      <c r="V141" s="1"/>
      <c r="W141" s="1"/>
      <c r="X141" s="1"/>
      <c r="Y141" s="1"/>
      <c r="Z141" s="1"/>
      <c r="AA141" s="1"/>
    </row>
    <row r="142" spans="2:27" ht="13.2" x14ac:dyDescent="0.25">
      <c r="B142" s="1"/>
      <c r="C142" s="1"/>
      <c r="D142" s="1"/>
      <c r="E142" s="1"/>
      <c r="F142" s="1"/>
      <c r="G142" s="1"/>
      <c r="H142" s="1"/>
      <c r="K142" s="1"/>
      <c r="L142" s="1"/>
      <c r="M142" s="1"/>
      <c r="N142" s="1"/>
      <c r="O142" s="1"/>
      <c r="P142" s="1"/>
      <c r="Q142" s="1"/>
      <c r="R142" s="1"/>
      <c r="S142" s="1"/>
      <c r="T142" s="1"/>
      <c r="U142" s="1"/>
      <c r="V142" s="1"/>
      <c r="W142" s="1"/>
      <c r="X142" s="1"/>
      <c r="Y142" s="1"/>
      <c r="Z142" s="1"/>
      <c r="AA142" s="1"/>
    </row>
    <row r="143" spans="2:27" ht="13.2" x14ac:dyDescent="0.25">
      <c r="B143" s="1"/>
      <c r="C143" s="1"/>
      <c r="D143" s="1"/>
      <c r="E143" s="1"/>
      <c r="F143" s="1"/>
      <c r="G143" s="1"/>
      <c r="H143" s="1"/>
      <c r="K143" s="1"/>
      <c r="L143" s="1"/>
      <c r="M143" s="1"/>
      <c r="N143" s="1"/>
      <c r="O143" s="1"/>
      <c r="P143" s="1"/>
      <c r="Q143" s="1"/>
      <c r="R143" s="1"/>
      <c r="S143" s="1"/>
      <c r="T143" s="1"/>
      <c r="U143" s="1"/>
      <c r="V143" s="1"/>
      <c r="W143" s="1"/>
      <c r="X143" s="1"/>
      <c r="Y143" s="1"/>
      <c r="Z143" s="1"/>
      <c r="AA143" s="1"/>
    </row>
    <row r="144" spans="2:27" ht="13.2" x14ac:dyDescent="0.25">
      <c r="B144" s="1"/>
      <c r="C144" s="1"/>
      <c r="D144" s="1"/>
      <c r="E144" s="1"/>
      <c r="F144" s="1"/>
      <c r="G144" s="1"/>
      <c r="H144" s="1"/>
      <c r="K144" s="1"/>
      <c r="L144" s="1"/>
      <c r="M144" s="1"/>
      <c r="N144" s="1"/>
      <c r="O144" s="1"/>
      <c r="P144" s="1"/>
      <c r="Q144" s="1"/>
      <c r="R144" s="1"/>
      <c r="S144" s="1"/>
      <c r="T144" s="1"/>
      <c r="U144" s="1"/>
      <c r="V144" s="1"/>
      <c r="W144" s="1"/>
      <c r="X144" s="1"/>
      <c r="Y144" s="1"/>
      <c r="Z144" s="1"/>
      <c r="AA144" s="1"/>
    </row>
    <row r="145" spans="2:27" ht="13.2" x14ac:dyDescent="0.25">
      <c r="B145" s="1"/>
      <c r="C145" s="1"/>
      <c r="D145" s="1"/>
      <c r="E145" s="1"/>
      <c r="F145" s="1"/>
      <c r="G145" s="1"/>
      <c r="H145" s="1"/>
      <c r="K145" s="1"/>
      <c r="L145" s="1"/>
      <c r="M145" s="1"/>
      <c r="N145" s="1"/>
      <c r="O145" s="1"/>
      <c r="P145" s="1"/>
      <c r="Q145" s="1"/>
      <c r="R145" s="1"/>
      <c r="S145" s="1"/>
      <c r="T145" s="1"/>
      <c r="U145" s="1"/>
      <c r="V145" s="1"/>
      <c r="W145" s="1"/>
      <c r="X145" s="1"/>
      <c r="Y145" s="1"/>
      <c r="Z145" s="1"/>
      <c r="AA145" s="1"/>
    </row>
    <row r="146" spans="2:27" ht="13.2" x14ac:dyDescent="0.25">
      <c r="B146" s="1"/>
      <c r="C146" s="1"/>
      <c r="D146" s="1"/>
      <c r="E146" s="1"/>
      <c r="F146" s="1"/>
      <c r="G146" s="1"/>
      <c r="H146" s="1"/>
      <c r="K146" s="1"/>
      <c r="L146" s="1"/>
      <c r="M146" s="1"/>
      <c r="N146" s="1"/>
      <c r="O146" s="1"/>
      <c r="P146" s="1"/>
      <c r="Q146" s="1"/>
      <c r="R146" s="1"/>
      <c r="S146" s="1"/>
      <c r="T146" s="1"/>
      <c r="U146" s="1"/>
      <c r="V146" s="1"/>
      <c r="W146" s="1"/>
      <c r="X146" s="1"/>
      <c r="Y146" s="1"/>
      <c r="Z146" s="1"/>
      <c r="AA146" s="1"/>
    </row>
    <row r="147" spans="2:27" ht="13.2" x14ac:dyDescent="0.25">
      <c r="B147" s="1"/>
      <c r="C147" s="1"/>
      <c r="D147" s="1"/>
      <c r="E147" s="1"/>
      <c r="F147" s="1"/>
      <c r="G147" s="1"/>
      <c r="H147" s="1"/>
      <c r="K147" s="1"/>
      <c r="L147" s="1"/>
      <c r="M147" s="1"/>
      <c r="N147" s="1"/>
      <c r="O147" s="1"/>
      <c r="P147" s="1"/>
      <c r="Q147" s="1"/>
      <c r="R147" s="1"/>
      <c r="S147" s="1"/>
      <c r="T147" s="1"/>
      <c r="U147" s="1"/>
      <c r="V147" s="1"/>
      <c r="W147" s="1"/>
      <c r="X147" s="1"/>
      <c r="Y147" s="1"/>
      <c r="Z147" s="1"/>
      <c r="AA147" s="1"/>
    </row>
    <row r="148" spans="2:27" ht="13.2" x14ac:dyDescent="0.25">
      <c r="B148" s="1"/>
      <c r="C148" s="1"/>
      <c r="D148" s="1"/>
      <c r="E148" s="1"/>
      <c r="F148" s="1"/>
      <c r="G148" s="1"/>
      <c r="H148" s="1"/>
      <c r="K148" s="1"/>
      <c r="L148" s="1"/>
      <c r="M148" s="1"/>
      <c r="N148" s="1"/>
      <c r="O148" s="1"/>
      <c r="P148" s="1"/>
      <c r="Q148" s="1"/>
      <c r="R148" s="1"/>
      <c r="S148" s="1"/>
      <c r="T148" s="1"/>
      <c r="U148" s="1"/>
      <c r="V148" s="1"/>
      <c r="W148" s="1"/>
      <c r="X148" s="1"/>
      <c r="Y148" s="1"/>
      <c r="Z148" s="1"/>
      <c r="AA148" s="1"/>
    </row>
    <row r="149" spans="2:27" ht="13.2" x14ac:dyDescent="0.25">
      <c r="B149" s="1"/>
      <c r="C149" s="1"/>
      <c r="D149" s="1"/>
      <c r="E149" s="1"/>
      <c r="F149" s="1"/>
      <c r="G149" s="1"/>
      <c r="H149" s="1"/>
      <c r="K149" s="1"/>
      <c r="L149" s="1"/>
      <c r="M149" s="1"/>
      <c r="N149" s="1"/>
      <c r="O149" s="1"/>
      <c r="P149" s="1"/>
      <c r="Q149" s="1"/>
      <c r="R149" s="1"/>
      <c r="S149" s="1"/>
      <c r="T149" s="1"/>
      <c r="U149" s="1"/>
      <c r="V149" s="1"/>
      <c r="W149" s="1"/>
      <c r="X149" s="1"/>
      <c r="Y149" s="1"/>
      <c r="Z149" s="1"/>
      <c r="AA149" s="1"/>
    </row>
    <row r="150" spans="2:27" ht="13.2" x14ac:dyDescent="0.25">
      <c r="B150" s="1"/>
      <c r="C150" s="1"/>
      <c r="D150" s="1"/>
      <c r="E150" s="1"/>
      <c r="F150" s="1"/>
      <c r="G150" s="1"/>
      <c r="H150" s="1"/>
      <c r="K150" s="1"/>
      <c r="L150" s="1"/>
      <c r="M150" s="1"/>
      <c r="N150" s="1"/>
      <c r="O150" s="1"/>
      <c r="P150" s="1"/>
      <c r="Q150" s="1"/>
      <c r="R150" s="1"/>
      <c r="S150" s="1"/>
      <c r="T150" s="1"/>
      <c r="U150" s="1"/>
      <c r="V150" s="1"/>
      <c r="W150" s="1"/>
      <c r="X150" s="1"/>
      <c r="Y150" s="1"/>
      <c r="Z150" s="1"/>
      <c r="AA150" s="1"/>
    </row>
    <row r="151" spans="2:27" ht="13.2" x14ac:dyDescent="0.25">
      <c r="B151" s="1"/>
      <c r="C151" s="1"/>
      <c r="D151" s="1"/>
      <c r="E151" s="1"/>
      <c r="F151" s="1"/>
      <c r="G151" s="1"/>
      <c r="H151" s="1"/>
      <c r="K151" s="1"/>
      <c r="L151" s="1"/>
      <c r="M151" s="1"/>
      <c r="N151" s="1"/>
      <c r="O151" s="1"/>
      <c r="P151" s="1"/>
      <c r="Q151" s="1"/>
      <c r="R151" s="1"/>
      <c r="S151" s="1"/>
      <c r="T151" s="1"/>
      <c r="U151" s="1"/>
      <c r="V151" s="1"/>
      <c r="W151" s="1"/>
      <c r="X151" s="1"/>
      <c r="Y151" s="1"/>
      <c r="Z151" s="1"/>
      <c r="AA151" s="1"/>
    </row>
    <row r="152" spans="2:27" ht="13.2" x14ac:dyDescent="0.25">
      <c r="B152" s="1"/>
      <c r="C152" s="1"/>
      <c r="D152" s="1"/>
      <c r="E152" s="1"/>
      <c r="F152" s="1"/>
      <c r="G152" s="1"/>
      <c r="H152" s="1"/>
      <c r="K152" s="1"/>
      <c r="L152" s="1"/>
      <c r="M152" s="1"/>
      <c r="N152" s="1"/>
      <c r="O152" s="1"/>
      <c r="P152" s="1"/>
      <c r="Q152" s="1"/>
      <c r="R152" s="1"/>
      <c r="S152" s="1"/>
      <c r="T152" s="1"/>
      <c r="U152" s="1"/>
      <c r="V152" s="1"/>
      <c r="W152" s="1"/>
      <c r="X152" s="1"/>
      <c r="Y152" s="1"/>
      <c r="Z152" s="1"/>
      <c r="AA152" s="1"/>
    </row>
    <row r="153" spans="2:27" ht="13.2" x14ac:dyDescent="0.25">
      <c r="B153" s="1"/>
      <c r="C153" s="1"/>
      <c r="D153" s="1"/>
      <c r="E153" s="1"/>
      <c r="F153" s="1"/>
      <c r="G153" s="1"/>
      <c r="H153" s="1"/>
      <c r="K153" s="1"/>
      <c r="L153" s="1"/>
      <c r="M153" s="1"/>
      <c r="N153" s="1"/>
      <c r="O153" s="1"/>
      <c r="P153" s="1"/>
      <c r="Q153" s="1"/>
      <c r="R153" s="1"/>
      <c r="S153" s="1"/>
      <c r="T153" s="1"/>
      <c r="U153" s="1"/>
      <c r="V153" s="1"/>
      <c r="W153" s="1"/>
      <c r="X153" s="1"/>
      <c r="Y153" s="1"/>
      <c r="Z153" s="1"/>
      <c r="AA153" s="1"/>
    </row>
    <row r="154" spans="2:27" ht="13.2" x14ac:dyDescent="0.25">
      <c r="B154" s="1"/>
      <c r="C154" s="1"/>
      <c r="D154" s="1"/>
      <c r="E154" s="1"/>
      <c r="F154" s="1"/>
      <c r="G154" s="1"/>
      <c r="H154" s="1"/>
      <c r="K154" s="1"/>
      <c r="L154" s="1"/>
      <c r="M154" s="1"/>
      <c r="N154" s="1"/>
      <c r="O154" s="1"/>
      <c r="P154" s="1"/>
      <c r="Q154" s="1"/>
      <c r="R154" s="1"/>
      <c r="S154" s="1"/>
      <c r="T154" s="1"/>
      <c r="U154" s="1"/>
      <c r="V154" s="1"/>
      <c r="W154" s="1"/>
      <c r="X154" s="1"/>
      <c r="Y154" s="1"/>
      <c r="Z154" s="1"/>
      <c r="AA154" s="1"/>
    </row>
    <row r="155" spans="2:27" ht="13.2" x14ac:dyDescent="0.25">
      <c r="B155" s="1"/>
      <c r="C155" s="1"/>
      <c r="D155" s="1"/>
      <c r="E155" s="1"/>
      <c r="F155" s="1"/>
      <c r="G155" s="1"/>
      <c r="H155" s="1"/>
      <c r="K155" s="1"/>
      <c r="L155" s="1"/>
      <c r="M155" s="1"/>
      <c r="N155" s="1"/>
      <c r="O155" s="1"/>
      <c r="P155" s="1"/>
      <c r="Q155" s="1"/>
      <c r="R155" s="1"/>
      <c r="S155" s="1"/>
      <c r="T155" s="1"/>
      <c r="U155" s="1"/>
      <c r="V155" s="1"/>
      <c r="W155" s="1"/>
      <c r="X155" s="1"/>
      <c r="Y155" s="1"/>
      <c r="Z155" s="1"/>
      <c r="AA155" s="1"/>
    </row>
    <row r="156" spans="2:27" ht="13.2" x14ac:dyDescent="0.25">
      <c r="B156" s="1"/>
      <c r="C156" s="1"/>
      <c r="D156" s="1"/>
      <c r="E156" s="1"/>
      <c r="F156" s="1"/>
      <c r="G156" s="1"/>
      <c r="H156" s="1"/>
      <c r="K156" s="1"/>
      <c r="L156" s="1"/>
      <c r="M156" s="1"/>
      <c r="N156" s="1"/>
      <c r="O156" s="1"/>
      <c r="P156" s="1"/>
      <c r="Q156" s="1"/>
      <c r="R156" s="1"/>
      <c r="S156" s="1"/>
      <c r="T156" s="1"/>
      <c r="U156" s="1"/>
      <c r="V156" s="1"/>
      <c r="W156" s="1"/>
      <c r="X156" s="1"/>
      <c r="Y156" s="1"/>
      <c r="Z156" s="1"/>
      <c r="AA156" s="1"/>
    </row>
    <row r="157" spans="2:27" ht="13.2" x14ac:dyDescent="0.25">
      <c r="B157" s="1"/>
      <c r="C157" s="1"/>
      <c r="D157" s="1"/>
      <c r="E157" s="1"/>
      <c r="F157" s="1"/>
      <c r="G157" s="1"/>
      <c r="H157" s="1"/>
      <c r="K157" s="1"/>
      <c r="L157" s="1"/>
      <c r="M157" s="1"/>
      <c r="N157" s="1"/>
      <c r="O157" s="1"/>
      <c r="P157" s="1"/>
      <c r="Q157" s="1"/>
      <c r="R157" s="1"/>
      <c r="S157" s="1"/>
      <c r="T157" s="1"/>
      <c r="U157" s="1"/>
      <c r="V157" s="1"/>
      <c r="W157" s="1"/>
      <c r="X157" s="1"/>
      <c r="Y157" s="1"/>
      <c r="Z157" s="1"/>
      <c r="AA157" s="1"/>
    </row>
    <row r="158" spans="2:27" ht="13.2" x14ac:dyDescent="0.25">
      <c r="B158" s="1"/>
      <c r="C158" s="1"/>
      <c r="D158" s="1"/>
      <c r="E158" s="1"/>
      <c r="F158" s="1"/>
      <c r="G158" s="1"/>
      <c r="H158" s="1"/>
      <c r="K158" s="1"/>
      <c r="L158" s="1"/>
      <c r="M158" s="1"/>
      <c r="N158" s="1"/>
      <c r="O158" s="1"/>
      <c r="P158" s="1"/>
      <c r="Q158" s="1"/>
      <c r="R158" s="1"/>
      <c r="S158" s="1"/>
      <c r="T158" s="1"/>
      <c r="U158" s="1"/>
      <c r="V158" s="1"/>
      <c r="W158" s="1"/>
      <c r="X158" s="1"/>
      <c r="Y158" s="1"/>
      <c r="Z158" s="1"/>
      <c r="AA158" s="1"/>
    </row>
    <row r="159" spans="2:27" ht="13.2" x14ac:dyDescent="0.25">
      <c r="B159" s="1"/>
      <c r="C159" s="1"/>
      <c r="D159" s="1"/>
      <c r="E159" s="1"/>
      <c r="F159" s="1"/>
      <c r="G159" s="1"/>
      <c r="H159" s="1"/>
      <c r="K159" s="1"/>
      <c r="L159" s="1"/>
      <c r="M159" s="1"/>
      <c r="N159" s="1"/>
      <c r="O159" s="1"/>
      <c r="P159" s="1"/>
      <c r="Q159" s="1"/>
      <c r="R159" s="1"/>
      <c r="S159" s="1"/>
      <c r="T159" s="1"/>
      <c r="U159" s="1"/>
      <c r="V159" s="1"/>
      <c r="W159" s="1"/>
      <c r="X159" s="1"/>
      <c r="Y159" s="1"/>
      <c r="Z159" s="1"/>
      <c r="AA159" s="1"/>
    </row>
    <row r="160" spans="2:27" ht="13.2" x14ac:dyDescent="0.25">
      <c r="B160" s="1"/>
      <c r="C160" s="1"/>
      <c r="D160" s="1"/>
      <c r="E160" s="1"/>
      <c r="F160" s="1"/>
      <c r="G160" s="1"/>
      <c r="H160" s="1"/>
      <c r="K160" s="1"/>
      <c r="L160" s="1"/>
      <c r="M160" s="1"/>
      <c r="N160" s="1"/>
      <c r="O160" s="1"/>
      <c r="P160" s="1"/>
      <c r="Q160" s="1"/>
      <c r="R160" s="1"/>
      <c r="S160" s="1"/>
      <c r="T160" s="1"/>
      <c r="U160" s="1"/>
      <c r="V160" s="1"/>
      <c r="W160" s="1"/>
      <c r="X160" s="1"/>
      <c r="Y160" s="1"/>
      <c r="Z160" s="1"/>
      <c r="AA160" s="1"/>
    </row>
    <row r="161" spans="2:27" ht="13.2" x14ac:dyDescent="0.25">
      <c r="B161" s="1"/>
      <c r="C161" s="1"/>
      <c r="D161" s="1"/>
      <c r="E161" s="1"/>
      <c r="F161" s="1"/>
      <c r="G161" s="1"/>
      <c r="H161" s="1"/>
      <c r="K161" s="1"/>
      <c r="L161" s="1"/>
      <c r="M161" s="1"/>
      <c r="N161" s="1"/>
      <c r="O161" s="1"/>
      <c r="P161" s="1"/>
      <c r="Q161" s="1"/>
      <c r="R161" s="1"/>
      <c r="S161" s="1"/>
      <c r="T161" s="1"/>
      <c r="U161" s="1"/>
      <c r="V161" s="1"/>
      <c r="W161" s="1"/>
      <c r="X161" s="1"/>
      <c r="Y161" s="1"/>
      <c r="Z161" s="1"/>
      <c r="AA161" s="1"/>
    </row>
    <row r="162" spans="2:27" ht="13.2" x14ac:dyDescent="0.25">
      <c r="B162" s="1"/>
      <c r="C162" s="1"/>
      <c r="D162" s="1"/>
      <c r="E162" s="1"/>
      <c r="F162" s="1"/>
      <c r="G162" s="1"/>
      <c r="H162" s="1"/>
      <c r="K162" s="1"/>
      <c r="L162" s="1"/>
      <c r="M162" s="1"/>
      <c r="N162" s="1"/>
      <c r="O162" s="1"/>
      <c r="P162" s="1"/>
      <c r="Q162" s="1"/>
      <c r="R162" s="1"/>
      <c r="S162" s="1"/>
      <c r="T162" s="1"/>
      <c r="U162" s="1"/>
      <c r="V162" s="1"/>
      <c r="W162" s="1"/>
      <c r="X162" s="1"/>
      <c r="Y162" s="1"/>
      <c r="Z162" s="1"/>
      <c r="AA162" s="1"/>
    </row>
    <row r="163" spans="2:27" ht="13.2" x14ac:dyDescent="0.25">
      <c r="B163" s="1"/>
      <c r="C163" s="1"/>
      <c r="D163" s="1"/>
      <c r="E163" s="1"/>
      <c r="F163" s="1"/>
      <c r="G163" s="1"/>
      <c r="H163" s="1"/>
      <c r="K163" s="1"/>
      <c r="L163" s="1"/>
      <c r="M163" s="1"/>
      <c r="N163" s="1"/>
      <c r="O163" s="1"/>
      <c r="P163" s="1"/>
      <c r="Q163" s="1"/>
      <c r="R163" s="1"/>
      <c r="S163" s="1"/>
      <c r="T163" s="1"/>
      <c r="U163" s="1"/>
      <c r="V163" s="1"/>
      <c r="W163" s="1"/>
      <c r="X163" s="1"/>
      <c r="Y163" s="1"/>
      <c r="Z163" s="1"/>
      <c r="AA163" s="1"/>
    </row>
    <row r="164" spans="2:27" ht="13.2" x14ac:dyDescent="0.25">
      <c r="B164" s="1"/>
      <c r="C164" s="1"/>
      <c r="D164" s="1"/>
      <c r="E164" s="1"/>
      <c r="F164" s="1"/>
      <c r="G164" s="1"/>
      <c r="H164" s="1"/>
      <c r="K164" s="1"/>
      <c r="L164" s="1"/>
      <c r="M164" s="1"/>
      <c r="N164" s="1"/>
      <c r="O164" s="1"/>
      <c r="P164" s="1"/>
      <c r="Q164" s="1"/>
      <c r="R164" s="1"/>
      <c r="S164" s="1"/>
      <c r="T164" s="1"/>
      <c r="U164" s="1"/>
      <c r="V164" s="1"/>
      <c r="W164" s="1"/>
      <c r="X164" s="1"/>
      <c r="Y164" s="1"/>
      <c r="Z164" s="1"/>
      <c r="AA164" s="1"/>
    </row>
    <row r="165" spans="2:27" ht="13.2" x14ac:dyDescent="0.25">
      <c r="B165" s="1"/>
      <c r="C165" s="1"/>
      <c r="D165" s="1"/>
      <c r="E165" s="1"/>
      <c r="F165" s="1"/>
      <c r="G165" s="1"/>
      <c r="H165" s="1"/>
      <c r="K165" s="1"/>
      <c r="L165" s="1"/>
      <c r="M165" s="1"/>
      <c r="N165" s="1"/>
      <c r="O165" s="1"/>
      <c r="P165" s="1"/>
      <c r="Q165" s="1"/>
      <c r="R165" s="1"/>
      <c r="S165" s="1"/>
      <c r="T165" s="1"/>
      <c r="U165" s="1"/>
      <c r="V165" s="1"/>
      <c r="W165" s="1"/>
      <c r="X165" s="1"/>
      <c r="Y165" s="1"/>
      <c r="Z165" s="1"/>
      <c r="AA165" s="1"/>
    </row>
    <row r="166" spans="2:27" ht="13.2" x14ac:dyDescent="0.25">
      <c r="B166" s="1"/>
      <c r="C166" s="1"/>
      <c r="D166" s="1"/>
      <c r="E166" s="1"/>
      <c r="F166" s="1"/>
      <c r="G166" s="1"/>
      <c r="H166" s="1"/>
      <c r="K166" s="1"/>
      <c r="L166" s="1"/>
      <c r="M166" s="1"/>
      <c r="N166" s="1"/>
      <c r="O166" s="1"/>
      <c r="P166" s="1"/>
      <c r="Q166" s="1"/>
      <c r="R166" s="1"/>
      <c r="S166" s="1"/>
      <c r="T166" s="1"/>
      <c r="U166" s="1"/>
      <c r="V166" s="1"/>
      <c r="W166" s="1"/>
      <c r="X166" s="1"/>
      <c r="Y166" s="1"/>
      <c r="Z166" s="1"/>
      <c r="AA166" s="1"/>
    </row>
    <row r="167" spans="2:27" ht="13.2" x14ac:dyDescent="0.25">
      <c r="B167" s="1"/>
      <c r="C167" s="1"/>
      <c r="D167" s="1"/>
      <c r="E167" s="1"/>
      <c r="F167" s="1"/>
      <c r="G167" s="1"/>
      <c r="H167" s="1"/>
      <c r="K167" s="1"/>
      <c r="L167" s="1"/>
      <c r="M167" s="1"/>
      <c r="N167" s="1"/>
      <c r="O167" s="1"/>
      <c r="P167" s="1"/>
      <c r="Q167" s="1"/>
      <c r="R167" s="1"/>
      <c r="S167" s="1"/>
      <c r="T167" s="1"/>
      <c r="U167" s="1"/>
      <c r="V167" s="1"/>
      <c r="W167" s="1"/>
      <c r="X167" s="1"/>
      <c r="Y167" s="1"/>
      <c r="Z167" s="1"/>
      <c r="AA167" s="1"/>
    </row>
    <row r="168" spans="2:27" ht="13.2" x14ac:dyDescent="0.25">
      <c r="B168" s="1"/>
      <c r="C168" s="1"/>
      <c r="D168" s="1"/>
      <c r="E168" s="1"/>
      <c r="F168" s="1"/>
      <c r="G168" s="1"/>
      <c r="H168" s="1"/>
      <c r="K168" s="1"/>
      <c r="L168" s="1"/>
      <c r="M168" s="1"/>
      <c r="N168" s="1"/>
      <c r="O168" s="1"/>
      <c r="P168" s="1"/>
      <c r="Q168" s="1"/>
      <c r="R168" s="1"/>
      <c r="S168" s="1"/>
      <c r="T168" s="1"/>
      <c r="U168" s="1"/>
      <c r="V168" s="1"/>
      <c r="W168" s="1"/>
      <c r="X168" s="1"/>
      <c r="Y168" s="1"/>
      <c r="Z168" s="1"/>
      <c r="AA168" s="1"/>
    </row>
    <row r="169" spans="2:27" ht="13.2" x14ac:dyDescent="0.25">
      <c r="B169" s="1"/>
      <c r="C169" s="1"/>
      <c r="D169" s="1"/>
      <c r="E169" s="1"/>
      <c r="F169" s="1"/>
      <c r="G169" s="1"/>
      <c r="H169" s="1"/>
      <c r="K169" s="1"/>
      <c r="L169" s="1"/>
      <c r="M169" s="1"/>
      <c r="N169" s="1"/>
      <c r="O169" s="1"/>
      <c r="P169" s="1"/>
      <c r="Q169" s="1"/>
      <c r="R169" s="1"/>
      <c r="S169" s="1"/>
      <c r="T169" s="1"/>
      <c r="U169" s="1"/>
      <c r="V169" s="1"/>
      <c r="W169" s="1"/>
      <c r="X169" s="1"/>
      <c r="Y169" s="1"/>
      <c r="Z169" s="1"/>
      <c r="AA169" s="1"/>
    </row>
    <row r="170" spans="2:27" ht="13.2" x14ac:dyDescent="0.25">
      <c r="B170" s="1"/>
      <c r="C170" s="1"/>
      <c r="D170" s="1"/>
      <c r="E170" s="1"/>
      <c r="F170" s="1"/>
      <c r="G170" s="1"/>
      <c r="H170" s="1"/>
      <c r="K170" s="1"/>
      <c r="L170" s="1"/>
      <c r="M170" s="1"/>
      <c r="N170" s="1"/>
      <c r="O170" s="1"/>
      <c r="P170" s="1"/>
      <c r="Q170" s="1"/>
      <c r="R170" s="1"/>
      <c r="S170" s="1"/>
      <c r="T170" s="1"/>
      <c r="U170" s="1"/>
      <c r="V170" s="1"/>
      <c r="W170" s="1"/>
      <c r="X170" s="1"/>
      <c r="Y170" s="1"/>
      <c r="Z170" s="1"/>
      <c r="AA170" s="1"/>
    </row>
    <row r="171" spans="2:27" ht="13.2" x14ac:dyDescent="0.25">
      <c r="B171" s="1"/>
      <c r="C171" s="1"/>
      <c r="D171" s="1"/>
      <c r="E171" s="1"/>
      <c r="F171" s="1"/>
      <c r="G171" s="1"/>
      <c r="H171" s="1"/>
      <c r="K171" s="1"/>
      <c r="L171" s="1"/>
      <c r="M171" s="1"/>
      <c r="N171" s="1"/>
      <c r="O171" s="1"/>
      <c r="P171" s="1"/>
      <c r="Q171" s="1"/>
      <c r="R171" s="1"/>
      <c r="S171" s="1"/>
      <c r="T171" s="1"/>
      <c r="U171" s="1"/>
      <c r="V171" s="1"/>
      <c r="W171" s="1"/>
      <c r="X171" s="1"/>
      <c r="Y171" s="1"/>
      <c r="Z171" s="1"/>
      <c r="AA171" s="1"/>
    </row>
    <row r="172" spans="2:27" ht="13.2" x14ac:dyDescent="0.25">
      <c r="B172" s="1"/>
      <c r="C172" s="1"/>
      <c r="D172" s="1"/>
      <c r="E172" s="1"/>
      <c r="F172" s="1"/>
      <c r="G172" s="1"/>
      <c r="H172" s="1"/>
      <c r="K172" s="1"/>
      <c r="L172" s="1"/>
      <c r="M172" s="1"/>
      <c r="N172" s="1"/>
      <c r="O172" s="1"/>
      <c r="P172" s="1"/>
      <c r="Q172" s="1"/>
      <c r="R172" s="1"/>
      <c r="S172" s="1"/>
      <c r="T172" s="1"/>
      <c r="U172" s="1"/>
      <c r="V172" s="1"/>
      <c r="W172" s="1"/>
      <c r="X172" s="1"/>
      <c r="Y172" s="1"/>
      <c r="Z172" s="1"/>
      <c r="AA172" s="1"/>
    </row>
    <row r="173" spans="2:27" ht="13.2" x14ac:dyDescent="0.25">
      <c r="B173" s="1"/>
      <c r="C173" s="1"/>
      <c r="D173" s="1"/>
      <c r="E173" s="1"/>
      <c r="F173" s="1"/>
      <c r="G173" s="1"/>
      <c r="H173" s="1"/>
      <c r="K173" s="1"/>
      <c r="L173" s="1"/>
      <c r="M173" s="1"/>
      <c r="N173" s="1"/>
      <c r="O173" s="1"/>
      <c r="P173" s="1"/>
      <c r="Q173" s="1"/>
      <c r="R173" s="1"/>
      <c r="S173" s="1"/>
      <c r="T173" s="1"/>
      <c r="U173" s="1"/>
      <c r="V173" s="1"/>
      <c r="W173" s="1"/>
      <c r="X173" s="1"/>
      <c r="Y173" s="1"/>
      <c r="Z173" s="1"/>
      <c r="AA173" s="1"/>
    </row>
    <row r="174" spans="2:27" ht="13.2" x14ac:dyDescent="0.25">
      <c r="B174" s="1"/>
      <c r="C174" s="1"/>
      <c r="D174" s="1"/>
      <c r="E174" s="1"/>
      <c r="F174" s="1"/>
      <c r="G174" s="1"/>
      <c r="H174" s="1"/>
      <c r="K174" s="1"/>
      <c r="L174" s="1"/>
      <c r="M174" s="1"/>
      <c r="N174" s="1"/>
      <c r="O174" s="1"/>
      <c r="P174" s="1"/>
      <c r="Q174" s="1"/>
      <c r="R174" s="1"/>
      <c r="S174" s="1"/>
      <c r="T174" s="1"/>
      <c r="U174" s="1"/>
      <c r="V174" s="1"/>
      <c r="W174" s="1"/>
      <c r="X174" s="1"/>
      <c r="Y174" s="1"/>
      <c r="Z174" s="1"/>
      <c r="AA174" s="1"/>
    </row>
    <row r="175" spans="2:27" ht="13.2" x14ac:dyDescent="0.25">
      <c r="B175" s="1"/>
      <c r="C175" s="1"/>
      <c r="D175" s="1"/>
      <c r="E175" s="1"/>
      <c r="F175" s="1"/>
      <c r="G175" s="1"/>
      <c r="H175" s="1"/>
      <c r="K175" s="1"/>
      <c r="L175" s="1"/>
      <c r="M175" s="1"/>
      <c r="N175" s="1"/>
      <c r="O175" s="1"/>
      <c r="P175" s="1"/>
      <c r="Q175" s="1"/>
      <c r="R175" s="1"/>
      <c r="S175" s="1"/>
      <c r="T175" s="1"/>
      <c r="U175" s="1"/>
      <c r="V175" s="1"/>
      <c r="W175" s="1"/>
      <c r="X175" s="1"/>
      <c r="Y175" s="1"/>
      <c r="Z175" s="1"/>
      <c r="AA175" s="1"/>
    </row>
    <row r="176" spans="2:27" ht="13.2" x14ac:dyDescent="0.25">
      <c r="B176" s="1"/>
      <c r="C176" s="1"/>
      <c r="D176" s="1"/>
      <c r="E176" s="1"/>
      <c r="F176" s="1"/>
      <c r="G176" s="1"/>
      <c r="H176" s="1"/>
      <c r="K176" s="1"/>
      <c r="L176" s="1"/>
      <c r="M176" s="1"/>
      <c r="N176" s="1"/>
      <c r="O176" s="1"/>
      <c r="P176" s="1"/>
      <c r="Q176" s="1"/>
      <c r="R176" s="1"/>
      <c r="S176" s="1"/>
      <c r="T176" s="1"/>
      <c r="U176" s="1"/>
      <c r="V176" s="1"/>
      <c r="W176" s="1"/>
      <c r="X176" s="1"/>
      <c r="Y176" s="1"/>
      <c r="Z176" s="1"/>
      <c r="AA176" s="1"/>
    </row>
    <row r="177" spans="2:27" ht="13.2" x14ac:dyDescent="0.25">
      <c r="B177" s="1"/>
      <c r="C177" s="1"/>
      <c r="D177" s="1"/>
      <c r="E177" s="1"/>
      <c r="F177" s="1"/>
      <c r="G177" s="1"/>
      <c r="H177" s="1"/>
      <c r="K177" s="1"/>
      <c r="L177" s="1"/>
      <c r="M177" s="1"/>
      <c r="N177" s="1"/>
      <c r="O177" s="1"/>
      <c r="P177" s="1"/>
      <c r="Q177" s="1"/>
      <c r="R177" s="1"/>
      <c r="S177" s="1"/>
      <c r="T177" s="1"/>
      <c r="U177" s="1"/>
      <c r="V177" s="1"/>
      <c r="W177" s="1"/>
      <c r="X177" s="1"/>
      <c r="Y177" s="1"/>
      <c r="Z177" s="1"/>
      <c r="AA177" s="1"/>
    </row>
    <row r="178" spans="2:27" ht="13.2" x14ac:dyDescent="0.25">
      <c r="B178" s="1"/>
      <c r="C178" s="1"/>
      <c r="D178" s="1"/>
      <c r="E178" s="1"/>
      <c r="F178" s="1"/>
      <c r="G178" s="1"/>
      <c r="H178" s="1"/>
      <c r="K178" s="1"/>
      <c r="L178" s="1"/>
      <c r="M178" s="1"/>
      <c r="N178" s="1"/>
      <c r="O178" s="1"/>
      <c r="P178" s="1"/>
      <c r="Q178" s="1"/>
      <c r="R178" s="1"/>
      <c r="S178" s="1"/>
      <c r="T178" s="1"/>
      <c r="U178" s="1"/>
      <c r="V178" s="1"/>
      <c r="W178" s="1"/>
      <c r="X178" s="1"/>
      <c r="Y178" s="1"/>
      <c r="Z178" s="1"/>
      <c r="AA178" s="1"/>
    </row>
    <row r="179" spans="2:27" ht="13.2" x14ac:dyDescent="0.25">
      <c r="B179" s="1"/>
      <c r="C179" s="1"/>
      <c r="D179" s="1"/>
      <c r="E179" s="1"/>
      <c r="F179" s="1"/>
      <c r="G179" s="1"/>
      <c r="H179" s="1"/>
      <c r="K179" s="1"/>
      <c r="L179" s="1"/>
      <c r="M179" s="1"/>
      <c r="N179" s="1"/>
      <c r="O179" s="1"/>
      <c r="P179" s="1"/>
      <c r="Q179" s="1"/>
      <c r="R179" s="1"/>
      <c r="S179" s="1"/>
      <c r="T179" s="1"/>
      <c r="U179" s="1"/>
      <c r="V179" s="1"/>
      <c r="W179" s="1"/>
      <c r="X179" s="1"/>
      <c r="Y179" s="1"/>
      <c r="Z179" s="1"/>
      <c r="AA179" s="1"/>
    </row>
    <row r="180" spans="2:27" ht="13.2" x14ac:dyDescent="0.25">
      <c r="B180" s="1"/>
      <c r="C180" s="1"/>
      <c r="D180" s="1"/>
      <c r="E180" s="1"/>
      <c r="F180" s="1"/>
      <c r="G180" s="1"/>
      <c r="H180" s="1"/>
      <c r="K180" s="1"/>
      <c r="L180" s="1"/>
      <c r="M180" s="1"/>
      <c r="N180" s="1"/>
      <c r="O180" s="1"/>
      <c r="P180" s="1"/>
      <c r="Q180" s="1"/>
      <c r="R180" s="1"/>
      <c r="S180" s="1"/>
      <c r="T180" s="1"/>
      <c r="U180" s="1"/>
      <c r="V180" s="1"/>
      <c r="W180" s="1"/>
      <c r="X180" s="1"/>
      <c r="Y180" s="1"/>
      <c r="Z180" s="1"/>
      <c r="AA180" s="1"/>
    </row>
    <row r="181" spans="2:27" ht="13.2" x14ac:dyDescent="0.25">
      <c r="B181" s="1"/>
      <c r="C181" s="1"/>
      <c r="D181" s="1"/>
      <c r="E181" s="1"/>
      <c r="F181" s="1"/>
      <c r="G181" s="1"/>
      <c r="H181" s="1"/>
      <c r="K181" s="1"/>
      <c r="L181" s="1"/>
      <c r="M181" s="1"/>
      <c r="N181" s="1"/>
      <c r="O181" s="1"/>
      <c r="P181" s="1"/>
      <c r="Q181" s="1"/>
      <c r="R181" s="1"/>
      <c r="S181" s="1"/>
      <c r="T181" s="1"/>
      <c r="U181" s="1"/>
      <c r="V181" s="1"/>
      <c r="W181" s="1"/>
      <c r="X181" s="1"/>
      <c r="Y181" s="1"/>
      <c r="Z181" s="1"/>
      <c r="AA181" s="1"/>
    </row>
    <row r="182" spans="2:27" ht="13.2" x14ac:dyDescent="0.25">
      <c r="B182" s="1"/>
      <c r="C182" s="1"/>
      <c r="D182" s="1"/>
      <c r="E182" s="1"/>
      <c r="F182" s="1"/>
      <c r="G182" s="1"/>
      <c r="H182" s="1"/>
      <c r="K182" s="1"/>
      <c r="L182" s="1"/>
      <c r="M182" s="1"/>
      <c r="N182" s="1"/>
      <c r="O182" s="1"/>
      <c r="P182" s="1"/>
      <c r="Q182" s="1"/>
      <c r="R182" s="1"/>
      <c r="S182" s="1"/>
      <c r="T182" s="1"/>
      <c r="U182" s="1"/>
      <c r="V182" s="1"/>
      <c r="W182" s="1"/>
      <c r="X182" s="1"/>
      <c r="Y182" s="1"/>
      <c r="Z182" s="1"/>
      <c r="AA182" s="1"/>
    </row>
    <row r="183" spans="2:27" ht="13.2" x14ac:dyDescent="0.25">
      <c r="B183" s="1"/>
      <c r="C183" s="1"/>
      <c r="D183" s="1"/>
      <c r="E183" s="1"/>
      <c r="F183" s="1"/>
      <c r="G183" s="1"/>
      <c r="H183" s="1"/>
      <c r="K183" s="1"/>
      <c r="L183" s="1"/>
      <c r="M183" s="1"/>
      <c r="N183" s="1"/>
      <c r="O183" s="1"/>
      <c r="P183" s="1"/>
      <c r="Q183" s="1"/>
      <c r="R183" s="1"/>
      <c r="S183" s="1"/>
      <c r="T183" s="1"/>
      <c r="U183" s="1"/>
      <c r="V183" s="1"/>
      <c r="W183" s="1"/>
      <c r="X183" s="1"/>
      <c r="Y183" s="1"/>
      <c r="Z183" s="1"/>
      <c r="AA183" s="1"/>
    </row>
    <row r="184" spans="2:27" ht="13.2" x14ac:dyDescent="0.25">
      <c r="B184" s="1"/>
      <c r="C184" s="1"/>
      <c r="D184" s="1"/>
      <c r="E184" s="1"/>
      <c r="F184" s="1"/>
      <c r="G184" s="1"/>
      <c r="H184" s="1"/>
      <c r="K184" s="1"/>
      <c r="L184" s="1"/>
      <c r="M184" s="1"/>
      <c r="N184" s="1"/>
      <c r="O184" s="1"/>
      <c r="P184" s="1"/>
      <c r="Q184" s="1"/>
      <c r="R184" s="1"/>
      <c r="S184" s="1"/>
      <c r="T184" s="1"/>
      <c r="U184" s="1"/>
      <c r="V184" s="1"/>
      <c r="W184" s="1"/>
      <c r="X184" s="1"/>
      <c r="Y184" s="1"/>
      <c r="Z184" s="1"/>
      <c r="AA184" s="1"/>
    </row>
    <row r="185" spans="2:27" ht="13.2" x14ac:dyDescent="0.25">
      <c r="B185" s="1"/>
      <c r="C185" s="1"/>
      <c r="D185" s="1"/>
      <c r="E185" s="1"/>
      <c r="F185" s="1"/>
      <c r="G185" s="1"/>
      <c r="H185" s="1"/>
      <c r="K185" s="1"/>
      <c r="L185" s="1"/>
      <c r="M185" s="1"/>
      <c r="N185" s="1"/>
      <c r="O185" s="1"/>
      <c r="P185" s="1"/>
      <c r="Q185" s="1"/>
      <c r="R185" s="1"/>
      <c r="S185" s="1"/>
      <c r="T185" s="1"/>
      <c r="U185" s="1"/>
      <c r="V185" s="1"/>
      <c r="W185" s="1"/>
      <c r="X185" s="1"/>
      <c r="Y185" s="1"/>
      <c r="Z185" s="1"/>
      <c r="AA185" s="1"/>
    </row>
    <row r="186" spans="2:27" ht="13.2" x14ac:dyDescent="0.25">
      <c r="B186" s="1"/>
      <c r="C186" s="1"/>
      <c r="D186" s="1"/>
      <c r="E186" s="1"/>
      <c r="F186" s="1"/>
      <c r="G186" s="1"/>
      <c r="H186" s="1"/>
      <c r="K186" s="1"/>
      <c r="L186" s="1"/>
      <c r="M186" s="1"/>
      <c r="N186" s="1"/>
      <c r="O186" s="1"/>
      <c r="P186" s="1"/>
      <c r="Q186" s="1"/>
      <c r="R186" s="1"/>
      <c r="S186" s="1"/>
      <c r="T186" s="1"/>
      <c r="U186" s="1"/>
      <c r="V186" s="1"/>
      <c r="W186" s="1"/>
      <c r="X186" s="1"/>
      <c r="Y186" s="1"/>
      <c r="Z186" s="1"/>
      <c r="AA186" s="1"/>
    </row>
    <row r="187" spans="2:27" ht="13.2" x14ac:dyDescent="0.25">
      <c r="B187" s="1"/>
      <c r="C187" s="1"/>
      <c r="D187" s="1"/>
      <c r="E187" s="1"/>
      <c r="F187" s="1"/>
      <c r="G187" s="1"/>
      <c r="H187" s="1"/>
      <c r="K187" s="1"/>
      <c r="L187" s="1"/>
      <c r="M187" s="1"/>
      <c r="N187" s="1"/>
      <c r="O187" s="1"/>
      <c r="P187" s="1"/>
      <c r="Q187" s="1"/>
      <c r="R187" s="1"/>
      <c r="S187" s="1"/>
      <c r="T187" s="1"/>
      <c r="U187" s="1"/>
      <c r="V187" s="1"/>
      <c r="W187" s="1"/>
      <c r="X187" s="1"/>
      <c r="Y187" s="1"/>
      <c r="Z187" s="1"/>
      <c r="AA187" s="1"/>
    </row>
    <row r="188" spans="2:27" ht="13.2" x14ac:dyDescent="0.25">
      <c r="B188" s="1"/>
      <c r="C188" s="1"/>
      <c r="D188" s="1"/>
      <c r="E188" s="1"/>
      <c r="F188" s="1"/>
      <c r="G188" s="1"/>
      <c r="H188" s="1"/>
      <c r="K188" s="1"/>
      <c r="L188" s="1"/>
      <c r="M188" s="1"/>
      <c r="N188" s="1"/>
      <c r="O188" s="1"/>
      <c r="P188" s="1"/>
      <c r="Q188" s="1"/>
      <c r="R188" s="1"/>
      <c r="S188" s="1"/>
      <c r="T188" s="1"/>
      <c r="U188" s="1"/>
      <c r="V188" s="1"/>
      <c r="W188" s="1"/>
      <c r="X188" s="1"/>
      <c r="Y188" s="1"/>
      <c r="Z188" s="1"/>
      <c r="AA188" s="1"/>
    </row>
    <row r="189" spans="2:27" ht="13.2" x14ac:dyDescent="0.25">
      <c r="B189" s="1"/>
      <c r="C189" s="1"/>
      <c r="D189" s="1"/>
      <c r="E189" s="1"/>
      <c r="F189" s="1"/>
      <c r="G189" s="1"/>
      <c r="H189" s="1"/>
      <c r="K189" s="1"/>
      <c r="L189" s="1"/>
      <c r="M189" s="1"/>
      <c r="N189" s="1"/>
      <c r="O189" s="1"/>
      <c r="P189" s="1"/>
      <c r="Q189" s="1"/>
      <c r="R189" s="1"/>
      <c r="S189" s="1"/>
      <c r="T189" s="1"/>
      <c r="U189" s="1"/>
      <c r="V189" s="1"/>
      <c r="W189" s="1"/>
      <c r="X189" s="1"/>
      <c r="Y189" s="1"/>
      <c r="Z189" s="1"/>
      <c r="AA189" s="1"/>
    </row>
    <row r="190" spans="2:27" ht="13.2" x14ac:dyDescent="0.25">
      <c r="B190" s="1"/>
      <c r="C190" s="1"/>
      <c r="D190" s="1"/>
      <c r="E190" s="1"/>
      <c r="F190" s="1"/>
      <c r="G190" s="1"/>
      <c r="H190" s="1"/>
      <c r="K190" s="1"/>
      <c r="L190" s="1"/>
      <c r="M190" s="1"/>
      <c r="N190" s="1"/>
      <c r="O190" s="1"/>
      <c r="P190" s="1"/>
      <c r="Q190" s="1"/>
      <c r="R190" s="1"/>
      <c r="S190" s="1"/>
      <c r="T190" s="1"/>
      <c r="U190" s="1"/>
      <c r="V190" s="1"/>
      <c r="W190" s="1"/>
      <c r="X190" s="1"/>
      <c r="Y190" s="1"/>
      <c r="Z190" s="1"/>
      <c r="AA190" s="1"/>
    </row>
    <row r="191" spans="2:27" ht="13.2" x14ac:dyDescent="0.25">
      <c r="B191" s="1"/>
      <c r="C191" s="1"/>
      <c r="D191" s="1"/>
      <c r="E191" s="1"/>
      <c r="F191" s="1"/>
      <c r="G191" s="1"/>
      <c r="H191" s="1"/>
      <c r="K191" s="1"/>
      <c r="L191" s="1"/>
      <c r="M191" s="1"/>
      <c r="N191" s="1"/>
      <c r="O191" s="1"/>
      <c r="P191" s="1"/>
      <c r="Q191" s="1"/>
      <c r="R191" s="1"/>
      <c r="S191" s="1"/>
      <c r="T191" s="1"/>
      <c r="U191" s="1"/>
      <c r="V191" s="1"/>
      <c r="W191" s="1"/>
      <c r="X191" s="1"/>
      <c r="Y191" s="1"/>
      <c r="Z191" s="1"/>
      <c r="AA191" s="1"/>
    </row>
    <row r="192" spans="2:27" ht="13.2" x14ac:dyDescent="0.25">
      <c r="B192" s="1"/>
      <c r="C192" s="1"/>
      <c r="D192" s="1"/>
      <c r="E192" s="1"/>
      <c r="F192" s="1"/>
      <c r="G192" s="1"/>
      <c r="H192" s="1"/>
      <c r="K192" s="1"/>
      <c r="L192" s="1"/>
      <c r="M192" s="1"/>
      <c r="N192" s="1"/>
      <c r="O192" s="1"/>
      <c r="P192" s="1"/>
      <c r="Q192" s="1"/>
      <c r="R192" s="1"/>
      <c r="S192" s="1"/>
      <c r="T192" s="1"/>
      <c r="U192" s="1"/>
      <c r="V192" s="1"/>
      <c r="W192" s="1"/>
      <c r="X192" s="1"/>
      <c r="Y192" s="1"/>
      <c r="Z192" s="1"/>
      <c r="AA192" s="1"/>
    </row>
    <row r="193" spans="2:27" ht="13.2" x14ac:dyDescent="0.25">
      <c r="B193" s="1"/>
      <c r="C193" s="1"/>
      <c r="D193" s="1"/>
      <c r="E193" s="1"/>
      <c r="F193" s="1"/>
      <c r="G193" s="1"/>
      <c r="H193" s="1"/>
      <c r="K193" s="1"/>
      <c r="L193" s="1"/>
      <c r="M193" s="1"/>
      <c r="N193" s="1"/>
      <c r="O193" s="1"/>
      <c r="P193" s="1"/>
      <c r="Q193" s="1"/>
      <c r="R193" s="1"/>
      <c r="S193" s="1"/>
      <c r="T193" s="1"/>
      <c r="U193" s="1"/>
      <c r="V193" s="1"/>
      <c r="W193" s="1"/>
      <c r="X193" s="1"/>
      <c r="Y193" s="1"/>
      <c r="Z193" s="1"/>
      <c r="AA193" s="1"/>
    </row>
    <row r="194" spans="2:27" ht="13.2" x14ac:dyDescent="0.25">
      <c r="B194" s="1"/>
      <c r="C194" s="1"/>
      <c r="D194" s="1"/>
      <c r="E194" s="1"/>
      <c r="F194" s="1"/>
      <c r="G194" s="1"/>
      <c r="H194" s="1"/>
      <c r="K194" s="1"/>
      <c r="L194" s="1"/>
      <c r="M194" s="1"/>
      <c r="N194" s="1"/>
      <c r="O194" s="1"/>
      <c r="P194" s="1"/>
      <c r="Q194" s="1"/>
      <c r="R194" s="1"/>
      <c r="S194" s="1"/>
      <c r="T194" s="1"/>
      <c r="U194" s="1"/>
      <c r="V194" s="1"/>
      <c r="W194" s="1"/>
      <c r="X194" s="1"/>
      <c r="Y194" s="1"/>
      <c r="Z194" s="1"/>
      <c r="AA194" s="1"/>
    </row>
    <row r="195" spans="2:27" ht="13.2" x14ac:dyDescent="0.25">
      <c r="B195" s="1"/>
      <c r="C195" s="1"/>
      <c r="D195" s="1"/>
      <c r="E195" s="1"/>
      <c r="F195" s="1"/>
      <c r="G195" s="1"/>
      <c r="H195" s="1"/>
      <c r="K195" s="1"/>
      <c r="L195" s="1"/>
      <c r="M195" s="1"/>
      <c r="N195" s="1"/>
      <c r="O195" s="1"/>
      <c r="P195" s="1"/>
      <c r="Q195" s="1"/>
      <c r="R195" s="1"/>
      <c r="S195" s="1"/>
      <c r="T195" s="1"/>
      <c r="U195" s="1"/>
      <c r="V195" s="1"/>
      <c r="W195" s="1"/>
      <c r="X195" s="1"/>
      <c r="Y195" s="1"/>
      <c r="Z195" s="1"/>
      <c r="AA195" s="1"/>
    </row>
    <row r="196" spans="2:27" ht="13.2" x14ac:dyDescent="0.25">
      <c r="B196" s="1"/>
      <c r="C196" s="1"/>
      <c r="D196" s="1"/>
      <c r="E196" s="1"/>
      <c r="F196" s="1"/>
      <c r="G196" s="1"/>
      <c r="H196" s="1"/>
      <c r="K196" s="1"/>
      <c r="L196" s="1"/>
      <c r="M196" s="1"/>
      <c r="N196" s="1"/>
      <c r="O196" s="1"/>
      <c r="P196" s="1"/>
      <c r="Q196" s="1"/>
      <c r="R196" s="1"/>
      <c r="S196" s="1"/>
      <c r="T196" s="1"/>
      <c r="U196" s="1"/>
      <c r="V196" s="1"/>
      <c r="W196" s="1"/>
      <c r="X196" s="1"/>
      <c r="Y196" s="1"/>
      <c r="Z196" s="1"/>
      <c r="AA196" s="1"/>
    </row>
    <row r="197" spans="2:27" ht="13.2" x14ac:dyDescent="0.25">
      <c r="B197" s="1"/>
      <c r="C197" s="1"/>
      <c r="D197" s="1"/>
      <c r="E197" s="1"/>
      <c r="F197" s="1"/>
      <c r="G197" s="1"/>
      <c r="H197" s="1"/>
      <c r="K197" s="1"/>
      <c r="L197" s="1"/>
      <c r="M197" s="1"/>
      <c r="N197" s="1"/>
      <c r="O197" s="1"/>
      <c r="P197" s="1"/>
      <c r="Q197" s="1"/>
      <c r="R197" s="1"/>
      <c r="S197" s="1"/>
      <c r="T197" s="1"/>
      <c r="U197" s="1"/>
      <c r="V197" s="1"/>
      <c r="W197" s="1"/>
      <c r="X197" s="1"/>
      <c r="Y197" s="1"/>
      <c r="Z197" s="1"/>
      <c r="AA197" s="1"/>
    </row>
    <row r="198" spans="2:27" ht="13.2" x14ac:dyDescent="0.25">
      <c r="B198" s="1"/>
      <c r="C198" s="1"/>
      <c r="D198" s="1"/>
      <c r="E198" s="1"/>
      <c r="F198" s="1"/>
      <c r="G198" s="1"/>
      <c r="H198" s="1"/>
      <c r="K198" s="1"/>
      <c r="L198" s="1"/>
      <c r="M198" s="1"/>
      <c r="N198" s="1"/>
      <c r="O198" s="1"/>
      <c r="P198" s="1"/>
      <c r="Q198" s="1"/>
      <c r="R198" s="1"/>
      <c r="S198" s="1"/>
      <c r="T198" s="1"/>
      <c r="U198" s="1"/>
      <c r="V198" s="1"/>
      <c r="W198" s="1"/>
      <c r="X198" s="1"/>
      <c r="Y198" s="1"/>
      <c r="Z198" s="1"/>
      <c r="AA198" s="1"/>
    </row>
    <row r="199" spans="2:27" ht="13.2" x14ac:dyDescent="0.25">
      <c r="B199" s="1"/>
      <c r="C199" s="1"/>
      <c r="D199" s="1"/>
      <c r="E199" s="1"/>
      <c r="F199" s="1"/>
      <c r="G199" s="1"/>
      <c r="H199" s="1"/>
      <c r="K199" s="1"/>
      <c r="L199" s="1"/>
      <c r="M199" s="1"/>
      <c r="N199" s="1"/>
      <c r="O199" s="1"/>
      <c r="P199" s="1"/>
      <c r="Q199" s="1"/>
      <c r="R199" s="1"/>
      <c r="S199" s="1"/>
      <c r="T199" s="1"/>
      <c r="U199" s="1"/>
      <c r="V199" s="1"/>
      <c r="W199" s="1"/>
      <c r="X199" s="1"/>
      <c r="Y199" s="1"/>
      <c r="Z199" s="1"/>
      <c r="AA199" s="1"/>
    </row>
    <row r="200" spans="2:27" ht="13.2" x14ac:dyDescent="0.25">
      <c r="B200" s="1"/>
      <c r="C200" s="1"/>
      <c r="D200" s="1"/>
      <c r="E200" s="1"/>
      <c r="F200" s="1"/>
      <c r="G200" s="1"/>
      <c r="H200" s="1"/>
      <c r="K200" s="1"/>
      <c r="L200" s="1"/>
      <c r="M200" s="1"/>
      <c r="N200" s="1"/>
      <c r="O200" s="1"/>
      <c r="P200" s="1"/>
      <c r="Q200" s="1"/>
      <c r="R200" s="1"/>
      <c r="S200" s="1"/>
      <c r="T200" s="1"/>
      <c r="U200" s="1"/>
      <c r="V200" s="1"/>
      <c r="W200" s="1"/>
      <c r="X200" s="1"/>
      <c r="Y200" s="1"/>
      <c r="Z200" s="1"/>
      <c r="AA200" s="1"/>
    </row>
    <row r="201" spans="2:27" ht="13.2" x14ac:dyDescent="0.25">
      <c r="B201" s="1"/>
      <c r="C201" s="1"/>
      <c r="D201" s="1"/>
      <c r="E201" s="1"/>
      <c r="F201" s="1"/>
      <c r="G201" s="1"/>
      <c r="H201" s="1"/>
      <c r="K201" s="1"/>
      <c r="L201" s="1"/>
      <c r="M201" s="1"/>
      <c r="N201" s="1"/>
      <c r="O201" s="1"/>
      <c r="P201" s="1"/>
      <c r="Q201" s="1"/>
      <c r="R201" s="1"/>
      <c r="S201" s="1"/>
      <c r="T201" s="1"/>
      <c r="U201" s="1"/>
      <c r="V201" s="1"/>
      <c r="W201" s="1"/>
      <c r="X201" s="1"/>
      <c r="Y201" s="1"/>
      <c r="Z201" s="1"/>
      <c r="AA201" s="1"/>
    </row>
    <row r="202" spans="2:27" ht="13.2" x14ac:dyDescent="0.25">
      <c r="B202" s="1"/>
      <c r="C202" s="1"/>
      <c r="D202" s="1"/>
      <c r="E202" s="1"/>
      <c r="F202" s="1"/>
      <c r="G202" s="1"/>
      <c r="H202" s="1"/>
      <c r="K202" s="1"/>
      <c r="L202" s="1"/>
      <c r="M202" s="1"/>
      <c r="N202" s="1"/>
      <c r="O202" s="1"/>
      <c r="P202" s="1"/>
      <c r="Q202" s="1"/>
      <c r="R202" s="1"/>
      <c r="S202" s="1"/>
      <c r="T202" s="1"/>
      <c r="U202" s="1"/>
      <c r="V202" s="1"/>
      <c r="W202" s="1"/>
      <c r="X202" s="1"/>
      <c r="Y202" s="1"/>
      <c r="Z202" s="1"/>
      <c r="AA202" s="1"/>
    </row>
    <row r="203" spans="2:27" ht="13.2" x14ac:dyDescent="0.25">
      <c r="B203" s="1"/>
      <c r="C203" s="1"/>
      <c r="D203" s="1"/>
      <c r="E203" s="1"/>
      <c r="F203" s="1"/>
      <c r="G203" s="1"/>
      <c r="H203" s="1"/>
      <c r="K203" s="1"/>
      <c r="L203" s="1"/>
      <c r="M203" s="1"/>
      <c r="N203" s="1"/>
      <c r="O203" s="1"/>
      <c r="P203" s="1"/>
      <c r="Q203" s="1"/>
      <c r="R203" s="1"/>
      <c r="S203" s="1"/>
      <c r="T203" s="1"/>
      <c r="U203" s="1"/>
      <c r="V203" s="1"/>
      <c r="W203" s="1"/>
      <c r="X203" s="1"/>
      <c r="Y203" s="1"/>
      <c r="Z203" s="1"/>
      <c r="AA203" s="1"/>
    </row>
    <row r="204" spans="2:27" ht="13.2" x14ac:dyDescent="0.25">
      <c r="B204" s="1"/>
      <c r="C204" s="1"/>
      <c r="D204" s="1"/>
      <c r="E204" s="1"/>
      <c r="F204" s="1"/>
      <c r="G204" s="1"/>
      <c r="H204" s="1"/>
      <c r="K204" s="1"/>
      <c r="L204" s="1"/>
      <c r="M204" s="1"/>
      <c r="N204" s="1"/>
      <c r="O204" s="1"/>
      <c r="P204" s="1"/>
      <c r="Q204" s="1"/>
      <c r="R204" s="1"/>
      <c r="S204" s="1"/>
      <c r="T204" s="1"/>
      <c r="U204" s="1"/>
      <c r="V204" s="1"/>
      <c r="W204" s="1"/>
      <c r="X204" s="1"/>
      <c r="Y204" s="1"/>
      <c r="Z204" s="1"/>
      <c r="AA204" s="1"/>
    </row>
    <row r="205" spans="2:27" ht="13.2" x14ac:dyDescent="0.25">
      <c r="B205" s="1"/>
      <c r="C205" s="1"/>
      <c r="D205" s="1"/>
      <c r="E205" s="1"/>
      <c r="F205" s="1"/>
      <c r="G205" s="1"/>
      <c r="H205" s="1"/>
      <c r="K205" s="1"/>
      <c r="L205" s="1"/>
      <c r="M205" s="1"/>
      <c r="N205" s="1"/>
      <c r="O205" s="1"/>
      <c r="P205" s="1"/>
      <c r="Q205" s="1"/>
      <c r="R205" s="1"/>
      <c r="S205" s="1"/>
      <c r="T205" s="1"/>
      <c r="U205" s="1"/>
      <c r="V205" s="1"/>
      <c r="W205" s="1"/>
      <c r="X205" s="1"/>
      <c r="Y205" s="1"/>
      <c r="Z205" s="1"/>
      <c r="AA205" s="1"/>
    </row>
    <row r="206" spans="2:27" ht="13.2" x14ac:dyDescent="0.25">
      <c r="B206" s="1"/>
      <c r="C206" s="1"/>
      <c r="D206" s="1"/>
      <c r="E206" s="1"/>
      <c r="F206" s="1"/>
      <c r="G206" s="1"/>
      <c r="H206" s="1"/>
      <c r="K206" s="1"/>
      <c r="L206" s="1"/>
      <c r="M206" s="1"/>
      <c r="N206" s="1"/>
      <c r="O206" s="1"/>
      <c r="P206" s="1"/>
      <c r="Q206" s="1"/>
      <c r="R206" s="1"/>
      <c r="S206" s="1"/>
      <c r="T206" s="1"/>
      <c r="U206" s="1"/>
      <c r="V206" s="1"/>
      <c r="W206" s="1"/>
      <c r="X206" s="1"/>
      <c r="Y206" s="1"/>
      <c r="Z206" s="1"/>
      <c r="AA206" s="1"/>
    </row>
    <row r="207" spans="2:27" ht="13.2" x14ac:dyDescent="0.25">
      <c r="B207" s="1"/>
      <c r="C207" s="1"/>
      <c r="D207" s="1"/>
      <c r="E207" s="1"/>
      <c r="F207" s="1"/>
      <c r="G207" s="1"/>
      <c r="H207" s="1"/>
      <c r="K207" s="1"/>
      <c r="L207" s="1"/>
      <c r="M207" s="1"/>
      <c r="N207" s="1"/>
      <c r="O207" s="1"/>
      <c r="P207" s="1"/>
      <c r="Q207" s="1"/>
      <c r="R207" s="1"/>
      <c r="S207" s="1"/>
      <c r="T207" s="1"/>
      <c r="U207" s="1"/>
      <c r="V207" s="1"/>
      <c r="W207" s="1"/>
      <c r="X207" s="1"/>
      <c r="Y207" s="1"/>
      <c r="Z207" s="1"/>
      <c r="AA207" s="1"/>
    </row>
    <row r="208" spans="2:27" ht="13.2" x14ac:dyDescent="0.25">
      <c r="B208" s="1"/>
      <c r="C208" s="1"/>
      <c r="D208" s="1"/>
      <c r="E208" s="1"/>
      <c r="F208" s="1"/>
      <c r="G208" s="1"/>
      <c r="H208" s="1"/>
      <c r="K208" s="1"/>
      <c r="L208" s="1"/>
      <c r="M208" s="1"/>
      <c r="N208" s="1"/>
      <c r="O208" s="1"/>
      <c r="P208" s="1"/>
      <c r="Q208" s="1"/>
      <c r="R208" s="1"/>
      <c r="S208" s="1"/>
      <c r="T208" s="1"/>
      <c r="U208" s="1"/>
      <c r="V208" s="1"/>
      <c r="W208" s="1"/>
      <c r="X208" s="1"/>
      <c r="Y208" s="1"/>
      <c r="Z208" s="1"/>
      <c r="AA208" s="1"/>
    </row>
    <row r="209" spans="2:27" ht="13.2" x14ac:dyDescent="0.25">
      <c r="B209" s="1"/>
      <c r="C209" s="1"/>
      <c r="D209" s="1"/>
      <c r="E209" s="1"/>
      <c r="F209" s="1"/>
      <c r="G209" s="1"/>
      <c r="H209" s="1"/>
      <c r="K209" s="1"/>
      <c r="L209" s="1"/>
      <c r="M209" s="1"/>
      <c r="N209" s="1"/>
      <c r="O209" s="1"/>
      <c r="P209" s="1"/>
      <c r="Q209" s="1"/>
      <c r="R209" s="1"/>
      <c r="S209" s="1"/>
      <c r="T209" s="1"/>
      <c r="U209" s="1"/>
      <c r="V209" s="1"/>
      <c r="W209" s="1"/>
      <c r="X209" s="1"/>
      <c r="Y209" s="1"/>
      <c r="Z209" s="1"/>
      <c r="AA209" s="1"/>
    </row>
    <row r="210" spans="2:27" ht="13.2" x14ac:dyDescent="0.25">
      <c r="B210" s="1"/>
      <c r="C210" s="1"/>
      <c r="D210" s="1"/>
      <c r="E210" s="1"/>
      <c r="F210" s="1"/>
      <c r="G210" s="1"/>
      <c r="H210" s="1"/>
      <c r="K210" s="1"/>
      <c r="L210" s="1"/>
      <c r="M210" s="1"/>
      <c r="N210" s="1"/>
      <c r="O210" s="1"/>
      <c r="P210" s="1"/>
      <c r="Q210" s="1"/>
      <c r="R210" s="1"/>
      <c r="S210" s="1"/>
      <c r="T210" s="1"/>
      <c r="U210" s="1"/>
      <c r="V210" s="1"/>
      <c r="W210" s="1"/>
      <c r="X210" s="1"/>
      <c r="Y210" s="1"/>
      <c r="Z210" s="1"/>
      <c r="AA210" s="1"/>
    </row>
    <row r="211" spans="2:27" ht="13.2" x14ac:dyDescent="0.25">
      <c r="B211" s="1"/>
      <c r="C211" s="1"/>
      <c r="D211" s="1"/>
      <c r="E211" s="1"/>
      <c r="F211" s="1"/>
      <c r="G211" s="1"/>
      <c r="H211" s="1"/>
      <c r="K211" s="1"/>
      <c r="L211" s="1"/>
      <c r="M211" s="1"/>
      <c r="N211" s="1"/>
      <c r="O211" s="1"/>
      <c r="P211" s="1"/>
      <c r="Q211" s="1"/>
      <c r="R211" s="1"/>
      <c r="S211" s="1"/>
      <c r="T211" s="1"/>
      <c r="U211" s="1"/>
      <c r="V211" s="1"/>
      <c r="W211" s="1"/>
      <c r="X211" s="1"/>
      <c r="Y211" s="1"/>
      <c r="Z211" s="1"/>
      <c r="AA211" s="1"/>
    </row>
    <row r="212" spans="2:27" ht="13.2" x14ac:dyDescent="0.25">
      <c r="B212" s="1"/>
      <c r="C212" s="1"/>
      <c r="D212" s="1"/>
      <c r="E212" s="1"/>
      <c r="F212" s="1"/>
      <c r="G212" s="1"/>
      <c r="H212" s="1"/>
      <c r="K212" s="1"/>
      <c r="L212" s="1"/>
      <c r="M212" s="1"/>
      <c r="N212" s="1"/>
      <c r="O212" s="1"/>
      <c r="P212" s="1"/>
      <c r="Q212" s="1"/>
      <c r="R212" s="1"/>
      <c r="S212" s="1"/>
      <c r="T212" s="1"/>
      <c r="U212" s="1"/>
      <c r="V212" s="1"/>
      <c r="W212" s="1"/>
      <c r="X212" s="1"/>
      <c r="Y212" s="1"/>
      <c r="Z212" s="1"/>
      <c r="AA212" s="1"/>
    </row>
    <row r="213" spans="2:27" ht="13.2" x14ac:dyDescent="0.25">
      <c r="B213" s="1"/>
      <c r="C213" s="1"/>
      <c r="D213" s="1"/>
      <c r="E213" s="1"/>
      <c r="F213" s="1"/>
      <c r="G213" s="1"/>
      <c r="H213" s="1"/>
      <c r="K213" s="1"/>
      <c r="L213" s="1"/>
      <c r="M213" s="1"/>
      <c r="N213" s="1"/>
      <c r="O213" s="1"/>
      <c r="P213" s="1"/>
      <c r="Q213" s="1"/>
      <c r="R213" s="1"/>
      <c r="S213" s="1"/>
      <c r="T213" s="1"/>
      <c r="U213" s="1"/>
      <c r="V213" s="1"/>
      <c r="W213" s="1"/>
      <c r="X213" s="1"/>
      <c r="Y213" s="1"/>
      <c r="Z213" s="1"/>
      <c r="AA213" s="1"/>
    </row>
    <row r="214" spans="2:27" ht="13.2" x14ac:dyDescent="0.25">
      <c r="B214" s="1"/>
      <c r="C214" s="1"/>
      <c r="D214" s="1"/>
      <c r="E214" s="1"/>
      <c r="F214" s="1"/>
      <c r="G214" s="1"/>
      <c r="H214" s="1"/>
      <c r="K214" s="1"/>
      <c r="L214" s="1"/>
      <c r="M214" s="1"/>
      <c r="N214" s="1"/>
      <c r="O214" s="1"/>
      <c r="P214" s="1"/>
      <c r="Q214" s="1"/>
      <c r="R214" s="1"/>
      <c r="S214" s="1"/>
      <c r="T214" s="1"/>
      <c r="U214" s="1"/>
      <c r="V214" s="1"/>
      <c r="W214" s="1"/>
      <c r="X214" s="1"/>
      <c r="Y214" s="1"/>
      <c r="Z214" s="1"/>
      <c r="AA214" s="1"/>
    </row>
    <row r="215" spans="2:27" ht="13.2" x14ac:dyDescent="0.25">
      <c r="B215" s="1"/>
      <c r="C215" s="1"/>
      <c r="D215" s="1"/>
      <c r="E215" s="1"/>
      <c r="F215" s="1"/>
      <c r="G215" s="1"/>
      <c r="H215" s="1"/>
      <c r="K215" s="1"/>
      <c r="L215" s="1"/>
      <c r="M215" s="1"/>
      <c r="N215" s="1"/>
      <c r="O215" s="1"/>
      <c r="P215" s="1"/>
      <c r="Q215" s="1"/>
      <c r="R215" s="1"/>
      <c r="S215" s="1"/>
      <c r="T215" s="1"/>
      <c r="U215" s="1"/>
      <c r="V215" s="1"/>
      <c r="W215" s="1"/>
      <c r="X215" s="1"/>
      <c r="Y215" s="1"/>
      <c r="Z215" s="1"/>
      <c r="AA215" s="1"/>
    </row>
    <row r="216" spans="2:27" ht="13.2" x14ac:dyDescent="0.25">
      <c r="B216" s="1"/>
      <c r="C216" s="1"/>
      <c r="D216" s="1"/>
      <c r="E216" s="1"/>
      <c r="F216" s="1"/>
      <c r="G216" s="1"/>
      <c r="H216" s="1"/>
      <c r="K216" s="1"/>
      <c r="L216" s="1"/>
      <c r="M216" s="1"/>
      <c r="N216" s="1"/>
      <c r="O216" s="1"/>
      <c r="P216" s="1"/>
      <c r="Q216" s="1"/>
      <c r="R216" s="1"/>
      <c r="S216" s="1"/>
      <c r="T216" s="1"/>
      <c r="U216" s="1"/>
      <c r="V216" s="1"/>
      <c r="W216" s="1"/>
      <c r="X216" s="1"/>
      <c r="Y216" s="1"/>
      <c r="Z216" s="1"/>
      <c r="AA216" s="1"/>
    </row>
    <row r="217" spans="2:27" ht="13.2" x14ac:dyDescent="0.25">
      <c r="B217" s="1"/>
      <c r="C217" s="1"/>
      <c r="D217" s="1"/>
      <c r="E217" s="1"/>
      <c r="F217" s="1"/>
      <c r="G217" s="1"/>
      <c r="H217" s="1"/>
      <c r="K217" s="1"/>
      <c r="L217" s="1"/>
      <c r="M217" s="1"/>
      <c r="N217" s="1"/>
      <c r="O217" s="1"/>
      <c r="P217" s="1"/>
      <c r="Q217" s="1"/>
      <c r="R217" s="1"/>
      <c r="S217" s="1"/>
      <c r="T217" s="1"/>
      <c r="U217" s="1"/>
      <c r="V217" s="1"/>
      <c r="W217" s="1"/>
      <c r="X217" s="1"/>
      <c r="Y217" s="1"/>
      <c r="Z217" s="1"/>
      <c r="AA217" s="1"/>
    </row>
    <row r="218" spans="2:27" ht="13.2" x14ac:dyDescent="0.25">
      <c r="B218" s="1"/>
      <c r="C218" s="1"/>
      <c r="D218" s="1"/>
      <c r="E218" s="1"/>
      <c r="F218" s="1"/>
      <c r="G218" s="1"/>
      <c r="H218" s="1"/>
      <c r="K218" s="1"/>
      <c r="L218" s="1"/>
      <c r="M218" s="1"/>
      <c r="N218" s="1"/>
      <c r="O218" s="1"/>
      <c r="P218" s="1"/>
      <c r="Q218" s="1"/>
      <c r="R218" s="1"/>
      <c r="S218" s="1"/>
      <c r="T218" s="1"/>
      <c r="U218" s="1"/>
      <c r="V218" s="1"/>
      <c r="W218" s="1"/>
      <c r="X218" s="1"/>
      <c r="Y218" s="1"/>
      <c r="Z218" s="1"/>
      <c r="AA218" s="1"/>
    </row>
    <row r="219" spans="2:27" ht="13.2" x14ac:dyDescent="0.25">
      <c r="B219" s="1"/>
      <c r="C219" s="1"/>
      <c r="D219" s="1"/>
      <c r="E219" s="1"/>
      <c r="F219" s="1"/>
      <c r="G219" s="1"/>
      <c r="H219" s="1"/>
      <c r="K219" s="1"/>
      <c r="L219" s="1"/>
      <c r="M219" s="1"/>
      <c r="N219" s="1"/>
      <c r="O219" s="1"/>
      <c r="P219" s="1"/>
      <c r="Q219" s="1"/>
      <c r="R219" s="1"/>
      <c r="S219" s="1"/>
      <c r="T219" s="1"/>
      <c r="U219" s="1"/>
      <c r="V219" s="1"/>
      <c r="W219" s="1"/>
      <c r="X219" s="1"/>
      <c r="Y219" s="1"/>
      <c r="Z219" s="1"/>
      <c r="AA219" s="1"/>
    </row>
    <row r="220" spans="2:27" ht="13.2" x14ac:dyDescent="0.25">
      <c r="B220" s="1"/>
      <c r="C220" s="1"/>
      <c r="D220" s="1"/>
      <c r="E220" s="1"/>
      <c r="F220" s="1"/>
      <c r="G220" s="1"/>
      <c r="H220" s="1"/>
      <c r="K220" s="1"/>
      <c r="L220" s="1"/>
      <c r="M220" s="1"/>
      <c r="N220" s="1"/>
      <c r="O220" s="1"/>
      <c r="P220" s="1"/>
      <c r="Q220" s="1"/>
      <c r="R220" s="1"/>
      <c r="S220" s="1"/>
      <c r="T220" s="1"/>
      <c r="U220" s="1"/>
      <c r="V220" s="1"/>
      <c r="W220" s="1"/>
      <c r="X220" s="1"/>
      <c r="Y220" s="1"/>
      <c r="Z220" s="1"/>
      <c r="AA220" s="1"/>
    </row>
    <row r="221" spans="2:27" ht="13.2" x14ac:dyDescent="0.25">
      <c r="B221" s="1"/>
      <c r="C221" s="1"/>
      <c r="D221" s="1"/>
      <c r="E221" s="1"/>
      <c r="F221" s="1"/>
      <c r="G221" s="1"/>
      <c r="H221" s="1"/>
      <c r="K221" s="1"/>
      <c r="L221" s="1"/>
      <c r="M221" s="1"/>
      <c r="N221" s="1"/>
      <c r="O221" s="1"/>
      <c r="P221" s="1"/>
      <c r="Q221" s="1"/>
      <c r="R221" s="1"/>
      <c r="S221" s="1"/>
      <c r="T221" s="1"/>
      <c r="U221" s="1"/>
      <c r="V221" s="1"/>
      <c r="W221" s="1"/>
      <c r="X221" s="1"/>
      <c r="Y221" s="1"/>
      <c r="Z221" s="1"/>
      <c r="AA221" s="1"/>
    </row>
    <row r="222" spans="2:27" ht="13.2" x14ac:dyDescent="0.25">
      <c r="B222" s="1"/>
      <c r="C222" s="1"/>
      <c r="D222" s="1"/>
      <c r="E222" s="1"/>
      <c r="F222" s="1"/>
      <c r="G222" s="1"/>
      <c r="H222" s="1"/>
      <c r="K222" s="1"/>
      <c r="L222" s="1"/>
      <c r="M222" s="1"/>
      <c r="N222" s="1"/>
      <c r="O222" s="1"/>
      <c r="P222" s="1"/>
      <c r="Q222" s="1"/>
      <c r="R222" s="1"/>
      <c r="S222" s="1"/>
      <c r="T222" s="1"/>
      <c r="U222" s="1"/>
      <c r="V222" s="1"/>
      <c r="W222" s="1"/>
      <c r="X222" s="1"/>
      <c r="Y222" s="1"/>
      <c r="Z222" s="1"/>
      <c r="AA222" s="1"/>
    </row>
    <row r="223" spans="2:27" ht="13.2" x14ac:dyDescent="0.25">
      <c r="B223" s="1"/>
      <c r="C223" s="1"/>
      <c r="D223" s="1"/>
      <c r="E223" s="1"/>
      <c r="F223" s="1"/>
      <c r="G223" s="1"/>
      <c r="H223" s="1"/>
      <c r="K223" s="1"/>
      <c r="L223" s="1"/>
      <c r="M223" s="1"/>
      <c r="N223" s="1"/>
      <c r="O223" s="1"/>
      <c r="P223" s="1"/>
      <c r="Q223" s="1"/>
      <c r="R223" s="1"/>
      <c r="S223" s="1"/>
      <c r="T223" s="1"/>
      <c r="U223" s="1"/>
      <c r="V223" s="1"/>
      <c r="W223" s="1"/>
      <c r="X223" s="1"/>
      <c r="Y223" s="1"/>
      <c r="Z223" s="1"/>
      <c r="AA223" s="1"/>
    </row>
    <row r="224" spans="2:27" ht="13.2" x14ac:dyDescent="0.25">
      <c r="B224" s="1"/>
      <c r="C224" s="1"/>
      <c r="D224" s="1"/>
      <c r="E224" s="1"/>
      <c r="F224" s="1"/>
      <c r="G224" s="1"/>
      <c r="H224" s="1"/>
      <c r="K224" s="1"/>
      <c r="L224" s="1"/>
      <c r="M224" s="1"/>
      <c r="N224" s="1"/>
      <c r="O224" s="1"/>
      <c r="P224" s="1"/>
      <c r="Q224" s="1"/>
      <c r="R224" s="1"/>
      <c r="S224" s="1"/>
      <c r="T224" s="1"/>
      <c r="U224" s="1"/>
      <c r="V224" s="1"/>
      <c r="W224" s="1"/>
      <c r="X224" s="1"/>
      <c r="Y224" s="1"/>
      <c r="Z224" s="1"/>
      <c r="AA224" s="1"/>
    </row>
    <row r="225" spans="2:27" ht="13.2" x14ac:dyDescent="0.25">
      <c r="B225" s="1"/>
      <c r="C225" s="1"/>
      <c r="D225" s="1"/>
      <c r="E225" s="1"/>
      <c r="F225" s="1"/>
      <c r="G225" s="1"/>
      <c r="H225" s="1"/>
      <c r="K225" s="1"/>
      <c r="L225" s="1"/>
      <c r="M225" s="1"/>
      <c r="N225" s="1"/>
      <c r="O225" s="1"/>
      <c r="P225" s="1"/>
      <c r="Q225" s="1"/>
      <c r="R225" s="1"/>
      <c r="S225" s="1"/>
      <c r="T225" s="1"/>
      <c r="U225" s="1"/>
      <c r="V225" s="1"/>
      <c r="W225" s="1"/>
      <c r="X225" s="1"/>
      <c r="Y225" s="1"/>
      <c r="Z225" s="1"/>
      <c r="AA225" s="1"/>
    </row>
    <row r="226" spans="2:27" ht="13.2" x14ac:dyDescent="0.25">
      <c r="B226" s="1"/>
      <c r="C226" s="1"/>
      <c r="D226" s="1"/>
      <c r="E226" s="1"/>
      <c r="F226" s="1"/>
      <c r="G226" s="1"/>
      <c r="H226" s="1"/>
      <c r="K226" s="1"/>
      <c r="L226" s="1"/>
      <c r="M226" s="1"/>
      <c r="N226" s="1"/>
      <c r="O226" s="1"/>
      <c r="P226" s="1"/>
      <c r="Q226" s="1"/>
      <c r="R226" s="1"/>
      <c r="S226" s="1"/>
      <c r="T226" s="1"/>
      <c r="U226" s="1"/>
      <c r="V226" s="1"/>
      <c r="W226" s="1"/>
      <c r="X226" s="1"/>
      <c r="Y226" s="1"/>
      <c r="Z226" s="1"/>
      <c r="AA226" s="1"/>
    </row>
    <row r="227" spans="2:27" ht="13.2" x14ac:dyDescent="0.25">
      <c r="B227" s="1"/>
      <c r="C227" s="1"/>
      <c r="D227" s="1"/>
      <c r="E227" s="1"/>
      <c r="F227" s="1"/>
      <c r="G227" s="1"/>
      <c r="H227" s="1"/>
      <c r="K227" s="1"/>
      <c r="L227" s="1"/>
      <c r="M227" s="1"/>
      <c r="N227" s="1"/>
      <c r="O227" s="1"/>
      <c r="P227" s="1"/>
      <c r="Q227" s="1"/>
      <c r="R227" s="1"/>
      <c r="S227" s="1"/>
      <c r="T227" s="1"/>
      <c r="U227" s="1"/>
      <c r="V227" s="1"/>
      <c r="W227" s="1"/>
      <c r="X227" s="1"/>
      <c r="Y227" s="1"/>
      <c r="Z227" s="1"/>
      <c r="AA227" s="1"/>
    </row>
    <row r="228" spans="2:27" ht="13.2" x14ac:dyDescent="0.25">
      <c r="B228" s="1"/>
      <c r="C228" s="1"/>
      <c r="D228" s="1"/>
      <c r="E228" s="1"/>
      <c r="F228" s="1"/>
      <c r="G228" s="1"/>
      <c r="H228" s="1"/>
      <c r="K228" s="1"/>
      <c r="L228" s="1"/>
      <c r="M228" s="1"/>
      <c r="N228" s="1"/>
      <c r="O228" s="1"/>
      <c r="P228" s="1"/>
      <c r="Q228" s="1"/>
      <c r="R228" s="1"/>
      <c r="S228" s="1"/>
      <c r="T228" s="1"/>
      <c r="U228" s="1"/>
      <c r="V228" s="1"/>
      <c r="W228" s="1"/>
      <c r="X228" s="1"/>
      <c r="Y228" s="1"/>
      <c r="Z228" s="1"/>
      <c r="AA228" s="1"/>
    </row>
    <row r="229" spans="2:27" ht="13.2" x14ac:dyDescent="0.25">
      <c r="B229" s="1"/>
      <c r="C229" s="1"/>
      <c r="D229" s="1"/>
      <c r="E229" s="1"/>
      <c r="F229" s="1"/>
      <c r="G229" s="1"/>
      <c r="H229" s="1"/>
      <c r="K229" s="1"/>
      <c r="L229" s="1"/>
      <c r="M229" s="1"/>
      <c r="N229" s="1"/>
      <c r="O229" s="1"/>
      <c r="P229" s="1"/>
      <c r="Q229" s="1"/>
      <c r="R229" s="1"/>
      <c r="S229" s="1"/>
      <c r="T229" s="1"/>
      <c r="U229" s="1"/>
      <c r="V229" s="1"/>
      <c r="W229" s="1"/>
      <c r="X229" s="1"/>
      <c r="Y229" s="1"/>
      <c r="Z229" s="1"/>
      <c r="AA229" s="1"/>
    </row>
    <row r="230" spans="2:27" ht="13.2" x14ac:dyDescent="0.25">
      <c r="B230" s="1"/>
      <c r="C230" s="1"/>
      <c r="D230" s="1"/>
      <c r="E230" s="1"/>
      <c r="F230" s="1"/>
      <c r="G230" s="1"/>
      <c r="H230" s="1"/>
      <c r="K230" s="1"/>
      <c r="L230" s="1"/>
      <c r="M230" s="1"/>
      <c r="N230" s="1"/>
      <c r="O230" s="1"/>
      <c r="P230" s="1"/>
      <c r="Q230" s="1"/>
      <c r="R230" s="1"/>
      <c r="S230" s="1"/>
      <c r="T230" s="1"/>
      <c r="U230" s="1"/>
      <c r="V230" s="1"/>
      <c r="W230" s="1"/>
      <c r="X230" s="1"/>
      <c r="Y230" s="1"/>
      <c r="Z230" s="1"/>
      <c r="AA230" s="1"/>
    </row>
    <row r="231" spans="2:27" ht="13.2" x14ac:dyDescent="0.25">
      <c r="B231" s="1"/>
      <c r="C231" s="1"/>
      <c r="D231" s="1"/>
      <c r="E231" s="1"/>
      <c r="F231" s="1"/>
      <c r="G231" s="1"/>
      <c r="H231" s="1"/>
      <c r="K231" s="1"/>
      <c r="L231" s="1"/>
      <c r="M231" s="1"/>
      <c r="N231" s="1"/>
      <c r="O231" s="1"/>
      <c r="P231" s="1"/>
      <c r="Q231" s="1"/>
      <c r="R231" s="1"/>
      <c r="S231" s="1"/>
      <c r="T231" s="1"/>
      <c r="U231" s="1"/>
      <c r="V231" s="1"/>
      <c r="W231" s="1"/>
      <c r="X231" s="1"/>
      <c r="Y231" s="1"/>
      <c r="Z231" s="1"/>
      <c r="AA231" s="1"/>
    </row>
    <row r="232" spans="2:27" ht="13.2" x14ac:dyDescent="0.25">
      <c r="B232" s="1"/>
      <c r="C232" s="1"/>
      <c r="D232" s="1"/>
      <c r="E232" s="1"/>
      <c r="F232" s="1"/>
      <c r="G232" s="1"/>
      <c r="H232" s="1"/>
      <c r="K232" s="1"/>
      <c r="L232" s="1"/>
      <c r="M232" s="1"/>
      <c r="N232" s="1"/>
      <c r="O232" s="1"/>
      <c r="P232" s="1"/>
      <c r="Q232" s="1"/>
      <c r="R232" s="1"/>
      <c r="S232" s="1"/>
      <c r="T232" s="1"/>
      <c r="U232" s="1"/>
      <c r="V232" s="1"/>
      <c r="W232" s="1"/>
      <c r="X232" s="1"/>
      <c r="Y232" s="1"/>
      <c r="Z232" s="1"/>
      <c r="AA232" s="1"/>
    </row>
    <row r="233" spans="2:27" ht="13.2" x14ac:dyDescent="0.25">
      <c r="B233" s="1"/>
      <c r="C233" s="1"/>
      <c r="D233" s="1"/>
      <c r="E233" s="1"/>
      <c r="F233" s="1"/>
      <c r="G233" s="1"/>
      <c r="H233" s="1"/>
      <c r="K233" s="1"/>
      <c r="L233" s="1"/>
      <c r="M233" s="1"/>
      <c r="N233" s="1"/>
      <c r="O233" s="1"/>
      <c r="P233" s="1"/>
      <c r="Q233" s="1"/>
      <c r="R233" s="1"/>
      <c r="S233" s="1"/>
      <c r="T233" s="1"/>
      <c r="U233" s="1"/>
      <c r="V233" s="1"/>
      <c r="W233" s="1"/>
      <c r="X233" s="1"/>
      <c r="Y233" s="1"/>
      <c r="Z233" s="1"/>
      <c r="AA233" s="1"/>
    </row>
    <row r="234" spans="2:27" ht="13.2" x14ac:dyDescent="0.25">
      <c r="B234" s="1"/>
      <c r="C234" s="1"/>
      <c r="D234" s="1"/>
      <c r="E234" s="1"/>
      <c r="F234" s="1"/>
      <c r="G234" s="1"/>
      <c r="H234" s="1"/>
      <c r="K234" s="1"/>
      <c r="L234" s="1"/>
      <c r="M234" s="1"/>
      <c r="N234" s="1"/>
      <c r="O234" s="1"/>
      <c r="P234" s="1"/>
      <c r="Q234" s="1"/>
      <c r="R234" s="1"/>
      <c r="S234" s="1"/>
      <c r="T234" s="1"/>
      <c r="U234" s="1"/>
      <c r="V234" s="1"/>
      <c r="W234" s="1"/>
      <c r="X234" s="1"/>
      <c r="Y234" s="1"/>
      <c r="Z234" s="1"/>
      <c r="AA234" s="1"/>
    </row>
    <row r="235" spans="2:27" ht="13.2" x14ac:dyDescent="0.25">
      <c r="B235" s="1"/>
      <c r="C235" s="1"/>
      <c r="D235" s="1"/>
      <c r="E235" s="1"/>
      <c r="F235" s="1"/>
      <c r="G235" s="1"/>
      <c r="H235" s="1"/>
      <c r="K235" s="1"/>
      <c r="L235" s="1"/>
      <c r="M235" s="1"/>
      <c r="N235" s="1"/>
      <c r="O235" s="1"/>
      <c r="P235" s="1"/>
      <c r="Q235" s="1"/>
      <c r="R235" s="1"/>
      <c r="S235" s="1"/>
      <c r="T235" s="1"/>
      <c r="U235" s="1"/>
      <c r="V235" s="1"/>
      <c r="W235" s="1"/>
      <c r="X235" s="1"/>
      <c r="Y235" s="1"/>
      <c r="Z235" s="1"/>
      <c r="AA235" s="1"/>
    </row>
    <row r="236" spans="2:27" ht="13.2" x14ac:dyDescent="0.25">
      <c r="B236" s="1"/>
      <c r="C236" s="1"/>
      <c r="D236" s="1"/>
      <c r="E236" s="1"/>
      <c r="F236" s="1"/>
      <c r="G236" s="1"/>
      <c r="H236" s="1"/>
      <c r="K236" s="1"/>
      <c r="L236" s="1"/>
      <c r="M236" s="1"/>
      <c r="N236" s="1"/>
      <c r="O236" s="1"/>
      <c r="P236" s="1"/>
      <c r="Q236" s="1"/>
      <c r="R236" s="1"/>
      <c r="S236" s="1"/>
      <c r="T236" s="1"/>
      <c r="U236" s="1"/>
      <c r="V236" s="1"/>
      <c r="W236" s="1"/>
      <c r="X236" s="1"/>
      <c r="Y236" s="1"/>
      <c r="Z236" s="1"/>
      <c r="AA236" s="1"/>
    </row>
    <row r="237" spans="2:27" ht="13.2" x14ac:dyDescent="0.25">
      <c r="B237" s="1"/>
      <c r="C237" s="1"/>
      <c r="D237" s="1"/>
      <c r="E237" s="1"/>
      <c r="F237" s="1"/>
      <c r="G237" s="1"/>
      <c r="H237" s="1"/>
      <c r="K237" s="1"/>
      <c r="L237" s="1"/>
      <c r="M237" s="1"/>
      <c r="N237" s="1"/>
      <c r="O237" s="1"/>
      <c r="P237" s="1"/>
      <c r="Q237" s="1"/>
      <c r="R237" s="1"/>
      <c r="S237" s="1"/>
      <c r="T237" s="1"/>
      <c r="U237" s="1"/>
      <c r="V237" s="1"/>
      <c r="W237" s="1"/>
      <c r="X237" s="1"/>
      <c r="Y237" s="1"/>
      <c r="Z237" s="1"/>
      <c r="AA237" s="1"/>
    </row>
    <row r="238" spans="2:27" ht="13.2" x14ac:dyDescent="0.25">
      <c r="B238" s="1"/>
      <c r="C238" s="1"/>
      <c r="D238" s="1"/>
      <c r="E238" s="1"/>
      <c r="F238" s="1"/>
      <c r="G238" s="1"/>
      <c r="H238" s="1"/>
      <c r="K238" s="1"/>
      <c r="L238" s="1"/>
      <c r="M238" s="1"/>
      <c r="N238" s="1"/>
      <c r="O238" s="1"/>
      <c r="P238" s="1"/>
      <c r="Q238" s="1"/>
      <c r="R238" s="1"/>
      <c r="S238" s="1"/>
      <c r="T238" s="1"/>
      <c r="U238" s="1"/>
      <c r="V238" s="1"/>
      <c r="W238" s="1"/>
      <c r="X238" s="1"/>
      <c r="Y238" s="1"/>
      <c r="Z238" s="1"/>
      <c r="AA238" s="1"/>
    </row>
    <row r="239" spans="2:27" ht="13.2" x14ac:dyDescent="0.25">
      <c r="B239" s="1"/>
      <c r="C239" s="1"/>
      <c r="D239" s="1"/>
      <c r="E239" s="1"/>
      <c r="F239" s="1"/>
      <c r="G239" s="1"/>
      <c r="H239" s="1"/>
      <c r="K239" s="1"/>
      <c r="L239" s="1"/>
      <c r="M239" s="1"/>
      <c r="N239" s="1"/>
      <c r="O239" s="1"/>
      <c r="P239" s="1"/>
      <c r="Q239" s="1"/>
      <c r="R239" s="1"/>
      <c r="S239" s="1"/>
      <c r="T239" s="1"/>
      <c r="U239" s="1"/>
      <c r="V239" s="1"/>
      <c r="W239" s="1"/>
      <c r="X239" s="1"/>
      <c r="Y239" s="1"/>
      <c r="Z239" s="1"/>
      <c r="AA239" s="1"/>
    </row>
    <row r="240" spans="2:27" ht="13.2" x14ac:dyDescent="0.25">
      <c r="B240" s="1"/>
      <c r="C240" s="1"/>
      <c r="D240" s="1"/>
      <c r="E240" s="1"/>
      <c r="F240" s="1"/>
      <c r="G240" s="1"/>
      <c r="H240" s="1"/>
      <c r="K240" s="1"/>
      <c r="L240" s="1"/>
      <c r="M240" s="1"/>
      <c r="N240" s="1"/>
      <c r="O240" s="1"/>
      <c r="P240" s="1"/>
      <c r="Q240" s="1"/>
      <c r="R240" s="1"/>
      <c r="S240" s="1"/>
      <c r="T240" s="1"/>
      <c r="U240" s="1"/>
      <c r="V240" s="1"/>
      <c r="W240" s="1"/>
      <c r="X240" s="1"/>
      <c r="Y240" s="1"/>
      <c r="Z240" s="1"/>
      <c r="AA240" s="1"/>
    </row>
    <row r="241" spans="2:27" ht="13.2" x14ac:dyDescent="0.25">
      <c r="B241" s="1"/>
      <c r="C241" s="1"/>
      <c r="D241" s="1"/>
      <c r="E241" s="1"/>
      <c r="F241" s="1"/>
      <c r="G241" s="1"/>
      <c r="H241" s="1"/>
      <c r="K241" s="1"/>
      <c r="L241" s="1"/>
      <c r="M241" s="1"/>
      <c r="N241" s="1"/>
      <c r="O241" s="1"/>
      <c r="P241" s="1"/>
      <c r="Q241" s="1"/>
      <c r="R241" s="1"/>
      <c r="S241" s="1"/>
      <c r="T241" s="1"/>
      <c r="U241" s="1"/>
      <c r="V241" s="1"/>
      <c r="W241" s="1"/>
      <c r="X241" s="1"/>
      <c r="Y241" s="1"/>
      <c r="Z241" s="1"/>
      <c r="AA241" s="1"/>
    </row>
    <row r="242" spans="2:27" ht="13.2" x14ac:dyDescent="0.25">
      <c r="B242" s="1"/>
      <c r="C242" s="1"/>
      <c r="D242" s="1"/>
      <c r="E242" s="1"/>
      <c r="F242" s="1"/>
      <c r="G242" s="1"/>
      <c r="H242" s="1"/>
      <c r="K242" s="1"/>
      <c r="L242" s="1"/>
      <c r="M242" s="1"/>
      <c r="N242" s="1"/>
      <c r="O242" s="1"/>
      <c r="P242" s="1"/>
      <c r="Q242" s="1"/>
      <c r="R242" s="1"/>
      <c r="S242" s="1"/>
      <c r="T242" s="1"/>
      <c r="U242" s="1"/>
      <c r="V242" s="1"/>
      <c r="W242" s="1"/>
      <c r="X242" s="1"/>
      <c r="Y242" s="1"/>
      <c r="Z242" s="1"/>
      <c r="AA242" s="1"/>
    </row>
    <row r="243" spans="2:27" ht="13.2" x14ac:dyDescent="0.25">
      <c r="B243" s="1"/>
      <c r="C243" s="1"/>
      <c r="D243" s="1"/>
      <c r="E243" s="1"/>
      <c r="F243" s="1"/>
      <c r="G243" s="1"/>
      <c r="H243" s="1"/>
      <c r="K243" s="1"/>
      <c r="L243" s="1"/>
      <c r="M243" s="1"/>
      <c r="N243" s="1"/>
      <c r="O243" s="1"/>
      <c r="P243" s="1"/>
      <c r="Q243" s="1"/>
      <c r="R243" s="1"/>
      <c r="S243" s="1"/>
      <c r="T243" s="1"/>
      <c r="U243" s="1"/>
      <c r="V243" s="1"/>
      <c r="W243" s="1"/>
      <c r="X243" s="1"/>
      <c r="Y243" s="1"/>
      <c r="Z243" s="1"/>
      <c r="AA243" s="1"/>
    </row>
    <row r="244" spans="2:27" ht="13.2" x14ac:dyDescent="0.25">
      <c r="B244" s="1"/>
      <c r="C244" s="1"/>
      <c r="D244" s="1"/>
      <c r="E244" s="1"/>
      <c r="F244" s="1"/>
      <c r="G244" s="1"/>
      <c r="H244" s="1"/>
      <c r="K244" s="1"/>
      <c r="L244" s="1"/>
      <c r="M244" s="1"/>
      <c r="N244" s="1"/>
      <c r="O244" s="1"/>
      <c r="P244" s="1"/>
      <c r="Q244" s="1"/>
      <c r="R244" s="1"/>
      <c r="S244" s="1"/>
      <c r="T244" s="1"/>
      <c r="U244" s="1"/>
      <c r="V244" s="1"/>
      <c r="W244" s="1"/>
      <c r="X244" s="1"/>
      <c r="Y244" s="1"/>
      <c r="Z244" s="1"/>
      <c r="AA244" s="1"/>
    </row>
    <row r="245" spans="2:27" ht="13.2" x14ac:dyDescent="0.25">
      <c r="B245" s="1"/>
      <c r="C245" s="1"/>
      <c r="D245" s="1"/>
      <c r="E245" s="1"/>
      <c r="F245" s="1"/>
      <c r="G245" s="1"/>
      <c r="H245" s="1"/>
      <c r="K245" s="1"/>
      <c r="L245" s="1"/>
      <c r="M245" s="1"/>
      <c r="N245" s="1"/>
      <c r="O245" s="1"/>
      <c r="P245" s="1"/>
      <c r="Q245" s="1"/>
      <c r="R245" s="1"/>
      <c r="S245" s="1"/>
      <c r="T245" s="1"/>
      <c r="U245" s="1"/>
      <c r="V245" s="1"/>
      <c r="W245" s="1"/>
      <c r="X245" s="1"/>
      <c r="Y245" s="1"/>
      <c r="Z245" s="1"/>
      <c r="AA245" s="1"/>
    </row>
    <row r="246" spans="2:27" ht="13.2" x14ac:dyDescent="0.25">
      <c r="B246" s="1"/>
      <c r="C246" s="1"/>
      <c r="D246" s="1"/>
      <c r="E246" s="1"/>
      <c r="F246" s="1"/>
      <c r="G246" s="1"/>
      <c r="H246" s="1"/>
      <c r="K246" s="1"/>
      <c r="L246" s="1"/>
      <c r="M246" s="1"/>
      <c r="N246" s="1"/>
      <c r="O246" s="1"/>
      <c r="P246" s="1"/>
      <c r="Q246" s="1"/>
      <c r="R246" s="1"/>
      <c r="S246" s="1"/>
      <c r="T246" s="1"/>
      <c r="U246" s="1"/>
      <c r="V246" s="1"/>
      <c r="W246" s="1"/>
      <c r="X246" s="1"/>
      <c r="Y246" s="1"/>
      <c r="Z246" s="1"/>
      <c r="AA246" s="1"/>
    </row>
    <row r="247" spans="2:27" ht="13.2" x14ac:dyDescent="0.25">
      <c r="B247" s="1"/>
      <c r="C247" s="1"/>
      <c r="D247" s="1"/>
      <c r="E247" s="1"/>
      <c r="F247" s="1"/>
      <c r="G247" s="1"/>
      <c r="H247" s="1"/>
      <c r="K247" s="1"/>
      <c r="L247" s="1"/>
      <c r="M247" s="1"/>
      <c r="N247" s="1"/>
      <c r="O247" s="1"/>
      <c r="P247" s="1"/>
      <c r="Q247" s="1"/>
      <c r="R247" s="1"/>
      <c r="S247" s="1"/>
      <c r="T247" s="1"/>
      <c r="U247" s="1"/>
      <c r="V247" s="1"/>
      <c r="W247" s="1"/>
      <c r="X247" s="1"/>
      <c r="Y247" s="1"/>
      <c r="Z247" s="1"/>
      <c r="AA247" s="1"/>
    </row>
    <row r="248" spans="2:27" ht="13.2" x14ac:dyDescent="0.25">
      <c r="B248" s="1"/>
      <c r="C248" s="1"/>
      <c r="D248" s="1"/>
      <c r="E248" s="1"/>
      <c r="F248" s="1"/>
      <c r="G248" s="1"/>
      <c r="H248" s="1"/>
      <c r="K248" s="1"/>
      <c r="L248" s="1"/>
      <c r="M248" s="1"/>
      <c r="N248" s="1"/>
      <c r="O248" s="1"/>
      <c r="P248" s="1"/>
      <c r="Q248" s="1"/>
      <c r="R248" s="1"/>
      <c r="S248" s="1"/>
      <c r="T248" s="1"/>
      <c r="U248" s="1"/>
      <c r="V248" s="1"/>
      <c r="W248" s="1"/>
      <c r="X248" s="1"/>
      <c r="Y248" s="1"/>
      <c r="Z248" s="1"/>
      <c r="AA248" s="1"/>
    </row>
    <row r="249" spans="2:27" ht="13.2" x14ac:dyDescent="0.25">
      <c r="B249" s="1"/>
      <c r="C249" s="1"/>
      <c r="D249" s="1"/>
      <c r="E249" s="1"/>
      <c r="F249" s="1"/>
      <c r="G249" s="1"/>
      <c r="H249" s="1"/>
      <c r="K249" s="1"/>
      <c r="L249" s="1"/>
      <c r="M249" s="1"/>
      <c r="N249" s="1"/>
      <c r="O249" s="1"/>
      <c r="P249" s="1"/>
      <c r="Q249" s="1"/>
      <c r="R249" s="1"/>
      <c r="S249" s="1"/>
      <c r="T249" s="1"/>
      <c r="U249" s="1"/>
      <c r="V249" s="1"/>
      <c r="W249" s="1"/>
      <c r="X249" s="1"/>
      <c r="Y249" s="1"/>
      <c r="Z249" s="1"/>
      <c r="AA249" s="1"/>
    </row>
    <row r="250" spans="2:27" ht="13.2" x14ac:dyDescent="0.25">
      <c r="B250" s="1"/>
      <c r="C250" s="1"/>
      <c r="D250" s="1"/>
      <c r="E250" s="1"/>
      <c r="F250" s="1"/>
      <c r="G250" s="1"/>
      <c r="H250" s="1"/>
      <c r="K250" s="1"/>
      <c r="L250" s="1"/>
      <c r="M250" s="1"/>
      <c r="N250" s="1"/>
      <c r="O250" s="1"/>
      <c r="P250" s="1"/>
      <c r="Q250" s="1"/>
      <c r="R250" s="1"/>
      <c r="S250" s="1"/>
      <c r="T250" s="1"/>
      <c r="U250" s="1"/>
      <c r="V250" s="1"/>
      <c r="W250" s="1"/>
      <c r="X250" s="1"/>
      <c r="Y250" s="1"/>
      <c r="Z250" s="1"/>
      <c r="AA250" s="1"/>
    </row>
    <row r="251" spans="2:27" ht="13.2" x14ac:dyDescent="0.25">
      <c r="B251" s="1"/>
      <c r="C251" s="1"/>
      <c r="D251" s="1"/>
      <c r="E251" s="1"/>
      <c r="F251" s="1"/>
      <c r="G251" s="1"/>
      <c r="H251" s="1"/>
      <c r="K251" s="1"/>
      <c r="L251" s="1"/>
      <c r="M251" s="1"/>
      <c r="N251" s="1"/>
      <c r="O251" s="1"/>
      <c r="P251" s="1"/>
      <c r="Q251" s="1"/>
      <c r="R251" s="1"/>
      <c r="S251" s="1"/>
      <c r="T251" s="1"/>
      <c r="U251" s="1"/>
      <c r="V251" s="1"/>
      <c r="W251" s="1"/>
      <c r="X251" s="1"/>
      <c r="Y251" s="1"/>
      <c r="Z251" s="1"/>
      <c r="AA251" s="1"/>
    </row>
    <row r="252" spans="2:27" ht="13.2" x14ac:dyDescent="0.25">
      <c r="B252" s="1"/>
      <c r="C252" s="1"/>
      <c r="D252" s="1"/>
      <c r="E252" s="1"/>
      <c r="F252" s="1"/>
      <c r="G252" s="1"/>
      <c r="H252" s="1"/>
      <c r="K252" s="1"/>
      <c r="L252" s="1"/>
      <c r="M252" s="1"/>
      <c r="N252" s="1"/>
      <c r="O252" s="1"/>
      <c r="P252" s="1"/>
      <c r="Q252" s="1"/>
      <c r="R252" s="1"/>
      <c r="S252" s="1"/>
      <c r="T252" s="1"/>
      <c r="U252" s="1"/>
      <c r="V252" s="1"/>
      <c r="W252" s="1"/>
      <c r="X252" s="1"/>
      <c r="Y252" s="1"/>
      <c r="Z252" s="1"/>
      <c r="AA252" s="1"/>
    </row>
    <row r="253" spans="2:27" ht="13.2" x14ac:dyDescent="0.25">
      <c r="B253" s="1"/>
      <c r="C253" s="1"/>
      <c r="D253" s="1"/>
      <c r="E253" s="1"/>
      <c r="F253" s="1"/>
      <c r="G253" s="1"/>
      <c r="H253" s="1"/>
      <c r="K253" s="1"/>
      <c r="L253" s="1"/>
      <c r="M253" s="1"/>
      <c r="N253" s="1"/>
      <c r="O253" s="1"/>
      <c r="P253" s="1"/>
      <c r="Q253" s="1"/>
      <c r="R253" s="1"/>
      <c r="S253" s="1"/>
      <c r="T253" s="1"/>
      <c r="U253" s="1"/>
      <c r="V253" s="1"/>
      <c r="W253" s="1"/>
      <c r="X253" s="1"/>
      <c r="Y253" s="1"/>
      <c r="Z253" s="1"/>
      <c r="AA253" s="1"/>
    </row>
    <row r="254" spans="2:27" ht="13.2" x14ac:dyDescent="0.25">
      <c r="B254" s="1"/>
      <c r="C254" s="1"/>
      <c r="D254" s="1"/>
      <c r="E254" s="1"/>
      <c r="F254" s="1"/>
      <c r="G254" s="1"/>
      <c r="H254" s="1"/>
      <c r="K254" s="1"/>
      <c r="L254" s="1"/>
      <c r="M254" s="1"/>
      <c r="N254" s="1"/>
      <c r="O254" s="1"/>
      <c r="P254" s="1"/>
      <c r="Q254" s="1"/>
      <c r="R254" s="1"/>
      <c r="S254" s="1"/>
      <c r="T254" s="1"/>
      <c r="U254" s="1"/>
      <c r="V254" s="1"/>
      <c r="W254" s="1"/>
      <c r="X254" s="1"/>
      <c r="Y254" s="1"/>
      <c r="Z254" s="1"/>
      <c r="AA254" s="1"/>
    </row>
    <row r="255" spans="2:27" ht="13.2" x14ac:dyDescent="0.25">
      <c r="B255" s="1"/>
      <c r="C255" s="1"/>
      <c r="D255" s="1"/>
      <c r="E255" s="1"/>
      <c r="F255" s="1"/>
      <c r="G255" s="1"/>
      <c r="H255" s="1"/>
      <c r="K255" s="1"/>
      <c r="L255" s="1"/>
      <c r="M255" s="1"/>
      <c r="N255" s="1"/>
      <c r="O255" s="1"/>
      <c r="P255" s="1"/>
      <c r="Q255" s="1"/>
      <c r="R255" s="1"/>
      <c r="S255" s="1"/>
      <c r="T255" s="1"/>
      <c r="U255" s="1"/>
      <c r="V255" s="1"/>
      <c r="W255" s="1"/>
      <c r="X255" s="1"/>
      <c r="Y255" s="1"/>
      <c r="Z255" s="1"/>
      <c r="AA255" s="1"/>
    </row>
    <row r="256" spans="2:27" ht="13.2" x14ac:dyDescent="0.25">
      <c r="B256" s="1"/>
      <c r="C256" s="1"/>
      <c r="D256" s="1"/>
      <c r="E256" s="1"/>
      <c r="F256" s="1"/>
      <c r="G256" s="1"/>
      <c r="H256" s="1"/>
      <c r="K256" s="1"/>
      <c r="L256" s="1"/>
      <c r="M256" s="1"/>
      <c r="N256" s="1"/>
      <c r="O256" s="1"/>
      <c r="P256" s="1"/>
      <c r="Q256" s="1"/>
      <c r="R256" s="1"/>
      <c r="S256" s="1"/>
      <c r="T256" s="1"/>
      <c r="U256" s="1"/>
      <c r="V256" s="1"/>
      <c r="W256" s="1"/>
      <c r="X256" s="1"/>
      <c r="Y256" s="1"/>
      <c r="Z256" s="1"/>
      <c r="AA256" s="1"/>
    </row>
    <row r="257" spans="2:27" ht="13.2" x14ac:dyDescent="0.25">
      <c r="B257" s="1"/>
      <c r="C257" s="1"/>
      <c r="D257" s="1"/>
      <c r="E257" s="1"/>
      <c r="F257" s="1"/>
      <c r="G257" s="1"/>
      <c r="H257" s="1"/>
      <c r="K257" s="1"/>
      <c r="L257" s="1"/>
      <c r="M257" s="1"/>
      <c r="N257" s="1"/>
      <c r="O257" s="1"/>
      <c r="P257" s="1"/>
      <c r="Q257" s="1"/>
      <c r="R257" s="1"/>
      <c r="S257" s="1"/>
      <c r="T257" s="1"/>
      <c r="U257" s="1"/>
      <c r="V257" s="1"/>
      <c r="W257" s="1"/>
      <c r="X257" s="1"/>
      <c r="Y257" s="1"/>
      <c r="Z257" s="1"/>
      <c r="AA257" s="1"/>
    </row>
    <row r="258" spans="2:27" ht="13.2" x14ac:dyDescent="0.25">
      <c r="B258" s="1"/>
      <c r="C258" s="1"/>
      <c r="D258" s="1"/>
      <c r="E258" s="1"/>
      <c r="F258" s="1"/>
      <c r="G258" s="1"/>
      <c r="H258" s="1"/>
      <c r="K258" s="1"/>
      <c r="L258" s="1"/>
      <c r="M258" s="1"/>
      <c r="N258" s="1"/>
      <c r="O258" s="1"/>
      <c r="P258" s="1"/>
      <c r="Q258" s="1"/>
      <c r="R258" s="1"/>
      <c r="S258" s="1"/>
      <c r="T258" s="1"/>
      <c r="U258" s="1"/>
      <c r="V258" s="1"/>
      <c r="W258" s="1"/>
      <c r="X258" s="1"/>
      <c r="Y258" s="1"/>
      <c r="Z258" s="1"/>
      <c r="AA258" s="1"/>
    </row>
    <row r="259" spans="2:27" ht="13.2" x14ac:dyDescent="0.25">
      <c r="B259" s="1"/>
      <c r="C259" s="1"/>
      <c r="D259" s="1"/>
      <c r="E259" s="1"/>
      <c r="F259" s="1"/>
      <c r="G259" s="1"/>
      <c r="H259" s="1"/>
      <c r="K259" s="1"/>
      <c r="L259" s="1"/>
      <c r="M259" s="1"/>
      <c r="N259" s="1"/>
      <c r="O259" s="1"/>
      <c r="P259" s="1"/>
      <c r="Q259" s="1"/>
      <c r="R259" s="1"/>
      <c r="S259" s="1"/>
      <c r="T259" s="1"/>
      <c r="U259" s="1"/>
      <c r="V259" s="1"/>
      <c r="W259" s="1"/>
      <c r="X259" s="1"/>
      <c r="Y259" s="1"/>
      <c r="Z259" s="1"/>
      <c r="AA259" s="1"/>
    </row>
    <row r="260" spans="2:27" ht="13.2" x14ac:dyDescent="0.25">
      <c r="B260" s="1"/>
      <c r="C260" s="1"/>
      <c r="D260" s="1"/>
      <c r="E260" s="1"/>
      <c r="F260" s="1"/>
      <c r="G260" s="1"/>
      <c r="H260" s="1"/>
      <c r="K260" s="1"/>
      <c r="L260" s="1"/>
      <c r="M260" s="1"/>
      <c r="N260" s="1"/>
      <c r="O260" s="1"/>
      <c r="P260" s="1"/>
      <c r="Q260" s="1"/>
      <c r="R260" s="1"/>
      <c r="S260" s="1"/>
      <c r="T260" s="1"/>
      <c r="U260" s="1"/>
      <c r="V260" s="1"/>
      <c r="W260" s="1"/>
      <c r="X260" s="1"/>
      <c r="Y260" s="1"/>
      <c r="Z260" s="1"/>
      <c r="AA260" s="1"/>
    </row>
    <row r="261" spans="2:27" ht="13.2" x14ac:dyDescent="0.25">
      <c r="B261" s="1"/>
      <c r="C261" s="1"/>
      <c r="D261" s="1"/>
      <c r="E261" s="1"/>
      <c r="F261" s="1"/>
      <c r="G261" s="1"/>
      <c r="H261" s="1"/>
      <c r="K261" s="1"/>
      <c r="L261" s="1"/>
      <c r="M261" s="1"/>
      <c r="N261" s="1"/>
      <c r="O261" s="1"/>
      <c r="P261" s="1"/>
      <c r="Q261" s="1"/>
      <c r="R261" s="1"/>
      <c r="S261" s="1"/>
      <c r="T261" s="1"/>
      <c r="U261" s="1"/>
      <c r="V261" s="1"/>
      <c r="W261" s="1"/>
      <c r="X261" s="1"/>
      <c r="Y261" s="1"/>
      <c r="Z261" s="1"/>
      <c r="AA261" s="1"/>
    </row>
    <row r="262" spans="2:27" ht="13.2" x14ac:dyDescent="0.25">
      <c r="B262" s="1"/>
      <c r="C262" s="1"/>
      <c r="D262" s="1"/>
      <c r="E262" s="1"/>
      <c r="F262" s="1"/>
      <c r="G262" s="1"/>
      <c r="H262" s="1"/>
      <c r="K262" s="1"/>
      <c r="L262" s="1"/>
      <c r="M262" s="1"/>
      <c r="N262" s="1"/>
      <c r="O262" s="1"/>
      <c r="P262" s="1"/>
      <c r="Q262" s="1"/>
      <c r="R262" s="1"/>
      <c r="S262" s="1"/>
      <c r="T262" s="1"/>
      <c r="U262" s="1"/>
      <c r="V262" s="1"/>
      <c r="W262" s="1"/>
      <c r="X262" s="1"/>
      <c r="Y262" s="1"/>
      <c r="Z262" s="1"/>
      <c r="AA262" s="1"/>
    </row>
    <row r="263" spans="2:27" ht="13.2" x14ac:dyDescent="0.25">
      <c r="B263" s="1"/>
      <c r="C263" s="1"/>
      <c r="D263" s="1"/>
      <c r="E263" s="1"/>
      <c r="F263" s="1"/>
      <c r="G263" s="1"/>
      <c r="H263" s="1"/>
      <c r="K263" s="1"/>
      <c r="L263" s="1"/>
      <c r="M263" s="1"/>
      <c r="N263" s="1"/>
      <c r="O263" s="1"/>
      <c r="P263" s="1"/>
      <c r="Q263" s="1"/>
      <c r="R263" s="1"/>
      <c r="S263" s="1"/>
      <c r="T263" s="1"/>
      <c r="U263" s="1"/>
      <c r="V263" s="1"/>
      <c r="W263" s="1"/>
      <c r="X263" s="1"/>
      <c r="Y263" s="1"/>
      <c r="Z263" s="1"/>
      <c r="AA263" s="1"/>
    </row>
    <row r="264" spans="2:27" ht="13.2" x14ac:dyDescent="0.25">
      <c r="B264" s="1"/>
      <c r="C264" s="1"/>
      <c r="D264" s="1"/>
      <c r="E264" s="1"/>
      <c r="F264" s="1"/>
      <c r="G264" s="1"/>
      <c r="H264" s="1"/>
      <c r="K264" s="1"/>
      <c r="L264" s="1"/>
      <c r="M264" s="1"/>
      <c r="N264" s="1"/>
      <c r="O264" s="1"/>
      <c r="P264" s="1"/>
      <c r="Q264" s="1"/>
      <c r="R264" s="1"/>
      <c r="S264" s="1"/>
      <c r="T264" s="1"/>
      <c r="U264" s="1"/>
      <c r="V264" s="1"/>
      <c r="W264" s="1"/>
      <c r="X264" s="1"/>
      <c r="Y264" s="1"/>
      <c r="Z264" s="1"/>
      <c r="AA264" s="1"/>
    </row>
    <row r="265" spans="2:27" ht="13.2" x14ac:dyDescent="0.25">
      <c r="B265" s="1"/>
      <c r="C265" s="1"/>
      <c r="D265" s="1"/>
      <c r="E265" s="1"/>
      <c r="F265" s="1"/>
      <c r="G265" s="1"/>
      <c r="H265" s="1"/>
      <c r="K265" s="1"/>
      <c r="L265" s="1"/>
      <c r="M265" s="1"/>
      <c r="N265" s="1"/>
      <c r="O265" s="1"/>
      <c r="P265" s="1"/>
      <c r="Q265" s="1"/>
      <c r="R265" s="1"/>
      <c r="S265" s="1"/>
      <c r="T265" s="1"/>
      <c r="U265" s="1"/>
      <c r="V265" s="1"/>
      <c r="W265" s="1"/>
      <c r="X265" s="1"/>
      <c r="Y265" s="1"/>
      <c r="Z265" s="1"/>
      <c r="AA265" s="1"/>
    </row>
    <row r="266" spans="2:27" ht="13.2" x14ac:dyDescent="0.25">
      <c r="B266" s="1"/>
      <c r="C266" s="1"/>
      <c r="D266" s="1"/>
      <c r="E266" s="1"/>
      <c r="F266" s="1"/>
      <c r="G266" s="1"/>
      <c r="H266" s="1"/>
      <c r="K266" s="1"/>
      <c r="L266" s="1"/>
      <c r="M266" s="1"/>
      <c r="N266" s="1"/>
      <c r="O266" s="1"/>
      <c r="P266" s="1"/>
      <c r="Q266" s="1"/>
      <c r="R266" s="1"/>
      <c r="S266" s="1"/>
      <c r="T266" s="1"/>
      <c r="U266" s="1"/>
      <c r="V266" s="1"/>
      <c r="W266" s="1"/>
      <c r="X266" s="1"/>
      <c r="Y266" s="1"/>
      <c r="Z266" s="1"/>
      <c r="AA266" s="1"/>
    </row>
    <row r="267" spans="2:27" ht="13.2" x14ac:dyDescent="0.25">
      <c r="B267" s="1"/>
      <c r="C267" s="1"/>
      <c r="D267" s="1"/>
      <c r="E267" s="1"/>
      <c r="F267" s="1"/>
      <c r="G267" s="1"/>
      <c r="H267" s="1"/>
      <c r="K267" s="1"/>
      <c r="L267" s="1"/>
      <c r="M267" s="1"/>
      <c r="N267" s="1"/>
      <c r="O267" s="1"/>
      <c r="P267" s="1"/>
      <c r="Q267" s="1"/>
      <c r="R267" s="1"/>
      <c r="S267" s="1"/>
      <c r="T267" s="1"/>
      <c r="U267" s="1"/>
      <c r="V267" s="1"/>
      <c r="W267" s="1"/>
      <c r="X267" s="1"/>
      <c r="Y267" s="1"/>
      <c r="Z267" s="1"/>
      <c r="AA267" s="1"/>
    </row>
    <row r="268" spans="2:27" ht="13.2" x14ac:dyDescent="0.25">
      <c r="B268" s="1"/>
      <c r="C268" s="1"/>
      <c r="D268" s="1"/>
      <c r="E268" s="1"/>
      <c r="F268" s="1"/>
      <c r="G268" s="1"/>
      <c r="H268" s="1"/>
      <c r="K268" s="1"/>
      <c r="L268" s="1"/>
      <c r="M268" s="1"/>
      <c r="N268" s="1"/>
      <c r="O268" s="1"/>
      <c r="P268" s="1"/>
      <c r="Q268" s="1"/>
      <c r="R268" s="1"/>
      <c r="S268" s="1"/>
      <c r="T268" s="1"/>
      <c r="U268" s="1"/>
      <c r="V268" s="1"/>
      <c r="W268" s="1"/>
      <c r="X268" s="1"/>
      <c r="Y268" s="1"/>
      <c r="Z268" s="1"/>
      <c r="AA268" s="1"/>
    </row>
    <row r="269" spans="2:27" ht="13.2" x14ac:dyDescent="0.25">
      <c r="B269" s="1"/>
      <c r="C269" s="1"/>
      <c r="D269" s="1"/>
      <c r="E269" s="1"/>
      <c r="F269" s="1"/>
      <c r="G269" s="1"/>
      <c r="H269" s="1"/>
      <c r="K269" s="1"/>
      <c r="L269" s="1"/>
      <c r="M269" s="1"/>
      <c r="N269" s="1"/>
      <c r="O269" s="1"/>
      <c r="P269" s="1"/>
      <c r="Q269" s="1"/>
      <c r="R269" s="1"/>
      <c r="S269" s="1"/>
      <c r="T269" s="1"/>
      <c r="U269" s="1"/>
      <c r="V269" s="1"/>
      <c r="W269" s="1"/>
      <c r="X269" s="1"/>
      <c r="Y269" s="1"/>
      <c r="Z269" s="1"/>
      <c r="AA269" s="1"/>
    </row>
    <row r="270" spans="2:27" ht="13.2" x14ac:dyDescent="0.25">
      <c r="B270" s="1"/>
      <c r="C270" s="1"/>
      <c r="D270" s="1"/>
      <c r="E270" s="1"/>
      <c r="F270" s="1"/>
      <c r="G270" s="1"/>
      <c r="H270" s="1"/>
      <c r="K270" s="1"/>
      <c r="L270" s="1"/>
      <c r="M270" s="1"/>
      <c r="N270" s="1"/>
      <c r="O270" s="1"/>
      <c r="P270" s="1"/>
      <c r="Q270" s="1"/>
      <c r="R270" s="1"/>
      <c r="S270" s="1"/>
      <c r="T270" s="1"/>
      <c r="U270" s="1"/>
      <c r="V270" s="1"/>
      <c r="W270" s="1"/>
      <c r="X270" s="1"/>
      <c r="Y270" s="1"/>
      <c r="Z270" s="1"/>
      <c r="AA270" s="1"/>
    </row>
    <row r="271" spans="2:27" ht="13.2" x14ac:dyDescent="0.25">
      <c r="B271" s="1"/>
      <c r="C271" s="1"/>
      <c r="D271" s="1"/>
      <c r="E271" s="1"/>
      <c r="F271" s="1"/>
      <c r="G271" s="1"/>
      <c r="H271" s="1"/>
      <c r="K271" s="1"/>
      <c r="L271" s="1"/>
      <c r="M271" s="1"/>
      <c r="N271" s="1"/>
      <c r="O271" s="1"/>
      <c r="P271" s="1"/>
      <c r="Q271" s="1"/>
      <c r="R271" s="1"/>
      <c r="S271" s="1"/>
      <c r="T271" s="1"/>
      <c r="U271" s="1"/>
      <c r="V271" s="1"/>
      <c r="W271" s="1"/>
      <c r="X271" s="1"/>
      <c r="Y271" s="1"/>
      <c r="Z271" s="1"/>
      <c r="AA271" s="1"/>
    </row>
    <row r="272" spans="2:27" ht="13.2" x14ac:dyDescent="0.25">
      <c r="B272" s="1"/>
      <c r="C272" s="1"/>
      <c r="D272" s="1"/>
      <c r="E272" s="1"/>
      <c r="F272" s="1"/>
      <c r="G272" s="1"/>
      <c r="H272" s="1"/>
      <c r="K272" s="1"/>
      <c r="L272" s="1"/>
      <c r="M272" s="1"/>
      <c r="N272" s="1"/>
      <c r="O272" s="1"/>
      <c r="P272" s="1"/>
      <c r="Q272" s="1"/>
      <c r="R272" s="1"/>
      <c r="S272" s="1"/>
      <c r="T272" s="1"/>
      <c r="U272" s="1"/>
      <c r="V272" s="1"/>
      <c r="W272" s="1"/>
      <c r="X272" s="1"/>
      <c r="Y272" s="1"/>
      <c r="Z272" s="1"/>
      <c r="AA272" s="1"/>
    </row>
    <row r="273" spans="2:27" ht="13.2" x14ac:dyDescent="0.25">
      <c r="B273" s="1"/>
      <c r="C273" s="1"/>
      <c r="D273" s="1"/>
      <c r="E273" s="1"/>
      <c r="F273" s="1"/>
      <c r="G273" s="1"/>
      <c r="H273" s="1"/>
      <c r="K273" s="1"/>
      <c r="L273" s="1"/>
      <c r="M273" s="1"/>
      <c r="N273" s="1"/>
      <c r="O273" s="1"/>
      <c r="P273" s="1"/>
      <c r="Q273" s="1"/>
      <c r="R273" s="1"/>
      <c r="S273" s="1"/>
      <c r="T273" s="1"/>
      <c r="U273" s="1"/>
      <c r="V273" s="1"/>
      <c r="W273" s="1"/>
      <c r="X273" s="1"/>
      <c r="Y273" s="1"/>
      <c r="Z273" s="1"/>
      <c r="AA273" s="1"/>
    </row>
    <row r="274" spans="2:27" ht="13.2" x14ac:dyDescent="0.25">
      <c r="B274" s="1"/>
      <c r="C274" s="1"/>
      <c r="D274" s="1"/>
      <c r="E274" s="1"/>
      <c r="F274" s="1"/>
      <c r="G274" s="1"/>
      <c r="H274" s="1"/>
      <c r="K274" s="1"/>
      <c r="L274" s="1"/>
      <c r="M274" s="1"/>
      <c r="N274" s="1"/>
      <c r="O274" s="1"/>
      <c r="P274" s="1"/>
      <c r="Q274" s="1"/>
      <c r="R274" s="1"/>
      <c r="S274" s="1"/>
      <c r="T274" s="1"/>
      <c r="U274" s="1"/>
      <c r="V274" s="1"/>
      <c r="W274" s="1"/>
      <c r="X274" s="1"/>
      <c r="Y274" s="1"/>
      <c r="Z274" s="1"/>
      <c r="AA274" s="1"/>
    </row>
    <row r="275" spans="2:27" ht="13.2" x14ac:dyDescent="0.25">
      <c r="B275" s="1"/>
      <c r="C275" s="1"/>
      <c r="D275" s="1"/>
      <c r="E275" s="1"/>
      <c r="F275" s="1"/>
      <c r="G275" s="1"/>
      <c r="H275" s="1"/>
      <c r="K275" s="1"/>
      <c r="L275" s="1"/>
      <c r="M275" s="1"/>
      <c r="N275" s="1"/>
      <c r="O275" s="1"/>
      <c r="P275" s="1"/>
      <c r="Q275" s="1"/>
      <c r="R275" s="1"/>
      <c r="S275" s="1"/>
      <c r="T275" s="1"/>
      <c r="U275" s="1"/>
      <c r="V275" s="1"/>
      <c r="W275" s="1"/>
      <c r="X275" s="1"/>
      <c r="Y275" s="1"/>
      <c r="Z275" s="1"/>
      <c r="AA275" s="1"/>
    </row>
    <row r="276" spans="2:27" ht="13.2" x14ac:dyDescent="0.25">
      <c r="B276" s="1"/>
      <c r="C276" s="1"/>
      <c r="D276" s="1"/>
      <c r="E276" s="1"/>
      <c r="F276" s="1"/>
      <c r="G276" s="1"/>
      <c r="H276" s="1"/>
      <c r="K276" s="1"/>
      <c r="L276" s="1"/>
      <c r="M276" s="1"/>
      <c r="N276" s="1"/>
      <c r="O276" s="1"/>
      <c r="P276" s="1"/>
      <c r="Q276" s="1"/>
      <c r="R276" s="1"/>
      <c r="S276" s="1"/>
      <c r="T276" s="1"/>
      <c r="U276" s="1"/>
      <c r="V276" s="1"/>
      <c r="W276" s="1"/>
      <c r="X276" s="1"/>
      <c r="Y276" s="1"/>
      <c r="Z276" s="1"/>
      <c r="AA276" s="1"/>
    </row>
    <row r="277" spans="2:27" ht="13.2" x14ac:dyDescent="0.25">
      <c r="B277" s="1"/>
      <c r="C277" s="1"/>
      <c r="D277" s="1"/>
      <c r="E277" s="1"/>
      <c r="F277" s="1"/>
      <c r="G277" s="1"/>
      <c r="H277" s="1"/>
      <c r="K277" s="1"/>
      <c r="L277" s="1"/>
      <c r="M277" s="1"/>
      <c r="N277" s="1"/>
      <c r="O277" s="1"/>
      <c r="P277" s="1"/>
      <c r="Q277" s="1"/>
      <c r="R277" s="1"/>
      <c r="S277" s="1"/>
      <c r="T277" s="1"/>
      <c r="U277" s="1"/>
      <c r="V277" s="1"/>
      <c r="W277" s="1"/>
      <c r="X277" s="1"/>
      <c r="Y277" s="1"/>
      <c r="Z277" s="1"/>
      <c r="AA277" s="1"/>
    </row>
    <row r="278" spans="2:27" ht="13.2" x14ac:dyDescent="0.25">
      <c r="B278" s="1"/>
      <c r="C278" s="1"/>
      <c r="D278" s="1"/>
      <c r="E278" s="1"/>
      <c r="F278" s="1"/>
      <c r="G278" s="1"/>
      <c r="H278" s="1"/>
      <c r="K278" s="1"/>
      <c r="L278" s="1"/>
      <c r="M278" s="1"/>
      <c r="N278" s="1"/>
      <c r="O278" s="1"/>
      <c r="P278" s="1"/>
      <c r="Q278" s="1"/>
      <c r="R278" s="1"/>
      <c r="S278" s="1"/>
      <c r="T278" s="1"/>
      <c r="U278" s="1"/>
      <c r="V278" s="1"/>
      <c r="W278" s="1"/>
      <c r="X278" s="1"/>
      <c r="Y278" s="1"/>
      <c r="Z278" s="1"/>
      <c r="AA278" s="1"/>
    </row>
    <row r="279" spans="2:27" ht="13.2" x14ac:dyDescent="0.25">
      <c r="B279" s="1"/>
      <c r="C279" s="1"/>
      <c r="D279" s="1"/>
      <c r="E279" s="1"/>
      <c r="F279" s="1"/>
      <c r="G279" s="1"/>
      <c r="H279" s="1"/>
      <c r="K279" s="1"/>
      <c r="L279" s="1"/>
      <c r="M279" s="1"/>
      <c r="N279" s="1"/>
      <c r="O279" s="1"/>
      <c r="P279" s="1"/>
      <c r="Q279" s="1"/>
      <c r="R279" s="1"/>
      <c r="S279" s="1"/>
      <c r="T279" s="1"/>
      <c r="U279" s="1"/>
      <c r="V279" s="1"/>
      <c r="W279" s="1"/>
      <c r="X279" s="1"/>
      <c r="Y279" s="1"/>
      <c r="Z279" s="1"/>
      <c r="AA279" s="1"/>
    </row>
    <row r="280" spans="2:27" ht="13.2" x14ac:dyDescent="0.25">
      <c r="B280" s="1"/>
      <c r="C280" s="1"/>
      <c r="D280" s="1"/>
      <c r="E280" s="1"/>
      <c r="F280" s="1"/>
      <c r="G280" s="1"/>
      <c r="H280" s="1"/>
      <c r="K280" s="1"/>
      <c r="L280" s="1"/>
      <c r="M280" s="1"/>
      <c r="N280" s="1"/>
      <c r="O280" s="1"/>
      <c r="P280" s="1"/>
      <c r="Q280" s="1"/>
      <c r="R280" s="1"/>
      <c r="S280" s="1"/>
      <c r="T280" s="1"/>
      <c r="U280" s="1"/>
      <c r="V280" s="1"/>
      <c r="W280" s="1"/>
      <c r="X280" s="1"/>
      <c r="Y280" s="1"/>
      <c r="Z280" s="1"/>
      <c r="AA280" s="1"/>
    </row>
    <row r="281" spans="2:27" ht="13.2" x14ac:dyDescent="0.25">
      <c r="B281" s="1"/>
      <c r="C281" s="1"/>
      <c r="D281" s="1"/>
      <c r="E281" s="1"/>
      <c r="F281" s="1"/>
      <c r="G281" s="1"/>
      <c r="H281" s="1"/>
      <c r="K281" s="1"/>
      <c r="L281" s="1"/>
      <c r="M281" s="1"/>
      <c r="N281" s="1"/>
      <c r="O281" s="1"/>
      <c r="P281" s="1"/>
      <c r="Q281" s="1"/>
      <c r="R281" s="1"/>
      <c r="S281" s="1"/>
      <c r="T281" s="1"/>
      <c r="U281" s="1"/>
      <c r="V281" s="1"/>
      <c r="W281" s="1"/>
      <c r="X281" s="1"/>
      <c r="Y281" s="1"/>
      <c r="Z281" s="1"/>
      <c r="AA281" s="1"/>
    </row>
    <row r="282" spans="2:27" ht="13.2" x14ac:dyDescent="0.25">
      <c r="B282" s="1"/>
      <c r="C282" s="1"/>
      <c r="D282" s="1"/>
      <c r="E282" s="1"/>
      <c r="F282" s="1"/>
      <c r="G282" s="1"/>
      <c r="H282" s="1"/>
      <c r="K282" s="1"/>
      <c r="L282" s="1"/>
      <c r="M282" s="1"/>
      <c r="N282" s="1"/>
      <c r="O282" s="1"/>
      <c r="P282" s="1"/>
      <c r="Q282" s="1"/>
      <c r="R282" s="1"/>
      <c r="S282" s="1"/>
      <c r="T282" s="1"/>
      <c r="U282" s="1"/>
      <c r="V282" s="1"/>
      <c r="W282" s="1"/>
      <c r="X282" s="1"/>
      <c r="Y282" s="1"/>
      <c r="Z282" s="1"/>
      <c r="AA282" s="1"/>
    </row>
    <row r="283" spans="2:27" ht="13.2" x14ac:dyDescent="0.25">
      <c r="B283" s="1"/>
      <c r="C283" s="1"/>
      <c r="D283" s="1"/>
      <c r="E283" s="1"/>
      <c r="F283" s="1"/>
      <c r="G283" s="1"/>
      <c r="H283" s="1"/>
      <c r="K283" s="1"/>
      <c r="L283" s="1"/>
      <c r="M283" s="1"/>
      <c r="N283" s="1"/>
      <c r="O283" s="1"/>
      <c r="P283" s="1"/>
      <c r="Q283" s="1"/>
      <c r="R283" s="1"/>
      <c r="S283" s="1"/>
      <c r="T283" s="1"/>
      <c r="U283" s="1"/>
      <c r="V283" s="1"/>
      <c r="W283" s="1"/>
      <c r="X283" s="1"/>
      <c r="Y283" s="1"/>
      <c r="Z283" s="1"/>
      <c r="AA283" s="1"/>
    </row>
    <row r="284" spans="2:27" ht="13.2" x14ac:dyDescent="0.25">
      <c r="B284" s="1"/>
      <c r="C284" s="1"/>
      <c r="D284" s="1"/>
      <c r="E284" s="1"/>
      <c r="F284" s="1"/>
      <c r="G284" s="1"/>
      <c r="H284" s="1"/>
      <c r="K284" s="1"/>
      <c r="L284" s="1"/>
      <c r="M284" s="1"/>
      <c r="N284" s="1"/>
      <c r="O284" s="1"/>
      <c r="P284" s="1"/>
      <c r="Q284" s="1"/>
      <c r="R284" s="1"/>
      <c r="S284" s="1"/>
      <c r="T284" s="1"/>
      <c r="U284" s="1"/>
      <c r="V284" s="1"/>
      <c r="W284" s="1"/>
      <c r="X284" s="1"/>
      <c r="Y284" s="1"/>
      <c r="Z284" s="1"/>
      <c r="AA284" s="1"/>
    </row>
    <row r="285" spans="2:27" ht="13.2" x14ac:dyDescent="0.25">
      <c r="B285" s="1"/>
      <c r="C285" s="1"/>
      <c r="D285" s="1"/>
      <c r="E285" s="1"/>
      <c r="F285" s="1"/>
      <c r="G285" s="1"/>
      <c r="H285" s="1"/>
      <c r="K285" s="1"/>
      <c r="L285" s="1"/>
      <c r="M285" s="1"/>
      <c r="N285" s="1"/>
      <c r="O285" s="1"/>
      <c r="P285" s="1"/>
      <c r="Q285" s="1"/>
      <c r="R285" s="1"/>
      <c r="S285" s="1"/>
      <c r="T285" s="1"/>
      <c r="U285" s="1"/>
      <c r="V285" s="1"/>
      <c r="W285" s="1"/>
      <c r="X285" s="1"/>
      <c r="Y285" s="1"/>
      <c r="Z285" s="1"/>
      <c r="AA285" s="1"/>
    </row>
    <row r="286" spans="2:27" ht="13.2" x14ac:dyDescent="0.25">
      <c r="B286" s="1"/>
      <c r="C286" s="1"/>
      <c r="D286" s="1"/>
      <c r="E286" s="1"/>
      <c r="F286" s="1"/>
      <c r="G286" s="1"/>
      <c r="H286" s="1"/>
      <c r="K286" s="1"/>
      <c r="L286" s="1"/>
      <c r="M286" s="1"/>
      <c r="N286" s="1"/>
      <c r="O286" s="1"/>
      <c r="P286" s="1"/>
      <c r="Q286" s="1"/>
      <c r="R286" s="1"/>
      <c r="S286" s="1"/>
      <c r="T286" s="1"/>
      <c r="U286" s="1"/>
      <c r="V286" s="1"/>
      <c r="W286" s="1"/>
      <c r="X286" s="1"/>
      <c r="Y286" s="1"/>
      <c r="Z286" s="1"/>
      <c r="AA286" s="1"/>
    </row>
    <row r="287" spans="2:27" ht="13.2" x14ac:dyDescent="0.25">
      <c r="B287" s="1"/>
      <c r="C287" s="1"/>
      <c r="D287" s="1"/>
      <c r="E287" s="1"/>
      <c r="F287" s="1"/>
      <c r="G287" s="1"/>
      <c r="H287" s="1"/>
      <c r="K287" s="1"/>
      <c r="L287" s="1"/>
      <c r="M287" s="1"/>
      <c r="N287" s="1"/>
      <c r="O287" s="1"/>
      <c r="P287" s="1"/>
      <c r="Q287" s="1"/>
      <c r="R287" s="1"/>
      <c r="S287" s="1"/>
      <c r="T287" s="1"/>
      <c r="U287" s="1"/>
      <c r="V287" s="1"/>
      <c r="W287" s="1"/>
      <c r="X287" s="1"/>
      <c r="Y287" s="1"/>
      <c r="Z287" s="1"/>
      <c r="AA287" s="1"/>
    </row>
    <row r="288" spans="2:27" ht="13.2" x14ac:dyDescent="0.25">
      <c r="B288" s="1"/>
      <c r="C288" s="1"/>
      <c r="D288" s="1"/>
      <c r="E288" s="1"/>
      <c r="F288" s="1"/>
      <c r="G288" s="1"/>
      <c r="H288" s="1"/>
      <c r="K288" s="1"/>
      <c r="L288" s="1"/>
      <c r="M288" s="1"/>
      <c r="N288" s="1"/>
      <c r="O288" s="1"/>
      <c r="P288" s="1"/>
      <c r="Q288" s="1"/>
      <c r="R288" s="1"/>
      <c r="S288" s="1"/>
      <c r="T288" s="1"/>
      <c r="U288" s="1"/>
      <c r="V288" s="1"/>
      <c r="W288" s="1"/>
      <c r="X288" s="1"/>
      <c r="Y288" s="1"/>
      <c r="Z288" s="1"/>
      <c r="AA288" s="1"/>
    </row>
    <row r="289" spans="2:27" ht="13.2" x14ac:dyDescent="0.25">
      <c r="B289" s="1"/>
      <c r="C289" s="1"/>
      <c r="D289" s="1"/>
      <c r="E289" s="1"/>
      <c r="F289" s="1"/>
      <c r="G289" s="1"/>
      <c r="H289" s="1"/>
      <c r="K289" s="1"/>
      <c r="L289" s="1"/>
      <c r="M289" s="1"/>
      <c r="N289" s="1"/>
      <c r="O289" s="1"/>
      <c r="P289" s="1"/>
      <c r="Q289" s="1"/>
      <c r="R289" s="1"/>
      <c r="S289" s="1"/>
      <c r="T289" s="1"/>
      <c r="U289" s="1"/>
      <c r="V289" s="1"/>
      <c r="W289" s="1"/>
      <c r="X289" s="1"/>
      <c r="Y289" s="1"/>
      <c r="Z289" s="1"/>
      <c r="AA289" s="1"/>
    </row>
    <row r="290" spans="2:27" ht="13.2" x14ac:dyDescent="0.25">
      <c r="B290" s="1"/>
      <c r="C290" s="1"/>
      <c r="D290" s="1"/>
      <c r="E290" s="1"/>
      <c r="F290" s="1"/>
      <c r="G290" s="1"/>
      <c r="H290" s="1"/>
      <c r="K290" s="1"/>
      <c r="L290" s="1"/>
      <c r="M290" s="1"/>
      <c r="N290" s="1"/>
      <c r="O290" s="1"/>
      <c r="P290" s="1"/>
      <c r="Q290" s="1"/>
      <c r="R290" s="1"/>
      <c r="S290" s="1"/>
      <c r="T290" s="1"/>
      <c r="U290" s="1"/>
      <c r="V290" s="1"/>
      <c r="W290" s="1"/>
      <c r="X290" s="1"/>
      <c r="Y290" s="1"/>
      <c r="Z290" s="1"/>
      <c r="AA290" s="1"/>
    </row>
    <row r="291" spans="2:27" ht="13.2" x14ac:dyDescent="0.25">
      <c r="B291" s="1"/>
      <c r="C291" s="1"/>
      <c r="D291" s="1"/>
      <c r="E291" s="1"/>
      <c r="F291" s="1"/>
      <c r="G291" s="1"/>
      <c r="H291" s="1"/>
      <c r="K291" s="1"/>
      <c r="L291" s="1"/>
      <c r="M291" s="1"/>
      <c r="N291" s="1"/>
      <c r="O291" s="1"/>
      <c r="P291" s="1"/>
      <c r="Q291" s="1"/>
      <c r="R291" s="1"/>
      <c r="S291" s="1"/>
      <c r="T291" s="1"/>
      <c r="U291" s="1"/>
      <c r="V291" s="1"/>
      <c r="W291" s="1"/>
      <c r="X291" s="1"/>
      <c r="Y291" s="1"/>
      <c r="Z291" s="1"/>
      <c r="AA291" s="1"/>
    </row>
    <row r="292" spans="2:27" ht="13.2" x14ac:dyDescent="0.25">
      <c r="B292" s="1"/>
      <c r="C292" s="1"/>
      <c r="D292" s="1"/>
      <c r="E292" s="1"/>
      <c r="F292" s="1"/>
      <c r="G292" s="1"/>
      <c r="H292" s="1"/>
      <c r="K292" s="1"/>
      <c r="L292" s="1"/>
      <c r="M292" s="1"/>
      <c r="N292" s="1"/>
      <c r="O292" s="1"/>
      <c r="P292" s="1"/>
      <c r="Q292" s="1"/>
      <c r="R292" s="1"/>
      <c r="S292" s="1"/>
      <c r="T292" s="1"/>
      <c r="U292" s="1"/>
      <c r="V292" s="1"/>
      <c r="W292" s="1"/>
      <c r="X292" s="1"/>
      <c r="Y292" s="1"/>
      <c r="Z292" s="1"/>
      <c r="AA292" s="1"/>
    </row>
    <row r="293" spans="2:27" ht="13.2" x14ac:dyDescent="0.25">
      <c r="B293" s="1"/>
      <c r="C293" s="1"/>
      <c r="D293" s="1"/>
      <c r="E293" s="1"/>
      <c r="F293" s="1"/>
      <c r="G293" s="1"/>
      <c r="H293" s="1"/>
      <c r="K293" s="1"/>
      <c r="L293" s="1"/>
      <c r="M293" s="1"/>
      <c r="N293" s="1"/>
      <c r="O293" s="1"/>
      <c r="P293" s="1"/>
      <c r="Q293" s="1"/>
      <c r="R293" s="1"/>
      <c r="S293" s="1"/>
      <c r="T293" s="1"/>
      <c r="U293" s="1"/>
      <c r="V293" s="1"/>
      <c r="W293" s="1"/>
      <c r="X293" s="1"/>
      <c r="Y293" s="1"/>
      <c r="Z293" s="1"/>
      <c r="AA293" s="1"/>
    </row>
    <row r="294" spans="2:27" ht="13.2" x14ac:dyDescent="0.25">
      <c r="B294" s="1"/>
      <c r="C294" s="1"/>
      <c r="D294" s="1"/>
      <c r="E294" s="1"/>
      <c r="F294" s="1"/>
      <c r="G294" s="1"/>
      <c r="H294" s="1"/>
      <c r="K294" s="1"/>
      <c r="L294" s="1"/>
      <c r="M294" s="1"/>
      <c r="N294" s="1"/>
      <c r="O294" s="1"/>
      <c r="P294" s="1"/>
      <c r="Q294" s="1"/>
      <c r="R294" s="1"/>
      <c r="S294" s="1"/>
      <c r="T294" s="1"/>
      <c r="U294" s="1"/>
      <c r="V294" s="1"/>
      <c r="W294" s="1"/>
      <c r="X294" s="1"/>
      <c r="Y294" s="1"/>
      <c r="Z294" s="1"/>
      <c r="AA294" s="1"/>
    </row>
    <row r="295" spans="2:27" ht="13.2" x14ac:dyDescent="0.25">
      <c r="B295" s="1"/>
      <c r="C295" s="1"/>
      <c r="D295" s="1"/>
      <c r="E295" s="1"/>
      <c r="F295" s="1"/>
      <c r="G295" s="1"/>
      <c r="H295" s="1"/>
      <c r="K295" s="1"/>
      <c r="L295" s="1"/>
      <c r="M295" s="1"/>
      <c r="N295" s="1"/>
      <c r="O295" s="1"/>
      <c r="P295" s="1"/>
      <c r="Q295" s="1"/>
      <c r="R295" s="1"/>
      <c r="S295" s="1"/>
      <c r="T295" s="1"/>
      <c r="U295" s="1"/>
      <c r="V295" s="1"/>
      <c r="W295" s="1"/>
      <c r="X295" s="1"/>
      <c r="Y295" s="1"/>
      <c r="Z295" s="1"/>
      <c r="AA295" s="1"/>
    </row>
    <row r="296" spans="2:27" ht="13.2" x14ac:dyDescent="0.25">
      <c r="B296" s="1"/>
      <c r="C296" s="1"/>
      <c r="D296" s="1"/>
      <c r="E296" s="1"/>
      <c r="F296" s="1"/>
      <c r="G296" s="1"/>
      <c r="H296" s="1"/>
      <c r="K296" s="1"/>
      <c r="L296" s="1"/>
      <c r="M296" s="1"/>
      <c r="N296" s="1"/>
      <c r="O296" s="1"/>
      <c r="P296" s="1"/>
      <c r="Q296" s="1"/>
      <c r="R296" s="1"/>
      <c r="S296" s="1"/>
      <c r="T296" s="1"/>
      <c r="U296" s="1"/>
      <c r="V296" s="1"/>
      <c r="W296" s="1"/>
      <c r="X296" s="1"/>
      <c r="Y296" s="1"/>
      <c r="Z296" s="1"/>
      <c r="AA296" s="1"/>
    </row>
    <row r="297" spans="2:27" ht="13.2" x14ac:dyDescent="0.25">
      <c r="B297" s="1"/>
      <c r="C297" s="1"/>
      <c r="D297" s="1"/>
      <c r="E297" s="1"/>
      <c r="F297" s="1"/>
      <c r="G297" s="1"/>
      <c r="H297" s="1"/>
      <c r="K297" s="1"/>
      <c r="L297" s="1"/>
      <c r="M297" s="1"/>
      <c r="N297" s="1"/>
      <c r="O297" s="1"/>
      <c r="P297" s="1"/>
      <c r="Q297" s="1"/>
      <c r="R297" s="1"/>
      <c r="S297" s="1"/>
      <c r="T297" s="1"/>
      <c r="U297" s="1"/>
      <c r="V297" s="1"/>
      <c r="W297" s="1"/>
      <c r="X297" s="1"/>
      <c r="Y297" s="1"/>
      <c r="Z297" s="1"/>
      <c r="AA297" s="1"/>
    </row>
    <row r="298" spans="2:27" ht="13.2" x14ac:dyDescent="0.25">
      <c r="B298" s="1"/>
      <c r="C298" s="1"/>
      <c r="D298" s="1"/>
      <c r="E298" s="1"/>
      <c r="F298" s="1"/>
      <c r="G298" s="1"/>
      <c r="H298" s="1"/>
      <c r="K298" s="1"/>
      <c r="L298" s="1"/>
      <c r="M298" s="1"/>
      <c r="N298" s="1"/>
      <c r="O298" s="1"/>
      <c r="P298" s="1"/>
      <c r="Q298" s="1"/>
      <c r="R298" s="1"/>
      <c r="S298" s="1"/>
      <c r="T298" s="1"/>
      <c r="U298" s="1"/>
      <c r="V298" s="1"/>
      <c r="W298" s="1"/>
      <c r="X298" s="1"/>
      <c r="Y298" s="1"/>
      <c r="Z298" s="1"/>
      <c r="AA298" s="1"/>
    </row>
    <row r="299" spans="2:27" ht="13.2" x14ac:dyDescent="0.25">
      <c r="B299" s="1"/>
      <c r="C299" s="1"/>
      <c r="D299" s="1"/>
      <c r="E299" s="1"/>
      <c r="F299" s="1"/>
      <c r="G299" s="1"/>
      <c r="H299" s="1"/>
      <c r="K299" s="1"/>
      <c r="L299" s="1"/>
      <c r="M299" s="1"/>
      <c r="N299" s="1"/>
      <c r="O299" s="1"/>
      <c r="P299" s="1"/>
      <c r="Q299" s="1"/>
      <c r="R299" s="1"/>
      <c r="S299" s="1"/>
      <c r="T299" s="1"/>
      <c r="U299" s="1"/>
      <c r="V299" s="1"/>
      <c r="W299" s="1"/>
      <c r="X299" s="1"/>
      <c r="Y299" s="1"/>
      <c r="Z299" s="1"/>
      <c r="AA299" s="1"/>
    </row>
    <row r="300" spans="2:27" ht="13.2" x14ac:dyDescent="0.25">
      <c r="B300" s="1"/>
      <c r="C300" s="1"/>
      <c r="D300" s="1"/>
      <c r="E300" s="1"/>
      <c r="F300" s="1"/>
      <c r="G300" s="1"/>
      <c r="H300" s="1"/>
      <c r="K300" s="1"/>
      <c r="L300" s="1"/>
      <c r="M300" s="1"/>
      <c r="N300" s="1"/>
      <c r="O300" s="1"/>
      <c r="P300" s="1"/>
      <c r="Q300" s="1"/>
      <c r="R300" s="1"/>
      <c r="S300" s="1"/>
      <c r="T300" s="1"/>
      <c r="U300" s="1"/>
      <c r="V300" s="1"/>
      <c r="W300" s="1"/>
      <c r="X300" s="1"/>
      <c r="Y300" s="1"/>
      <c r="Z300" s="1"/>
      <c r="AA300" s="1"/>
    </row>
    <row r="301" spans="2:27" ht="13.2" x14ac:dyDescent="0.25">
      <c r="B301" s="1"/>
      <c r="C301" s="1"/>
      <c r="D301" s="1"/>
      <c r="E301" s="1"/>
      <c r="F301" s="1"/>
      <c r="G301" s="1"/>
      <c r="H301" s="1"/>
      <c r="K301" s="1"/>
      <c r="L301" s="1"/>
      <c r="M301" s="1"/>
      <c r="N301" s="1"/>
      <c r="O301" s="1"/>
      <c r="P301" s="1"/>
      <c r="Q301" s="1"/>
      <c r="R301" s="1"/>
      <c r="S301" s="1"/>
      <c r="T301" s="1"/>
      <c r="U301" s="1"/>
      <c r="V301" s="1"/>
      <c r="W301" s="1"/>
      <c r="X301" s="1"/>
      <c r="Y301" s="1"/>
      <c r="Z301" s="1"/>
      <c r="AA301" s="1"/>
    </row>
    <row r="302" spans="2:27" ht="13.2" x14ac:dyDescent="0.25">
      <c r="B302" s="1"/>
      <c r="C302" s="1"/>
      <c r="D302" s="1"/>
      <c r="E302" s="1"/>
      <c r="F302" s="1"/>
      <c r="G302" s="1"/>
      <c r="H302" s="1"/>
      <c r="K302" s="1"/>
      <c r="L302" s="1"/>
      <c r="M302" s="1"/>
      <c r="N302" s="1"/>
      <c r="O302" s="1"/>
      <c r="P302" s="1"/>
      <c r="Q302" s="1"/>
      <c r="R302" s="1"/>
      <c r="S302" s="1"/>
      <c r="T302" s="1"/>
      <c r="U302" s="1"/>
      <c r="V302" s="1"/>
      <c r="W302" s="1"/>
      <c r="X302" s="1"/>
      <c r="Y302" s="1"/>
      <c r="Z302" s="1"/>
      <c r="AA302" s="1"/>
    </row>
    <row r="303" spans="2:27" ht="13.2" x14ac:dyDescent="0.25">
      <c r="B303" s="1"/>
      <c r="C303" s="1"/>
      <c r="D303" s="1"/>
      <c r="E303" s="1"/>
      <c r="F303" s="1"/>
      <c r="G303" s="1"/>
      <c r="H303" s="1"/>
      <c r="K303" s="1"/>
      <c r="L303" s="1"/>
      <c r="M303" s="1"/>
      <c r="N303" s="1"/>
      <c r="O303" s="1"/>
      <c r="P303" s="1"/>
      <c r="Q303" s="1"/>
      <c r="R303" s="1"/>
      <c r="S303" s="1"/>
      <c r="T303" s="1"/>
      <c r="U303" s="1"/>
      <c r="V303" s="1"/>
      <c r="W303" s="1"/>
      <c r="X303" s="1"/>
      <c r="Y303" s="1"/>
      <c r="Z303" s="1"/>
      <c r="AA303" s="1"/>
    </row>
    <row r="304" spans="2:27" ht="13.2" x14ac:dyDescent="0.25">
      <c r="B304" s="1"/>
      <c r="C304" s="1"/>
      <c r="D304" s="1"/>
      <c r="E304" s="1"/>
      <c r="F304" s="1"/>
      <c r="G304" s="1"/>
      <c r="H304" s="1"/>
      <c r="K304" s="1"/>
      <c r="L304" s="1"/>
      <c r="M304" s="1"/>
      <c r="N304" s="1"/>
      <c r="O304" s="1"/>
      <c r="P304" s="1"/>
      <c r="Q304" s="1"/>
      <c r="R304" s="1"/>
      <c r="S304" s="1"/>
      <c r="T304" s="1"/>
      <c r="U304" s="1"/>
      <c r="V304" s="1"/>
      <c r="W304" s="1"/>
      <c r="X304" s="1"/>
      <c r="Y304" s="1"/>
      <c r="Z304" s="1"/>
      <c r="AA304" s="1"/>
    </row>
    <row r="305" spans="2:27" ht="13.2" x14ac:dyDescent="0.25">
      <c r="B305" s="1"/>
      <c r="C305" s="1"/>
      <c r="D305" s="1"/>
      <c r="E305" s="1"/>
      <c r="F305" s="1"/>
      <c r="G305" s="1"/>
      <c r="H305" s="1"/>
      <c r="K305" s="1"/>
      <c r="L305" s="1"/>
      <c r="M305" s="1"/>
      <c r="N305" s="1"/>
      <c r="O305" s="1"/>
      <c r="P305" s="1"/>
      <c r="Q305" s="1"/>
      <c r="R305" s="1"/>
      <c r="S305" s="1"/>
      <c r="T305" s="1"/>
      <c r="U305" s="1"/>
      <c r="V305" s="1"/>
      <c r="W305" s="1"/>
      <c r="X305" s="1"/>
      <c r="Y305" s="1"/>
      <c r="Z305" s="1"/>
      <c r="AA305" s="1"/>
    </row>
    <row r="306" spans="2:27" ht="13.2" x14ac:dyDescent="0.25">
      <c r="B306" s="1"/>
      <c r="C306" s="1"/>
      <c r="D306" s="1"/>
      <c r="E306" s="1"/>
      <c r="F306" s="1"/>
      <c r="G306" s="1"/>
      <c r="H306" s="1"/>
      <c r="K306" s="1"/>
      <c r="L306" s="1"/>
      <c r="M306" s="1"/>
      <c r="N306" s="1"/>
      <c r="O306" s="1"/>
      <c r="P306" s="1"/>
      <c r="Q306" s="1"/>
      <c r="R306" s="1"/>
      <c r="S306" s="1"/>
      <c r="T306" s="1"/>
      <c r="U306" s="1"/>
      <c r="V306" s="1"/>
      <c r="W306" s="1"/>
      <c r="X306" s="1"/>
      <c r="Y306" s="1"/>
      <c r="Z306" s="1"/>
      <c r="AA306" s="1"/>
    </row>
    <row r="307" spans="2:27" ht="13.2" x14ac:dyDescent="0.25">
      <c r="B307" s="1"/>
      <c r="C307" s="1"/>
      <c r="D307" s="1"/>
      <c r="E307" s="1"/>
      <c r="F307" s="1"/>
      <c r="G307" s="1"/>
      <c r="H307" s="1"/>
      <c r="K307" s="1"/>
      <c r="L307" s="1"/>
      <c r="M307" s="1"/>
      <c r="N307" s="1"/>
      <c r="O307" s="1"/>
      <c r="P307" s="1"/>
      <c r="Q307" s="1"/>
      <c r="R307" s="1"/>
      <c r="S307" s="1"/>
      <c r="T307" s="1"/>
      <c r="U307" s="1"/>
      <c r="V307" s="1"/>
      <c r="W307" s="1"/>
      <c r="X307" s="1"/>
      <c r="Y307" s="1"/>
      <c r="Z307" s="1"/>
      <c r="AA307" s="1"/>
    </row>
    <row r="308" spans="2:27" ht="13.2" x14ac:dyDescent="0.25">
      <c r="B308" s="1"/>
      <c r="C308" s="1"/>
      <c r="D308" s="1"/>
      <c r="E308" s="1"/>
      <c r="F308" s="1"/>
      <c r="G308" s="1"/>
      <c r="H308" s="1"/>
      <c r="K308" s="1"/>
      <c r="L308" s="1"/>
      <c r="M308" s="1"/>
      <c r="N308" s="1"/>
      <c r="O308" s="1"/>
      <c r="P308" s="1"/>
      <c r="Q308" s="1"/>
      <c r="R308" s="1"/>
      <c r="S308" s="1"/>
      <c r="T308" s="1"/>
      <c r="U308" s="1"/>
      <c r="V308" s="1"/>
      <c r="W308" s="1"/>
      <c r="X308" s="1"/>
      <c r="Y308" s="1"/>
      <c r="Z308" s="1"/>
      <c r="AA308" s="1"/>
    </row>
    <row r="309" spans="2:27" ht="13.2" x14ac:dyDescent="0.25">
      <c r="B309" s="1"/>
      <c r="C309" s="1"/>
      <c r="D309" s="1"/>
      <c r="E309" s="1"/>
      <c r="F309" s="1"/>
      <c r="G309" s="1"/>
      <c r="H309" s="1"/>
      <c r="K309" s="1"/>
      <c r="L309" s="1"/>
      <c r="M309" s="1"/>
      <c r="N309" s="1"/>
      <c r="O309" s="1"/>
      <c r="P309" s="1"/>
      <c r="Q309" s="1"/>
      <c r="R309" s="1"/>
      <c r="S309" s="1"/>
      <c r="T309" s="1"/>
      <c r="U309" s="1"/>
      <c r="V309" s="1"/>
      <c r="W309" s="1"/>
      <c r="X309" s="1"/>
      <c r="Y309" s="1"/>
      <c r="Z309" s="1"/>
      <c r="AA309" s="1"/>
    </row>
    <row r="310" spans="2:27" ht="13.2" x14ac:dyDescent="0.25">
      <c r="B310" s="1"/>
      <c r="C310" s="1"/>
      <c r="D310" s="1"/>
      <c r="E310" s="1"/>
      <c r="F310" s="1"/>
      <c r="G310" s="1"/>
      <c r="H310" s="1"/>
      <c r="K310" s="1"/>
      <c r="L310" s="1"/>
      <c r="M310" s="1"/>
      <c r="N310" s="1"/>
      <c r="O310" s="1"/>
      <c r="P310" s="1"/>
      <c r="Q310" s="1"/>
      <c r="R310" s="1"/>
      <c r="S310" s="1"/>
      <c r="T310" s="1"/>
      <c r="U310" s="1"/>
      <c r="V310" s="1"/>
      <c r="W310" s="1"/>
      <c r="X310" s="1"/>
      <c r="Y310" s="1"/>
      <c r="Z310" s="1"/>
      <c r="AA310" s="1"/>
    </row>
    <row r="311" spans="2:27" ht="13.2" x14ac:dyDescent="0.25">
      <c r="B311" s="1"/>
      <c r="C311" s="1"/>
      <c r="D311" s="1"/>
      <c r="E311" s="1"/>
      <c r="F311" s="1"/>
      <c r="G311" s="1"/>
      <c r="H311" s="1"/>
      <c r="K311" s="1"/>
      <c r="L311" s="1"/>
      <c r="M311" s="1"/>
      <c r="N311" s="1"/>
      <c r="O311" s="1"/>
      <c r="P311" s="1"/>
      <c r="Q311" s="1"/>
      <c r="R311" s="1"/>
      <c r="S311" s="1"/>
      <c r="T311" s="1"/>
      <c r="U311" s="1"/>
      <c r="V311" s="1"/>
      <c r="W311" s="1"/>
      <c r="X311" s="1"/>
      <c r="Y311" s="1"/>
      <c r="Z311" s="1"/>
      <c r="AA311" s="1"/>
    </row>
    <row r="312" spans="2:27" ht="13.2" x14ac:dyDescent="0.25">
      <c r="B312" s="1"/>
      <c r="C312" s="1"/>
      <c r="D312" s="1"/>
      <c r="E312" s="1"/>
      <c r="F312" s="1"/>
      <c r="G312" s="1"/>
      <c r="H312" s="1"/>
      <c r="K312" s="1"/>
      <c r="L312" s="1"/>
      <c r="M312" s="1"/>
      <c r="N312" s="1"/>
      <c r="O312" s="1"/>
      <c r="P312" s="1"/>
      <c r="Q312" s="1"/>
      <c r="R312" s="1"/>
      <c r="S312" s="1"/>
      <c r="T312" s="1"/>
      <c r="U312" s="1"/>
      <c r="V312" s="1"/>
      <c r="W312" s="1"/>
      <c r="X312" s="1"/>
      <c r="Y312" s="1"/>
      <c r="Z312" s="1"/>
      <c r="AA312" s="1"/>
    </row>
    <row r="313" spans="2:27" ht="13.2" x14ac:dyDescent="0.25">
      <c r="B313" s="1"/>
      <c r="C313" s="1"/>
      <c r="D313" s="1"/>
      <c r="E313" s="1"/>
      <c r="F313" s="1"/>
      <c r="G313" s="1"/>
      <c r="H313" s="1"/>
      <c r="K313" s="1"/>
      <c r="L313" s="1"/>
      <c r="M313" s="1"/>
      <c r="N313" s="1"/>
      <c r="O313" s="1"/>
      <c r="P313" s="1"/>
      <c r="Q313" s="1"/>
      <c r="R313" s="1"/>
      <c r="S313" s="1"/>
      <c r="T313" s="1"/>
      <c r="U313" s="1"/>
      <c r="V313" s="1"/>
      <c r="W313" s="1"/>
      <c r="X313" s="1"/>
      <c r="Y313" s="1"/>
      <c r="Z313" s="1"/>
      <c r="AA313" s="1"/>
    </row>
    <row r="314" spans="2:27" ht="13.2" x14ac:dyDescent="0.25">
      <c r="B314" s="1"/>
      <c r="C314" s="1"/>
      <c r="D314" s="1"/>
      <c r="E314" s="1"/>
      <c r="F314" s="1"/>
      <c r="G314" s="1"/>
      <c r="H314" s="1"/>
      <c r="K314" s="1"/>
      <c r="L314" s="1"/>
      <c r="M314" s="1"/>
      <c r="N314" s="1"/>
      <c r="O314" s="1"/>
      <c r="P314" s="1"/>
      <c r="Q314" s="1"/>
      <c r="R314" s="1"/>
      <c r="S314" s="1"/>
      <c r="T314" s="1"/>
      <c r="U314" s="1"/>
      <c r="V314" s="1"/>
      <c r="W314" s="1"/>
      <c r="X314" s="1"/>
      <c r="Y314" s="1"/>
      <c r="Z314" s="1"/>
      <c r="AA314" s="1"/>
    </row>
    <row r="315" spans="2:27" ht="13.2" x14ac:dyDescent="0.25">
      <c r="B315" s="1"/>
      <c r="C315" s="1"/>
      <c r="D315" s="1"/>
      <c r="E315" s="1"/>
      <c r="F315" s="1"/>
      <c r="G315" s="1"/>
      <c r="H315" s="1"/>
      <c r="K315" s="1"/>
      <c r="L315" s="1"/>
      <c r="M315" s="1"/>
      <c r="N315" s="1"/>
      <c r="O315" s="1"/>
      <c r="P315" s="1"/>
      <c r="Q315" s="1"/>
      <c r="R315" s="1"/>
      <c r="S315" s="1"/>
      <c r="T315" s="1"/>
      <c r="U315" s="1"/>
      <c r="V315" s="1"/>
      <c r="W315" s="1"/>
      <c r="X315" s="1"/>
      <c r="Y315" s="1"/>
      <c r="Z315" s="1"/>
      <c r="AA315" s="1"/>
    </row>
    <row r="316" spans="2:27" ht="13.2" x14ac:dyDescent="0.25">
      <c r="B316" s="1"/>
      <c r="C316" s="1"/>
      <c r="D316" s="1"/>
      <c r="E316" s="1"/>
      <c r="F316" s="1"/>
      <c r="G316" s="1"/>
      <c r="H316" s="1"/>
      <c r="K316" s="1"/>
      <c r="L316" s="1"/>
      <c r="M316" s="1"/>
      <c r="N316" s="1"/>
      <c r="O316" s="1"/>
      <c r="P316" s="1"/>
      <c r="Q316" s="1"/>
      <c r="R316" s="1"/>
      <c r="S316" s="1"/>
      <c r="T316" s="1"/>
      <c r="U316" s="1"/>
      <c r="V316" s="1"/>
      <c r="W316" s="1"/>
      <c r="X316" s="1"/>
      <c r="Y316" s="1"/>
      <c r="Z316" s="1"/>
      <c r="AA316" s="1"/>
    </row>
    <row r="317" spans="2:27" ht="13.2" x14ac:dyDescent="0.25">
      <c r="B317" s="1"/>
      <c r="C317" s="1"/>
      <c r="D317" s="1"/>
      <c r="E317" s="1"/>
      <c r="F317" s="1"/>
      <c r="G317" s="1"/>
      <c r="H317" s="1"/>
      <c r="K317" s="1"/>
      <c r="L317" s="1"/>
      <c r="M317" s="1"/>
      <c r="N317" s="1"/>
      <c r="O317" s="1"/>
      <c r="P317" s="1"/>
      <c r="Q317" s="1"/>
      <c r="R317" s="1"/>
      <c r="S317" s="1"/>
      <c r="T317" s="1"/>
      <c r="U317" s="1"/>
      <c r="V317" s="1"/>
      <c r="W317" s="1"/>
      <c r="X317" s="1"/>
      <c r="Y317" s="1"/>
      <c r="Z317" s="1"/>
      <c r="AA317" s="1"/>
    </row>
    <row r="318" spans="2:27" ht="13.2" x14ac:dyDescent="0.25">
      <c r="B318" s="1"/>
      <c r="C318" s="1"/>
      <c r="D318" s="1"/>
      <c r="E318" s="1"/>
      <c r="F318" s="1"/>
      <c r="G318" s="1"/>
      <c r="H318" s="1"/>
      <c r="K318" s="1"/>
      <c r="L318" s="1"/>
      <c r="M318" s="1"/>
      <c r="N318" s="1"/>
      <c r="O318" s="1"/>
      <c r="P318" s="1"/>
      <c r="Q318" s="1"/>
      <c r="R318" s="1"/>
      <c r="S318" s="1"/>
      <c r="T318" s="1"/>
      <c r="U318" s="1"/>
      <c r="V318" s="1"/>
      <c r="W318" s="1"/>
      <c r="X318" s="1"/>
      <c r="Y318" s="1"/>
      <c r="Z318" s="1"/>
      <c r="AA318" s="1"/>
    </row>
    <row r="319" spans="2:27" ht="13.2" x14ac:dyDescent="0.25">
      <c r="B319" s="1"/>
      <c r="C319" s="1"/>
      <c r="D319" s="1"/>
      <c r="E319" s="1"/>
      <c r="F319" s="1"/>
      <c r="G319" s="1"/>
      <c r="H319" s="1"/>
      <c r="K319" s="1"/>
      <c r="L319" s="1"/>
      <c r="M319" s="1"/>
      <c r="N319" s="1"/>
      <c r="O319" s="1"/>
      <c r="P319" s="1"/>
      <c r="Q319" s="1"/>
      <c r="R319" s="1"/>
      <c r="S319" s="1"/>
      <c r="T319" s="1"/>
      <c r="U319" s="1"/>
      <c r="V319" s="1"/>
      <c r="W319" s="1"/>
      <c r="X319" s="1"/>
      <c r="Y319" s="1"/>
      <c r="Z319" s="1"/>
      <c r="AA319" s="1"/>
    </row>
    <row r="320" spans="2:27" ht="13.2" x14ac:dyDescent="0.25">
      <c r="B320" s="1"/>
      <c r="C320" s="1"/>
      <c r="D320" s="1"/>
      <c r="E320" s="1"/>
      <c r="F320" s="1"/>
      <c r="G320" s="1"/>
      <c r="H320" s="1"/>
      <c r="K320" s="1"/>
      <c r="L320" s="1"/>
      <c r="M320" s="1"/>
      <c r="N320" s="1"/>
      <c r="O320" s="1"/>
      <c r="P320" s="1"/>
      <c r="Q320" s="1"/>
      <c r="R320" s="1"/>
      <c r="S320" s="1"/>
      <c r="T320" s="1"/>
      <c r="U320" s="1"/>
      <c r="V320" s="1"/>
      <c r="W320" s="1"/>
      <c r="X320" s="1"/>
      <c r="Y320" s="1"/>
      <c r="Z320" s="1"/>
      <c r="AA320" s="1"/>
    </row>
    <row r="321" spans="2:27" ht="13.2" x14ac:dyDescent="0.25">
      <c r="B321" s="1"/>
      <c r="C321" s="1"/>
      <c r="D321" s="1"/>
      <c r="E321" s="1"/>
      <c r="F321" s="1"/>
      <c r="G321" s="1"/>
      <c r="H321" s="1"/>
      <c r="K321" s="1"/>
      <c r="L321" s="1"/>
      <c r="M321" s="1"/>
      <c r="N321" s="1"/>
      <c r="O321" s="1"/>
      <c r="P321" s="1"/>
      <c r="Q321" s="1"/>
      <c r="R321" s="1"/>
      <c r="S321" s="1"/>
      <c r="T321" s="1"/>
      <c r="U321" s="1"/>
      <c r="V321" s="1"/>
      <c r="W321" s="1"/>
      <c r="X321" s="1"/>
      <c r="Y321" s="1"/>
      <c r="Z321" s="1"/>
      <c r="AA321" s="1"/>
    </row>
    <row r="322" spans="2:27" ht="13.2" x14ac:dyDescent="0.25">
      <c r="B322" s="1"/>
      <c r="C322" s="1"/>
      <c r="D322" s="1"/>
      <c r="E322" s="1"/>
      <c r="F322" s="1"/>
      <c r="G322" s="1"/>
      <c r="H322" s="1"/>
      <c r="K322" s="1"/>
      <c r="L322" s="1"/>
      <c r="M322" s="1"/>
      <c r="N322" s="1"/>
      <c r="O322" s="1"/>
      <c r="P322" s="1"/>
      <c r="Q322" s="1"/>
      <c r="R322" s="1"/>
      <c r="S322" s="1"/>
      <c r="T322" s="1"/>
      <c r="U322" s="1"/>
      <c r="V322" s="1"/>
      <c r="W322" s="1"/>
      <c r="X322" s="1"/>
      <c r="Y322" s="1"/>
      <c r="Z322" s="1"/>
      <c r="AA322" s="1"/>
    </row>
    <row r="323" spans="2:27" ht="13.2" x14ac:dyDescent="0.25">
      <c r="B323" s="1"/>
      <c r="C323" s="1"/>
      <c r="D323" s="1"/>
      <c r="E323" s="1"/>
      <c r="F323" s="1"/>
      <c r="G323" s="1"/>
      <c r="H323" s="1"/>
      <c r="K323" s="1"/>
      <c r="L323" s="1"/>
      <c r="M323" s="1"/>
      <c r="N323" s="1"/>
      <c r="O323" s="1"/>
      <c r="P323" s="1"/>
      <c r="Q323" s="1"/>
      <c r="R323" s="1"/>
      <c r="S323" s="1"/>
      <c r="T323" s="1"/>
      <c r="U323" s="1"/>
      <c r="V323" s="1"/>
      <c r="W323" s="1"/>
      <c r="X323" s="1"/>
      <c r="Y323" s="1"/>
      <c r="Z323" s="1"/>
      <c r="AA323" s="1"/>
    </row>
    <row r="324" spans="2:27" ht="13.2" x14ac:dyDescent="0.25">
      <c r="B324" s="1"/>
      <c r="C324" s="1"/>
      <c r="D324" s="1"/>
      <c r="E324" s="1"/>
      <c r="F324" s="1"/>
      <c r="G324" s="1"/>
      <c r="H324" s="1"/>
      <c r="K324" s="1"/>
      <c r="L324" s="1"/>
      <c r="M324" s="1"/>
      <c r="N324" s="1"/>
      <c r="O324" s="1"/>
      <c r="P324" s="1"/>
      <c r="Q324" s="1"/>
      <c r="R324" s="1"/>
      <c r="S324" s="1"/>
      <c r="T324" s="1"/>
      <c r="U324" s="1"/>
      <c r="V324" s="1"/>
      <c r="W324" s="1"/>
      <c r="X324" s="1"/>
      <c r="Y324" s="1"/>
      <c r="Z324" s="1"/>
      <c r="AA324" s="1"/>
    </row>
    <row r="325" spans="2:27" ht="13.2" x14ac:dyDescent="0.25">
      <c r="B325" s="1"/>
      <c r="C325" s="1"/>
      <c r="D325" s="1"/>
      <c r="E325" s="1"/>
      <c r="F325" s="1"/>
      <c r="G325" s="1"/>
      <c r="H325" s="1"/>
      <c r="K325" s="1"/>
      <c r="L325" s="1"/>
      <c r="M325" s="1"/>
      <c r="N325" s="1"/>
      <c r="O325" s="1"/>
      <c r="P325" s="1"/>
      <c r="Q325" s="1"/>
      <c r="R325" s="1"/>
      <c r="S325" s="1"/>
      <c r="T325" s="1"/>
      <c r="U325" s="1"/>
      <c r="V325" s="1"/>
      <c r="W325" s="1"/>
      <c r="X325" s="1"/>
      <c r="Y325" s="1"/>
      <c r="Z325" s="1"/>
      <c r="AA325" s="1"/>
    </row>
    <row r="326" spans="2:27" ht="13.2" x14ac:dyDescent="0.25">
      <c r="B326" s="1"/>
      <c r="C326" s="1"/>
      <c r="D326" s="1"/>
      <c r="E326" s="1"/>
      <c r="F326" s="1"/>
      <c r="G326" s="1"/>
      <c r="H326" s="1"/>
      <c r="K326" s="1"/>
      <c r="L326" s="1"/>
      <c r="M326" s="1"/>
      <c r="N326" s="1"/>
      <c r="O326" s="1"/>
      <c r="P326" s="1"/>
      <c r="Q326" s="1"/>
      <c r="R326" s="1"/>
      <c r="S326" s="1"/>
      <c r="T326" s="1"/>
      <c r="U326" s="1"/>
      <c r="V326" s="1"/>
      <c r="W326" s="1"/>
      <c r="X326" s="1"/>
      <c r="Y326" s="1"/>
      <c r="Z326" s="1"/>
      <c r="AA326" s="1"/>
    </row>
    <row r="327" spans="2:27" ht="13.2" x14ac:dyDescent="0.25">
      <c r="B327" s="1"/>
      <c r="C327" s="1"/>
      <c r="D327" s="1"/>
      <c r="E327" s="1"/>
      <c r="F327" s="1"/>
      <c r="G327" s="1"/>
      <c r="H327" s="1"/>
      <c r="K327" s="1"/>
      <c r="L327" s="1"/>
      <c r="M327" s="1"/>
      <c r="N327" s="1"/>
      <c r="O327" s="1"/>
      <c r="P327" s="1"/>
      <c r="Q327" s="1"/>
      <c r="R327" s="1"/>
      <c r="S327" s="1"/>
      <c r="T327" s="1"/>
      <c r="U327" s="1"/>
      <c r="V327" s="1"/>
      <c r="W327" s="1"/>
      <c r="X327" s="1"/>
      <c r="Y327" s="1"/>
      <c r="Z327" s="1"/>
      <c r="AA327" s="1"/>
    </row>
    <row r="328" spans="2:27" ht="13.2" x14ac:dyDescent="0.25">
      <c r="B328" s="1"/>
      <c r="C328" s="1"/>
      <c r="D328" s="1"/>
      <c r="E328" s="1"/>
      <c r="F328" s="1"/>
      <c r="G328" s="1"/>
      <c r="H328" s="1"/>
      <c r="K328" s="1"/>
      <c r="L328" s="1"/>
      <c r="M328" s="1"/>
      <c r="N328" s="1"/>
      <c r="O328" s="1"/>
      <c r="P328" s="1"/>
      <c r="Q328" s="1"/>
      <c r="R328" s="1"/>
      <c r="S328" s="1"/>
      <c r="T328" s="1"/>
      <c r="U328" s="1"/>
      <c r="V328" s="1"/>
      <c r="W328" s="1"/>
      <c r="X328" s="1"/>
      <c r="Y328" s="1"/>
      <c r="Z328" s="1"/>
      <c r="AA328" s="1"/>
    </row>
    <row r="329" spans="2:27" ht="13.2" x14ac:dyDescent="0.25">
      <c r="B329" s="1"/>
      <c r="C329" s="1"/>
      <c r="D329" s="1"/>
      <c r="E329" s="1"/>
      <c r="F329" s="1"/>
      <c r="G329" s="1"/>
      <c r="H329" s="1"/>
      <c r="K329" s="1"/>
      <c r="L329" s="1"/>
      <c r="M329" s="1"/>
      <c r="N329" s="1"/>
      <c r="O329" s="1"/>
      <c r="P329" s="1"/>
      <c r="Q329" s="1"/>
      <c r="R329" s="1"/>
      <c r="S329" s="1"/>
      <c r="T329" s="1"/>
      <c r="U329" s="1"/>
      <c r="V329" s="1"/>
      <c r="W329" s="1"/>
      <c r="X329" s="1"/>
      <c r="Y329" s="1"/>
      <c r="Z329" s="1"/>
      <c r="AA329" s="1"/>
    </row>
    <row r="330" spans="2:27" ht="13.2" x14ac:dyDescent="0.25">
      <c r="B330" s="1"/>
      <c r="C330" s="1"/>
      <c r="D330" s="1"/>
      <c r="E330" s="1"/>
      <c r="F330" s="1"/>
      <c r="G330" s="1"/>
      <c r="H330" s="1"/>
      <c r="K330" s="1"/>
      <c r="L330" s="1"/>
      <c r="M330" s="1"/>
      <c r="N330" s="1"/>
      <c r="O330" s="1"/>
      <c r="P330" s="1"/>
      <c r="Q330" s="1"/>
      <c r="R330" s="1"/>
      <c r="S330" s="1"/>
      <c r="T330" s="1"/>
      <c r="U330" s="1"/>
      <c r="V330" s="1"/>
      <c r="W330" s="1"/>
      <c r="X330" s="1"/>
      <c r="Y330" s="1"/>
      <c r="Z330" s="1"/>
      <c r="AA330" s="1"/>
    </row>
    <row r="331" spans="2:27" ht="13.2" x14ac:dyDescent="0.25">
      <c r="B331" s="1"/>
      <c r="C331" s="1"/>
      <c r="D331" s="1"/>
      <c r="E331" s="1"/>
      <c r="F331" s="1"/>
      <c r="G331" s="1"/>
      <c r="H331" s="1"/>
      <c r="K331" s="1"/>
      <c r="L331" s="1"/>
      <c r="M331" s="1"/>
      <c r="N331" s="1"/>
      <c r="O331" s="1"/>
      <c r="P331" s="1"/>
      <c r="Q331" s="1"/>
      <c r="R331" s="1"/>
      <c r="S331" s="1"/>
      <c r="T331" s="1"/>
      <c r="U331" s="1"/>
      <c r="V331" s="1"/>
      <c r="W331" s="1"/>
      <c r="X331" s="1"/>
      <c r="Y331" s="1"/>
      <c r="Z331" s="1"/>
      <c r="AA331" s="1"/>
    </row>
    <row r="332" spans="2:27" ht="13.2" x14ac:dyDescent="0.25">
      <c r="B332" s="1"/>
      <c r="C332" s="1"/>
      <c r="D332" s="1"/>
      <c r="E332" s="1"/>
      <c r="F332" s="1"/>
      <c r="G332" s="1"/>
      <c r="H332" s="1"/>
      <c r="K332" s="1"/>
      <c r="L332" s="1"/>
      <c r="M332" s="1"/>
      <c r="N332" s="1"/>
      <c r="O332" s="1"/>
      <c r="P332" s="1"/>
      <c r="Q332" s="1"/>
      <c r="R332" s="1"/>
      <c r="S332" s="1"/>
      <c r="T332" s="1"/>
      <c r="U332" s="1"/>
      <c r="V332" s="1"/>
      <c r="W332" s="1"/>
      <c r="X332" s="1"/>
      <c r="Y332" s="1"/>
      <c r="Z332" s="1"/>
      <c r="AA332" s="1"/>
    </row>
    <row r="333" spans="2:27" ht="13.2" x14ac:dyDescent="0.25">
      <c r="B333" s="1"/>
      <c r="C333" s="1"/>
      <c r="D333" s="1"/>
      <c r="E333" s="1"/>
      <c r="F333" s="1"/>
      <c r="G333" s="1"/>
      <c r="H333" s="1"/>
      <c r="K333" s="1"/>
      <c r="L333" s="1"/>
      <c r="M333" s="1"/>
      <c r="N333" s="1"/>
      <c r="O333" s="1"/>
      <c r="P333" s="1"/>
      <c r="Q333" s="1"/>
      <c r="R333" s="1"/>
      <c r="S333" s="1"/>
      <c r="T333" s="1"/>
      <c r="U333" s="1"/>
      <c r="V333" s="1"/>
      <c r="W333" s="1"/>
      <c r="X333" s="1"/>
      <c r="Y333" s="1"/>
      <c r="Z333" s="1"/>
      <c r="AA333" s="1"/>
    </row>
    <row r="334" spans="2:27" ht="13.2" x14ac:dyDescent="0.25">
      <c r="B334" s="1"/>
      <c r="C334" s="1"/>
      <c r="D334" s="1"/>
      <c r="E334" s="1"/>
      <c r="F334" s="1"/>
      <c r="G334" s="1"/>
      <c r="H334" s="1"/>
      <c r="K334" s="1"/>
      <c r="L334" s="1"/>
      <c r="M334" s="1"/>
      <c r="N334" s="1"/>
      <c r="O334" s="1"/>
      <c r="P334" s="1"/>
      <c r="Q334" s="1"/>
      <c r="R334" s="1"/>
      <c r="S334" s="1"/>
      <c r="T334" s="1"/>
      <c r="U334" s="1"/>
      <c r="V334" s="1"/>
      <c r="W334" s="1"/>
      <c r="X334" s="1"/>
      <c r="Y334" s="1"/>
      <c r="Z334" s="1"/>
      <c r="AA334" s="1"/>
    </row>
    <row r="335" spans="2:27" ht="13.2" x14ac:dyDescent="0.25">
      <c r="B335" s="1"/>
      <c r="C335" s="1"/>
      <c r="D335" s="1"/>
      <c r="E335" s="1"/>
      <c r="F335" s="1"/>
      <c r="G335" s="1"/>
      <c r="H335" s="1"/>
      <c r="K335" s="1"/>
      <c r="L335" s="1"/>
      <c r="M335" s="1"/>
      <c r="N335" s="1"/>
      <c r="O335" s="1"/>
      <c r="P335" s="1"/>
      <c r="Q335" s="1"/>
      <c r="R335" s="1"/>
      <c r="S335" s="1"/>
      <c r="T335" s="1"/>
      <c r="U335" s="1"/>
      <c r="V335" s="1"/>
      <c r="W335" s="1"/>
      <c r="X335" s="1"/>
      <c r="Y335" s="1"/>
      <c r="Z335" s="1"/>
      <c r="AA335" s="1"/>
    </row>
    <row r="336" spans="2:27" ht="13.2" x14ac:dyDescent="0.25">
      <c r="B336" s="1"/>
      <c r="C336" s="1"/>
      <c r="D336" s="1"/>
      <c r="E336" s="1"/>
      <c r="F336" s="1"/>
      <c r="G336" s="1"/>
      <c r="H336" s="1"/>
      <c r="K336" s="1"/>
      <c r="L336" s="1"/>
      <c r="M336" s="1"/>
      <c r="N336" s="1"/>
      <c r="O336" s="1"/>
      <c r="P336" s="1"/>
      <c r="Q336" s="1"/>
      <c r="R336" s="1"/>
      <c r="S336" s="1"/>
      <c r="T336" s="1"/>
      <c r="U336" s="1"/>
      <c r="V336" s="1"/>
      <c r="W336" s="1"/>
      <c r="X336" s="1"/>
      <c r="Y336" s="1"/>
      <c r="Z336" s="1"/>
      <c r="AA336" s="1"/>
    </row>
    <row r="337" spans="2:27" ht="13.2" x14ac:dyDescent="0.25">
      <c r="B337" s="1"/>
      <c r="C337" s="1"/>
      <c r="D337" s="1"/>
      <c r="E337" s="1"/>
      <c r="F337" s="1"/>
      <c r="G337" s="1"/>
      <c r="H337" s="1"/>
      <c r="K337" s="1"/>
      <c r="L337" s="1"/>
      <c r="M337" s="1"/>
      <c r="N337" s="1"/>
      <c r="O337" s="1"/>
      <c r="P337" s="1"/>
      <c r="Q337" s="1"/>
      <c r="R337" s="1"/>
      <c r="S337" s="1"/>
      <c r="T337" s="1"/>
      <c r="U337" s="1"/>
      <c r="V337" s="1"/>
      <c r="W337" s="1"/>
      <c r="X337" s="1"/>
      <c r="Y337" s="1"/>
      <c r="Z337" s="1"/>
      <c r="AA337" s="1"/>
    </row>
    <row r="338" spans="2:27" ht="13.2" x14ac:dyDescent="0.25">
      <c r="B338" s="1"/>
      <c r="C338" s="1"/>
      <c r="D338" s="1"/>
      <c r="E338" s="1"/>
      <c r="F338" s="1"/>
      <c r="G338" s="1"/>
      <c r="H338" s="1"/>
      <c r="K338" s="1"/>
      <c r="L338" s="1"/>
      <c r="M338" s="1"/>
      <c r="N338" s="1"/>
      <c r="O338" s="1"/>
      <c r="P338" s="1"/>
      <c r="Q338" s="1"/>
      <c r="R338" s="1"/>
      <c r="S338" s="1"/>
      <c r="T338" s="1"/>
      <c r="U338" s="1"/>
      <c r="V338" s="1"/>
      <c r="W338" s="1"/>
      <c r="X338" s="1"/>
      <c r="Y338" s="1"/>
      <c r="Z338" s="1"/>
      <c r="AA338" s="1"/>
    </row>
    <row r="339" spans="2:27" ht="13.2" x14ac:dyDescent="0.25">
      <c r="B339" s="1"/>
      <c r="C339" s="1"/>
      <c r="D339" s="1"/>
      <c r="E339" s="1"/>
      <c r="F339" s="1"/>
      <c r="G339" s="1"/>
      <c r="H339" s="1"/>
      <c r="K339" s="1"/>
      <c r="L339" s="1"/>
      <c r="M339" s="1"/>
      <c r="N339" s="1"/>
      <c r="O339" s="1"/>
      <c r="P339" s="1"/>
      <c r="Q339" s="1"/>
      <c r="R339" s="1"/>
      <c r="S339" s="1"/>
      <c r="T339" s="1"/>
      <c r="U339" s="1"/>
      <c r="V339" s="1"/>
      <c r="W339" s="1"/>
      <c r="X339" s="1"/>
      <c r="Y339" s="1"/>
      <c r="Z339" s="1"/>
      <c r="AA339" s="1"/>
    </row>
    <row r="340" spans="2:27" ht="13.2" x14ac:dyDescent="0.25">
      <c r="B340" s="1"/>
      <c r="C340" s="1"/>
      <c r="D340" s="1"/>
      <c r="E340" s="1"/>
      <c r="F340" s="1"/>
      <c r="G340" s="1"/>
      <c r="H340" s="1"/>
      <c r="K340" s="1"/>
      <c r="L340" s="1"/>
      <c r="M340" s="1"/>
      <c r="N340" s="1"/>
      <c r="O340" s="1"/>
      <c r="P340" s="1"/>
      <c r="Q340" s="1"/>
      <c r="R340" s="1"/>
      <c r="S340" s="1"/>
      <c r="T340" s="1"/>
      <c r="U340" s="1"/>
      <c r="V340" s="1"/>
      <c r="W340" s="1"/>
      <c r="X340" s="1"/>
      <c r="Y340" s="1"/>
      <c r="Z340" s="1"/>
      <c r="AA340" s="1"/>
    </row>
    <row r="341" spans="2:27" ht="13.2" x14ac:dyDescent="0.25">
      <c r="B341" s="1"/>
      <c r="C341" s="1"/>
      <c r="D341" s="1"/>
      <c r="E341" s="1"/>
      <c r="F341" s="1"/>
      <c r="G341" s="1"/>
      <c r="H341" s="1"/>
      <c r="K341" s="1"/>
      <c r="L341" s="1"/>
      <c r="M341" s="1"/>
      <c r="N341" s="1"/>
      <c r="O341" s="1"/>
      <c r="P341" s="1"/>
      <c r="Q341" s="1"/>
      <c r="R341" s="1"/>
      <c r="S341" s="1"/>
      <c r="T341" s="1"/>
      <c r="U341" s="1"/>
      <c r="V341" s="1"/>
      <c r="W341" s="1"/>
      <c r="X341" s="1"/>
      <c r="Y341" s="1"/>
      <c r="Z341" s="1"/>
      <c r="AA341" s="1"/>
    </row>
    <row r="342" spans="2:27" ht="13.2" x14ac:dyDescent="0.25">
      <c r="B342" s="1"/>
      <c r="C342" s="1"/>
      <c r="D342" s="1"/>
      <c r="E342" s="1"/>
      <c r="F342" s="1"/>
      <c r="G342" s="1"/>
      <c r="H342" s="1"/>
      <c r="K342" s="1"/>
      <c r="L342" s="1"/>
      <c r="M342" s="1"/>
      <c r="N342" s="1"/>
      <c r="O342" s="1"/>
      <c r="P342" s="1"/>
      <c r="Q342" s="1"/>
      <c r="R342" s="1"/>
      <c r="S342" s="1"/>
      <c r="T342" s="1"/>
      <c r="U342" s="1"/>
      <c r="V342" s="1"/>
      <c r="W342" s="1"/>
      <c r="X342" s="1"/>
      <c r="Y342" s="1"/>
      <c r="Z342" s="1"/>
      <c r="AA342" s="1"/>
    </row>
    <row r="343" spans="2:27" ht="13.2" x14ac:dyDescent="0.25">
      <c r="B343" s="1"/>
      <c r="C343" s="1"/>
      <c r="D343" s="1"/>
      <c r="E343" s="1"/>
      <c r="F343" s="1"/>
      <c r="G343" s="1"/>
      <c r="H343" s="1"/>
      <c r="K343" s="1"/>
      <c r="L343" s="1"/>
      <c r="M343" s="1"/>
      <c r="N343" s="1"/>
      <c r="O343" s="1"/>
      <c r="P343" s="1"/>
      <c r="Q343" s="1"/>
      <c r="R343" s="1"/>
      <c r="S343" s="1"/>
      <c r="T343" s="1"/>
      <c r="U343" s="1"/>
      <c r="V343" s="1"/>
      <c r="W343" s="1"/>
      <c r="X343" s="1"/>
      <c r="Y343" s="1"/>
      <c r="Z343" s="1"/>
      <c r="AA343" s="1"/>
    </row>
    <row r="344" spans="2:27" ht="13.2" x14ac:dyDescent="0.25">
      <c r="B344" s="1"/>
      <c r="C344" s="1"/>
      <c r="D344" s="1"/>
      <c r="E344" s="1"/>
      <c r="F344" s="1"/>
      <c r="G344" s="1"/>
      <c r="H344" s="1"/>
      <c r="K344" s="1"/>
      <c r="L344" s="1"/>
      <c r="M344" s="1"/>
      <c r="N344" s="1"/>
      <c r="O344" s="1"/>
      <c r="P344" s="1"/>
      <c r="Q344" s="1"/>
      <c r="R344" s="1"/>
      <c r="S344" s="1"/>
      <c r="T344" s="1"/>
      <c r="U344" s="1"/>
      <c r="V344" s="1"/>
      <c r="W344" s="1"/>
      <c r="X344" s="1"/>
      <c r="Y344" s="1"/>
      <c r="Z344" s="1"/>
      <c r="AA344" s="1"/>
    </row>
    <row r="345" spans="2:27" ht="13.2" x14ac:dyDescent="0.25">
      <c r="B345" s="1"/>
      <c r="C345" s="1"/>
      <c r="D345" s="1"/>
      <c r="E345" s="1"/>
      <c r="F345" s="1"/>
      <c r="G345" s="1"/>
      <c r="H345" s="1"/>
      <c r="K345" s="1"/>
      <c r="L345" s="1"/>
      <c r="M345" s="1"/>
      <c r="N345" s="1"/>
      <c r="O345" s="1"/>
      <c r="P345" s="1"/>
      <c r="Q345" s="1"/>
      <c r="R345" s="1"/>
      <c r="S345" s="1"/>
      <c r="T345" s="1"/>
      <c r="U345" s="1"/>
      <c r="V345" s="1"/>
      <c r="W345" s="1"/>
      <c r="X345" s="1"/>
      <c r="Y345" s="1"/>
      <c r="Z345" s="1"/>
      <c r="AA345" s="1"/>
    </row>
    <row r="346" spans="2:27" ht="13.2" x14ac:dyDescent="0.25">
      <c r="B346" s="1"/>
      <c r="C346" s="1"/>
      <c r="D346" s="1"/>
      <c r="E346" s="1"/>
      <c r="F346" s="1"/>
      <c r="G346" s="1"/>
      <c r="H346" s="1"/>
      <c r="K346" s="1"/>
      <c r="L346" s="1"/>
      <c r="M346" s="1"/>
      <c r="N346" s="1"/>
      <c r="O346" s="1"/>
      <c r="P346" s="1"/>
      <c r="Q346" s="1"/>
      <c r="R346" s="1"/>
      <c r="S346" s="1"/>
      <c r="T346" s="1"/>
      <c r="U346" s="1"/>
      <c r="V346" s="1"/>
      <c r="W346" s="1"/>
      <c r="X346" s="1"/>
      <c r="Y346" s="1"/>
      <c r="Z346" s="1"/>
      <c r="AA346" s="1"/>
    </row>
    <row r="347" spans="2:27" ht="13.2" x14ac:dyDescent="0.25">
      <c r="B347" s="1"/>
      <c r="C347" s="1"/>
      <c r="D347" s="1"/>
      <c r="E347" s="1"/>
      <c r="F347" s="1"/>
      <c r="G347" s="1"/>
      <c r="H347" s="1"/>
      <c r="K347" s="1"/>
      <c r="L347" s="1"/>
      <c r="M347" s="1"/>
      <c r="N347" s="1"/>
      <c r="O347" s="1"/>
      <c r="P347" s="1"/>
      <c r="Q347" s="1"/>
      <c r="R347" s="1"/>
      <c r="S347" s="1"/>
      <c r="T347" s="1"/>
      <c r="U347" s="1"/>
      <c r="V347" s="1"/>
      <c r="W347" s="1"/>
      <c r="X347" s="1"/>
      <c r="Y347" s="1"/>
      <c r="Z347" s="1"/>
      <c r="AA347" s="1"/>
    </row>
    <row r="348" spans="2:27" ht="13.2" x14ac:dyDescent="0.25">
      <c r="B348" s="1"/>
      <c r="C348" s="1"/>
      <c r="D348" s="1"/>
      <c r="E348" s="1"/>
      <c r="F348" s="1"/>
      <c r="G348" s="1"/>
      <c r="H348" s="1"/>
      <c r="K348" s="1"/>
      <c r="L348" s="1"/>
      <c r="M348" s="1"/>
      <c r="N348" s="1"/>
      <c r="O348" s="1"/>
      <c r="P348" s="1"/>
      <c r="Q348" s="1"/>
      <c r="R348" s="1"/>
      <c r="S348" s="1"/>
      <c r="T348" s="1"/>
      <c r="U348" s="1"/>
      <c r="V348" s="1"/>
      <c r="W348" s="1"/>
      <c r="X348" s="1"/>
      <c r="Y348" s="1"/>
      <c r="Z348" s="1"/>
      <c r="AA348" s="1"/>
    </row>
    <row r="349" spans="2:27" ht="13.2" x14ac:dyDescent="0.25">
      <c r="B349" s="1"/>
      <c r="C349" s="1"/>
      <c r="D349" s="1"/>
      <c r="E349" s="1"/>
      <c r="F349" s="1"/>
      <c r="G349" s="1"/>
      <c r="H349" s="1"/>
      <c r="K349" s="1"/>
      <c r="L349" s="1"/>
      <c r="M349" s="1"/>
      <c r="N349" s="1"/>
      <c r="O349" s="1"/>
      <c r="P349" s="1"/>
      <c r="Q349" s="1"/>
      <c r="R349" s="1"/>
      <c r="S349" s="1"/>
      <c r="T349" s="1"/>
      <c r="U349" s="1"/>
      <c r="V349" s="1"/>
      <c r="W349" s="1"/>
      <c r="X349" s="1"/>
      <c r="Y349" s="1"/>
      <c r="Z349" s="1"/>
      <c r="AA349" s="1"/>
    </row>
    <row r="350" spans="2:27" ht="13.2" x14ac:dyDescent="0.25">
      <c r="B350" s="1"/>
      <c r="C350" s="1"/>
      <c r="D350" s="1"/>
      <c r="E350" s="1"/>
      <c r="F350" s="1"/>
      <c r="G350" s="1"/>
      <c r="H350" s="1"/>
      <c r="K350" s="1"/>
      <c r="L350" s="1"/>
      <c r="M350" s="1"/>
      <c r="N350" s="1"/>
      <c r="O350" s="1"/>
      <c r="P350" s="1"/>
      <c r="Q350" s="1"/>
      <c r="R350" s="1"/>
      <c r="S350" s="1"/>
      <c r="T350" s="1"/>
      <c r="U350" s="1"/>
      <c r="V350" s="1"/>
      <c r="W350" s="1"/>
      <c r="X350" s="1"/>
      <c r="Y350" s="1"/>
      <c r="Z350" s="1"/>
      <c r="AA350" s="1"/>
    </row>
    <row r="351" spans="2:27" ht="13.2" x14ac:dyDescent="0.25">
      <c r="B351" s="1"/>
      <c r="C351" s="1"/>
      <c r="D351" s="1"/>
      <c r="E351" s="1"/>
      <c r="F351" s="1"/>
      <c r="G351" s="1"/>
      <c r="H351" s="1"/>
      <c r="K351" s="1"/>
      <c r="L351" s="1"/>
      <c r="M351" s="1"/>
      <c r="N351" s="1"/>
      <c r="O351" s="1"/>
      <c r="P351" s="1"/>
      <c r="Q351" s="1"/>
      <c r="R351" s="1"/>
      <c r="S351" s="1"/>
      <c r="T351" s="1"/>
      <c r="U351" s="1"/>
      <c r="V351" s="1"/>
      <c r="W351" s="1"/>
      <c r="X351" s="1"/>
      <c r="Y351" s="1"/>
      <c r="Z351" s="1"/>
      <c r="AA351" s="1"/>
    </row>
    <row r="352" spans="2:27" ht="13.2" x14ac:dyDescent="0.25">
      <c r="B352" s="1"/>
      <c r="C352" s="1"/>
      <c r="D352" s="1"/>
      <c r="E352" s="1"/>
      <c r="F352" s="1"/>
      <c r="G352" s="1"/>
      <c r="H352" s="1"/>
      <c r="K352" s="1"/>
      <c r="L352" s="1"/>
      <c r="M352" s="1"/>
      <c r="N352" s="1"/>
      <c r="O352" s="1"/>
      <c r="P352" s="1"/>
      <c r="Q352" s="1"/>
      <c r="R352" s="1"/>
      <c r="S352" s="1"/>
      <c r="T352" s="1"/>
      <c r="U352" s="1"/>
      <c r="V352" s="1"/>
      <c r="W352" s="1"/>
      <c r="X352" s="1"/>
      <c r="Y352" s="1"/>
      <c r="Z352" s="1"/>
      <c r="AA352" s="1"/>
    </row>
    <row r="353" spans="2:27" ht="13.2" x14ac:dyDescent="0.25">
      <c r="B353" s="1"/>
      <c r="C353" s="1"/>
      <c r="D353" s="1"/>
      <c r="E353" s="1"/>
      <c r="F353" s="1"/>
      <c r="G353" s="1"/>
      <c r="H353" s="1"/>
      <c r="K353" s="1"/>
      <c r="L353" s="1"/>
      <c r="M353" s="1"/>
      <c r="N353" s="1"/>
      <c r="O353" s="1"/>
      <c r="P353" s="1"/>
      <c r="Q353" s="1"/>
      <c r="R353" s="1"/>
      <c r="S353" s="1"/>
      <c r="T353" s="1"/>
      <c r="U353" s="1"/>
      <c r="V353" s="1"/>
      <c r="W353" s="1"/>
      <c r="X353" s="1"/>
      <c r="Y353" s="1"/>
      <c r="Z353" s="1"/>
      <c r="AA353" s="1"/>
    </row>
    <row r="354" spans="2:27" ht="13.2" x14ac:dyDescent="0.25">
      <c r="B354" s="1"/>
      <c r="C354" s="1"/>
      <c r="D354" s="1"/>
      <c r="E354" s="1"/>
      <c r="F354" s="1"/>
      <c r="G354" s="1"/>
      <c r="H354" s="1"/>
      <c r="K354" s="1"/>
      <c r="L354" s="1"/>
      <c r="M354" s="1"/>
      <c r="N354" s="1"/>
      <c r="O354" s="1"/>
      <c r="P354" s="1"/>
      <c r="Q354" s="1"/>
      <c r="R354" s="1"/>
      <c r="S354" s="1"/>
      <c r="T354" s="1"/>
      <c r="U354" s="1"/>
      <c r="V354" s="1"/>
      <c r="W354" s="1"/>
      <c r="X354" s="1"/>
      <c r="Y354" s="1"/>
      <c r="Z354" s="1"/>
      <c r="AA354" s="1"/>
    </row>
    <row r="355" spans="2:27" ht="13.2" x14ac:dyDescent="0.25">
      <c r="B355" s="1"/>
      <c r="C355" s="1"/>
      <c r="D355" s="1"/>
      <c r="E355" s="1"/>
      <c r="F355" s="1"/>
      <c r="G355" s="1"/>
      <c r="H355" s="1"/>
      <c r="K355" s="1"/>
      <c r="L355" s="1"/>
      <c r="M355" s="1"/>
      <c r="N355" s="1"/>
      <c r="O355" s="1"/>
      <c r="P355" s="1"/>
      <c r="Q355" s="1"/>
      <c r="R355" s="1"/>
      <c r="S355" s="1"/>
      <c r="T355" s="1"/>
      <c r="U355" s="1"/>
      <c r="V355" s="1"/>
      <c r="W355" s="1"/>
      <c r="X355" s="1"/>
      <c r="Y355" s="1"/>
      <c r="Z355" s="1"/>
      <c r="AA355" s="1"/>
    </row>
    <row r="356" spans="2:27" ht="13.2" x14ac:dyDescent="0.25">
      <c r="B356" s="1"/>
      <c r="C356" s="1"/>
      <c r="D356" s="1"/>
      <c r="E356" s="1"/>
      <c r="F356" s="1"/>
      <c r="G356" s="1"/>
      <c r="H356" s="1"/>
      <c r="K356" s="1"/>
      <c r="L356" s="1"/>
      <c r="M356" s="1"/>
      <c r="N356" s="1"/>
      <c r="O356" s="1"/>
      <c r="P356" s="1"/>
      <c r="Q356" s="1"/>
      <c r="R356" s="1"/>
      <c r="S356" s="1"/>
      <c r="T356" s="1"/>
      <c r="U356" s="1"/>
      <c r="V356" s="1"/>
      <c r="W356" s="1"/>
      <c r="X356" s="1"/>
      <c r="Y356" s="1"/>
      <c r="Z356" s="1"/>
      <c r="AA356" s="1"/>
    </row>
    <row r="357" spans="2:27" ht="13.2" x14ac:dyDescent="0.25">
      <c r="B357" s="1"/>
      <c r="C357" s="1"/>
      <c r="D357" s="1"/>
      <c r="E357" s="1"/>
      <c r="F357" s="1"/>
      <c r="G357" s="1"/>
      <c r="H357" s="1"/>
      <c r="K357" s="1"/>
      <c r="L357" s="1"/>
      <c r="M357" s="1"/>
      <c r="N357" s="1"/>
      <c r="O357" s="1"/>
      <c r="P357" s="1"/>
      <c r="Q357" s="1"/>
      <c r="R357" s="1"/>
      <c r="S357" s="1"/>
      <c r="T357" s="1"/>
      <c r="U357" s="1"/>
      <c r="V357" s="1"/>
      <c r="W357" s="1"/>
      <c r="X357" s="1"/>
      <c r="Y357" s="1"/>
      <c r="Z357" s="1"/>
      <c r="AA357" s="1"/>
    </row>
    <row r="358" spans="2:27" ht="13.2" x14ac:dyDescent="0.25">
      <c r="B358" s="1"/>
      <c r="C358" s="1"/>
      <c r="D358" s="1"/>
      <c r="E358" s="1"/>
      <c r="F358" s="1"/>
      <c r="G358" s="1"/>
      <c r="H358" s="1"/>
      <c r="K358" s="1"/>
      <c r="L358" s="1"/>
      <c r="M358" s="1"/>
      <c r="N358" s="1"/>
      <c r="O358" s="1"/>
      <c r="P358" s="1"/>
      <c r="Q358" s="1"/>
      <c r="R358" s="1"/>
      <c r="S358" s="1"/>
      <c r="T358" s="1"/>
      <c r="U358" s="1"/>
      <c r="V358" s="1"/>
      <c r="W358" s="1"/>
      <c r="X358" s="1"/>
      <c r="Y358" s="1"/>
      <c r="Z358" s="1"/>
      <c r="AA358" s="1"/>
    </row>
    <row r="359" spans="2:27" ht="13.2" x14ac:dyDescent="0.25">
      <c r="B359" s="1"/>
      <c r="C359" s="1"/>
      <c r="D359" s="1"/>
      <c r="E359" s="1"/>
      <c r="F359" s="1"/>
      <c r="G359" s="1"/>
      <c r="H359" s="1"/>
      <c r="K359" s="1"/>
      <c r="L359" s="1"/>
      <c r="M359" s="1"/>
      <c r="N359" s="1"/>
      <c r="O359" s="1"/>
      <c r="P359" s="1"/>
      <c r="Q359" s="1"/>
      <c r="R359" s="1"/>
      <c r="S359" s="1"/>
      <c r="T359" s="1"/>
      <c r="U359" s="1"/>
      <c r="V359" s="1"/>
      <c r="W359" s="1"/>
      <c r="X359" s="1"/>
      <c r="Y359" s="1"/>
      <c r="Z359" s="1"/>
      <c r="AA359" s="1"/>
    </row>
    <row r="360" spans="2:27" ht="13.2" x14ac:dyDescent="0.25">
      <c r="B360" s="1"/>
      <c r="C360" s="1"/>
      <c r="D360" s="1"/>
      <c r="E360" s="1"/>
      <c r="F360" s="1"/>
      <c r="G360" s="1"/>
      <c r="H360" s="1"/>
      <c r="K360" s="1"/>
      <c r="L360" s="1"/>
      <c r="M360" s="1"/>
      <c r="N360" s="1"/>
      <c r="O360" s="1"/>
      <c r="P360" s="1"/>
      <c r="Q360" s="1"/>
      <c r="R360" s="1"/>
      <c r="S360" s="1"/>
      <c r="T360" s="1"/>
      <c r="U360" s="1"/>
      <c r="V360" s="1"/>
      <c r="W360" s="1"/>
      <c r="X360" s="1"/>
      <c r="Y360" s="1"/>
      <c r="Z360" s="1"/>
      <c r="AA360" s="1"/>
    </row>
    <row r="361" spans="2:27" ht="13.2" x14ac:dyDescent="0.25">
      <c r="B361" s="1"/>
      <c r="C361" s="1"/>
      <c r="D361" s="1"/>
      <c r="E361" s="1"/>
      <c r="F361" s="1"/>
      <c r="G361" s="1"/>
      <c r="H361" s="1"/>
      <c r="K361" s="1"/>
      <c r="L361" s="1"/>
      <c r="M361" s="1"/>
      <c r="N361" s="1"/>
      <c r="O361" s="1"/>
      <c r="P361" s="1"/>
      <c r="Q361" s="1"/>
      <c r="R361" s="1"/>
      <c r="S361" s="1"/>
      <c r="T361" s="1"/>
      <c r="U361" s="1"/>
      <c r="V361" s="1"/>
      <c r="W361" s="1"/>
      <c r="X361" s="1"/>
      <c r="Y361" s="1"/>
      <c r="Z361" s="1"/>
      <c r="AA361" s="1"/>
    </row>
    <row r="362" spans="2:27" ht="13.2" x14ac:dyDescent="0.25">
      <c r="B362" s="1"/>
      <c r="C362" s="1"/>
      <c r="D362" s="1"/>
      <c r="E362" s="1"/>
      <c r="F362" s="1"/>
      <c r="G362" s="1"/>
      <c r="H362" s="1"/>
      <c r="K362" s="1"/>
      <c r="L362" s="1"/>
      <c r="M362" s="1"/>
      <c r="N362" s="1"/>
      <c r="O362" s="1"/>
      <c r="P362" s="1"/>
      <c r="Q362" s="1"/>
      <c r="R362" s="1"/>
      <c r="S362" s="1"/>
      <c r="T362" s="1"/>
      <c r="U362" s="1"/>
      <c r="V362" s="1"/>
      <c r="W362" s="1"/>
      <c r="X362" s="1"/>
      <c r="Y362" s="1"/>
      <c r="Z362" s="1"/>
      <c r="AA362" s="1"/>
    </row>
    <row r="363" spans="2:27" ht="13.2" x14ac:dyDescent="0.25">
      <c r="B363" s="1"/>
      <c r="C363" s="1"/>
      <c r="D363" s="1"/>
      <c r="E363" s="1"/>
      <c r="F363" s="1"/>
      <c r="G363" s="1"/>
      <c r="H363" s="1"/>
      <c r="K363" s="1"/>
      <c r="L363" s="1"/>
      <c r="M363" s="1"/>
      <c r="N363" s="1"/>
      <c r="O363" s="1"/>
      <c r="P363" s="1"/>
      <c r="Q363" s="1"/>
      <c r="R363" s="1"/>
      <c r="S363" s="1"/>
      <c r="T363" s="1"/>
      <c r="U363" s="1"/>
      <c r="V363" s="1"/>
      <c r="W363" s="1"/>
      <c r="X363" s="1"/>
      <c r="Y363" s="1"/>
      <c r="Z363" s="1"/>
      <c r="AA363" s="1"/>
    </row>
    <row r="364" spans="2:27" ht="13.2" x14ac:dyDescent="0.25">
      <c r="B364" s="1"/>
      <c r="C364" s="1"/>
      <c r="D364" s="1"/>
      <c r="E364" s="1"/>
      <c r="F364" s="1"/>
      <c r="G364" s="1"/>
      <c r="H364" s="1"/>
      <c r="K364" s="1"/>
      <c r="L364" s="1"/>
      <c r="M364" s="1"/>
      <c r="N364" s="1"/>
      <c r="O364" s="1"/>
      <c r="P364" s="1"/>
      <c r="Q364" s="1"/>
      <c r="R364" s="1"/>
      <c r="S364" s="1"/>
      <c r="T364" s="1"/>
      <c r="U364" s="1"/>
      <c r="V364" s="1"/>
      <c r="W364" s="1"/>
      <c r="X364" s="1"/>
      <c r="Y364" s="1"/>
      <c r="Z364" s="1"/>
      <c r="AA364" s="1"/>
    </row>
    <row r="365" spans="2:27" ht="13.2" x14ac:dyDescent="0.25">
      <c r="B365" s="1"/>
      <c r="C365" s="1"/>
      <c r="D365" s="1"/>
      <c r="E365" s="1"/>
      <c r="F365" s="1"/>
      <c r="G365" s="1"/>
      <c r="H365" s="1"/>
      <c r="K365" s="1"/>
      <c r="L365" s="1"/>
      <c r="M365" s="1"/>
      <c r="N365" s="1"/>
      <c r="O365" s="1"/>
      <c r="P365" s="1"/>
      <c r="Q365" s="1"/>
      <c r="R365" s="1"/>
      <c r="S365" s="1"/>
      <c r="T365" s="1"/>
      <c r="U365" s="1"/>
      <c r="V365" s="1"/>
      <c r="W365" s="1"/>
      <c r="X365" s="1"/>
      <c r="Y365" s="1"/>
      <c r="Z365" s="1"/>
      <c r="AA365" s="1"/>
    </row>
    <row r="366" spans="2:27" ht="13.2" x14ac:dyDescent="0.25">
      <c r="B366" s="1"/>
      <c r="C366" s="1"/>
      <c r="D366" s="1"/>
      <c r="E366" s="1"/>
      <c r="F366" s="1"/>
      <c r="G366" s="1"/>
      <c r="H366" s="1"/>
      <c r="K366" s="1"/>
      <c r="L366" s="1"/>
      <c r="M366" s="1"/>
      <c r="N366" s="1"/>
      <c r="O366" s="1"/>
      <c r="P366" s="1"/>
      <c r="Q366" s="1"/>
      <c r="R366" s="1"/>
      <c r="S366" s="1"/>
      <c r="T366" s="1"/>
      <c r="U366" s="1"/>
      <c r="V366" s="1"/>
      <c r="W366" s="1"/>
      <c r="X366" s="1"/>
      <c r="Y366" s="1"/>
      <c r="Z366" s="1"/>
      <c r="AA366" s="1"/>
    </row>
    <row r="367" spans="2:27" ht="13.2" x14ac:dyDescent="0.25">
      <c r="B367" s="1"/>
      <c r="C367" s="1"/>
      <c r="D367" s="1"/>
      <c r="E367" s="1"/>
      <c r="F367" s="1"/>
      <c r="G367" s="1"/>
      <c r="H367" s="1"/>
      <c r="K367" s="1"/>
      <c r="L367" s="1"/>
      <c r="M367" s="1"/>
      <c r="N367" s="1"/>
      <c r="O367" s="1"/>
      <c r="P367" s="1"/>
      <c r="Q367" s="1"/>
      <c r="R367" s="1"/>
      <c r="S367" s="1"/>
      <c r="T367" s="1"/>
      <c r="U367" s="1"/>
      <c r="V367" s="1"/>
      <c r="W367" s="1"/>
      <c r="X367" s="1"/>
      <c r="Y367" s="1"/>
      <c r="Z367" s="1"/>
      <c r="AA367" s="1"/>
    </row>
    <row r="368" spans="2:27" ht="13.2" x14ac:dyDescent="0.25">
      <c r="B368" s="1"/>
      <c r="C368" s="1"/>
      <c r="D368" s="1"/>
      <c r="E368" s="1"/>
      <c r="F368" s="1"/>
      <c r="G368" s="1"/>
      <c r="H368" s="1"/>
      <c r="K368" s="1"/>
      <c r="L368" s="1"/>
      <c r="M368" s="1"/>
      <c r="N368" s="1"/>
      <c r="O368" s="1"/>
      <c r="P368" s="1"/>
      <c r="Q368" s="1"/>
      <c r="R368" s="1"/>
      <c r="S368" s="1"/>
      <c r="T368" s="1"/>
      <c r="U368" s="1"/>
      <c r="V368" s="1"/>
      <c r="W368" s="1"/>
      <c r="X368" s="1"/>
      <c r="Y368" s="1"/>
      <c r="Z368" s="1"/>
      <c r="AA368" s="1"/>
    </row>
    <row r="369" spans="2:27" ht="13.2" x14ac:dyDescent="0.25">
      <c r="B369" s="1"/>
      <c r="C369" s="1"/>
      <c r="D369" s="1"/>
      <c r="E369" s="1"/>
      <c r="F369" s="1"/>
      <c r="G369" s="1"/>
      <c r="H369" s="1"/>
      <c r="K369" s="1"/>
      <c r="L369" s="1"/>
      <c r="M369" s="1"/>
      <c r="N369" s="1"/>
      <c r="O369" s="1"/>
      <c r="P369" s="1"/>
      <c r="Q369" s="1"/>
      <c r="R369" s="1"/>
      <c r="S369" s="1"/>
      <c r="T369" s="1"/>
      <c r="U369" s="1"/>
      <c r="V369" s="1"/>
      <c r="W369" s="1"/>
      <c r="X369" s="1"/>
      <c r="Y369" s="1"/>
      <c r="Z369" s="1"/>
      <c r="AA369" s="1"/>
    </row>
    <row r="370" spans="2:27" ht="13.2" x14ac:dyDescent="0.25">
      <c r="B370" s="1"/>
      <c r="C370" s="1"/>
      <c r="D370" s="1"/>
      <c r="E370" s="1"/>
      <c r="F370" s="1"/>
      <c r="G370" s="1"/>
      <c r="H370" s="1"/>
      <c r="K370" s="1"/>
      <c r="L370" s="1"/>
      <c r="M370" s="1"/>
      <c r="N370" s="1"/>
      <c r="O370" s="1"/>
      <c r="P370" s="1"/>
      <c r="Q370" s="1"/>
      <c r="R370" s="1"/>
      <c r="S370" s="1"/>
      <c r="T370" s="1"/>
      <c r="U370" s="1"/>
      <c r="V370" s="1"/>
      <c r="W370" s="1"/>
      <c r="X370" s="1"/>
      <c r="Y370" s="1"/>
      <c r="Z370" s="1"/>
      <c r="AA370" s="1"/>
    </row>
    <row r="371" spans="2:27" ht="13.2" x14ac:dyDescent="0.25">
      <c r="B371" s="1"/>
      <c r="C371" s="1"/>
      <c r="D371" s="1"/>
      <c r="E371" s="1"/>
      <c r="F371" s="1"/>
      <c r="G371" s="1"/>
      <c r="H371" s="1"/>
      <c r="K371" s="1"/>
      <c r="L371" s="1"/>
      <c r="M371" s="1"/>
      <c r="N371" s="1"/>
      <c r="O371" s="1"/>
      <c r="P371" s="1"/>
      <c r="Q371" s="1"/>
      <c r="R371" s="1"/>
      <c r="S371" s="1"/>
      <c r="T371" s="1"/>
      <c r="U371" s="1"/>
      <c r="V371" s="1"/>
      <c r="W371" s="1"/>
      <c r="X371" s="1"/>
      <c r="Y371" s="1"/>
      <c r="Z371" s="1"/>
      <c r="AA371" s="1"/>
    </row>
    <row r="372" spans="2:27" ht="13.2" x14ac:dyDescent="0.25">
      <c r="B372" s="1"/>
      <c r="C372" s="1"/>
      <c r="D372" s="1"/>
      <c r="E372" s="1"/>
      <c r="F372" s="1"/>
      <c r="G372" s="1"/>
      <c r="H372" s="1"/>
      <c r="K372" s="1"/>
      <c r="L372" s="1"/>
      <c r="M372" s="1"/>
      <c r="N372" s="1"/>
      <c r="O372" s="1"/>
      <c r="P372" s="1"/>
      <c r="Q372" s="1"/>
      <c r="R372" s="1"/>
      <c r="S372" s="1"/>
      <c r="T372" s="1"/>
      <c r="U372" s="1"/>
      <c r="V372" s="1"/>
      <c r="W372" s="1"/>
      <c r="X372" s="1"/>
      <c r="Y372" s="1"/>
      <c r="Z372" s="1"/>
      <c r="AA372" s="1"/>
    </row>
    <row r="373" spans="2:27" ht="13.2" x14ac:dyDescent="0.25">
      <c r="B373" s="1"/>
      <c r="C373" s="1"/>
      <c r="D373" s="1"/>
      <c r="E373" s="1"/>
      <c r="F373" s="1"/>
      <c r="G373" s="1"/>
      <c r="H373" s="1"/>
      <c r="K373" s="1"/>
      <c r="L373" s="1"/>
      <c r="M373" s="1"/>
      <c r="N373" s="1"/>
      <c r="O373" s="1"/>
      <c r="P373" s="1"/>
      <c r="Q373" s="1"/>
      <c r="R373" s="1"/>
      <c r="S373" s="1"/>
      <c r="T373" s="1"/>
      <c r="U373" s="1"/>
      <c r="V373" s="1"/>
      <c r="W373" s="1"/>
      <c r="X373" s="1"/>
      <c r="Y373" s="1"/>
      <c r="Z373" s="1"/>
      <c r="AA373" s="1"/>
    </row>
    <row r="374" spans="2:27" ht="13.2" x14ac:dyDescent="0.25">
      <c r="B374" s="1"/>
      <c r="C374" s="1"/>
      <c r="D374" s="1"/>
      <c r="E374" s="1"/>
      <c r="F374" s="1"/>
      <c r="G374" s="1"/>
      <c r="H374" s="1"/>
      <c r="K374" s="1"/>
      <c r="L374" s="1"/>
      <c r="M374" s="1"/>
      <c r="N374" s="1"/>
      <c r="O374" s="1"/>
      <c r="P374" s="1"/>
      <c r="Q374" s="1"/>
      <c r="R374" s="1"/>
      <c r="S374" s="1"/>
      <c r="T374" s="1"/>
      <c r="U374" s="1"/>
      <c r="V374" s="1"/>
      <c r="W374" s="1"/>
      <c r="X374" s="1"/>
      <c r="Y374" s="1"/>
      <c r="Z374" s="1"/>
      <c r="AA374" s="1"/>
    </row>
    <row r="375" spans="2:27" ht="13.2" x14ac:dyDescent="0.25">
      <c r="B375" s="1"/>
      <c r="C375" s="1"/>
      <c r="D375" s="1"/>
      <c r="E375" s="1"/>
      <c r="F375" s="1"/>
      <c r="G375" s="1"/>
      <c r="H375" s="1"/>
      <c r="K375" s="1"/>
      <c r="L375" s="1"/>
      <c r="M375" s="1"/>
      <c r="N375" s="1"/>
      <c r="O375" s="1"/>
      <c r="P375" s="1"/>
      <c r="Q375" s="1"/>
      <c r="R375" s="1"/>
      <c r="S375" s="1"/>
      <c r="T375" s="1"/>
      <c r="U375" s="1"/>
      <c r="V375" s="1"/>
      <c r="W375" s="1"/>
      <c r="X375" s="1"/>
      <c r="Y375" s="1"/>
      <c r="Z375" s="1"/>
      <c r="AA375" s="1"/>
    </row>
    <row r="376" spans="2:27" ht="13.2" x14ac:dyDescent="0.25">
      <c r="B376" s="1"/>
      <c r="C376" s="1"/>
      <c r="D376" s="1"/>
      <c r="E376" s="1"/>
      <c r="F376" s="1"/>
      <c r="G376" s="1"/>
      <c r="H376" s="1"/>
      <c r="K376" s="1"/>
      <c r="L376" s="1"/>
      <c r="M376" s="1"/>
      <c r="N376" s="1"/>
      <c r="O376" s="1"/>
      <c r="P376" s="1"/>
      <c r="Q376" s="1"/>
      <c r="R376" s="1"/>
      <c r="S376" s="1"/>
      <c r="T376" s="1"/>
      <c r="U376" s="1"/>
      <c r="V376" s="1"/>
      <c r="W376" s="1"/>
      <c r="X376" s="1"/>
      <c r="Y376" s="1"/>
      <c r="Z376" s="1"/>
      <c r="AA376" s="1"/>
    </row>
    <row r="377" spans="2:27" ht="13.2" x14ac:dyDescent="0.25">
      <c r="B377" s="1"/>
      <c r="C377" s="1"/>
      <c r="D377" s="1"/>
      <c r="E377" s="1"/>
      <c r="F377" s="1"/>
      <c r="G377" s="1"/>
      <c r="H377" s="1"/>
      <c r="K377" s="1"/>
      <c r="L377" s="1"/>
      <c r="M377" s="1"/>
      <c r="N377" s="1"/>
      <c r="O377" s="1"/>
      <c r="P377" s="1"/>
      <c r="Q377" s="1"/>
      <c r="R377" s="1"/>
      <c r="S377" s="1"/>
      <c r="T377" s="1"/>
      <c r="U377" s="1"/>
      <c r="V377" s="1"/>
      <c r="W377" s="1"/>
      <c r="X377" s="1"/>
      <c r="Y377" s="1"/>
      <c r="Z377" s="1"/>
      <c r="AA377" s="1"/>
    </row>
    <row r="378" spans="2:27" ht="13.2" x14ac:dyDescent="0.25">
      <c r="B378" s="1"/>
      <c r="C378" s="1"/>
      <c r="D378" s="1"/>
      <c r="E378" s="1"/>
      <c r="F378" s="1"/>
      <c r="G378" s="1"/>
      <c r="H378" s="1"/>
      <c r="K378" s="1"/>
      <c r="L378" s="1"/>
      <c r="M378" s="1"/>
      <c r="N378" s="1"/>
      <c r="O378" s="1"/>
      <c r="P378" s="1"/>
      <c r="Q378" s="1"/>
      <c r="R378" s="1"/>
      <c r="S378" s="1"/>
      <c r="T378" s="1"/>
      <c r="U378" s="1"/>
      <c r="V378" s="1"/>
      <c r="W378" s="1"/>
      <c r="X378" s="1"/>
      <c r="Y378" s="1"/>
      <c r="Z378" s="1"/>
      <c r="AA378" s="1"/>
    </row>
    <row r="379" spans="2:27" ht="13.2" x14ac:dyDescent="0.25">
      <c r="B379" s="1"/>
      <c r="C379" s="1"/>
      <c r="D379" s="1"/>
      <c r="E379" s="1"/>
      <c r="F379" s="1"/>
      <c r="G379" s="1"/>
      <c r="H379" s="1"/>
      <c r="K379" s="1"/>
      <c r="L379" s="1"/>
      <c r="M379" s="1"/>
      <c r="N379" s="1"/>
      <c r="O379" s="1"/>
      <c r="P379" s="1"/>
      <c r="Q379" s="1"/>
      <c r="R379" s="1"/>
      <c r="S379" s="1"/>
      <c r="T379" s="1"/>
      <c r="U379" s="1"/>
      <c r="V379" s="1"/>
      <c r="W379" s="1"/>
      <c r="X379" s="1"/>
      <c r="Y379" s="1"/>
      <c r="Z379" s="1"/>
      <c r="AA379" s="1"/>
    </row>
    <row r="380" spans="2:27" ht="13.2" x14ac:dyDescent="0.25">
      <c r="B380" s="1"/>
      <c r="C380" s="1"/>
      <c r="D380" s="1"/>
      <c r="E380" s="1"/>
      <c r="F380" s="1"/>
      <c r="G380" s="1"/>
      <c r="H380" s="1"/>
      <c r="K380" s="1"/>
      <c r="L380" s="1"/>
      <c r="M380" s="1"/>
      <c r="N380" s="1"/>
      <c r="O380" s="1"/>
      <c r="P380" s="1"/>
      <c r="Q380" s="1"/>
      <c r="R380" s="1"/>
      <c r="S380" s="1"/>
      <c r="T380" s="1"/>
      <c r="U380" s="1"/>
      <c r="V380" s="1"/>
      <c r="W380" s="1"/>
      <c r="X380" s="1"/>
      <c r="Y380" s="1"/>
      <c r="Z380" s="1"/>
      <c r="AA380" s="1"/>
    </row>
    <row r="381" spans="2:27" ht="13.2" x14ac:dyDescent="0.25">
      <c r="B381" s="1"/>
      <c r="C381" s="1"/>
      <c r="D381" s="1"/>
      <c r="E381" s="1"/>
      <c r="F381" s="1"/>
      <c r="G381" s="1"/>
      <c r="H381" s="1"/>
      <c r="K381" s="1"/>
      <c r="L381" s="1"/>
      <c r="M381" s="1"/>
      <c r="N381" s="1"/>
      <c r="O381" s="1"/>
      <c r="P381" s="1"/>
      <c r="Q381" s="1"/>
      <c r="R381" s="1"/>
      <c r="S381" s="1"/>
      <c r="T381" s="1"/>
      <c r="U381" s="1"/>
      <c r="V381" s="1"/>
      <c r="W381" s="1"/>
      <c r="X381" s="1"/>
      <c r="Y381" s="1"/>
      <c r="Z381" s="1"/>
      <c r="AA381" s="1"/>
    </row>
    <row r="382" spans="2:27" ht="13.2" x14ac:dyDescent="0.25">
      <c r="B382" s="1"/>
      <c r="C382" s="1"/>
      <c r="D382" s="1"/>
      <c r="E382" s="1"/>
      <c r="F382" s="1"/>
      <c r="G382" s="1"/>
      <c r="H382" s="1"/>
      <c r="K382" s="1"/>
      <c r="L382" s="1"/>
      <c r="M382" s="1"/>
      <c r="N382" s="1"/>
      <c r="O382" s="1"/>
      <c r="P382" s="1"/>
      <c r="Q382" s="1"/>
      <c r="R382" s="1"/>
      <c r="S382" s="1"/>
      <c r="T382" s="1"/>
      <c r="U382" s="1"/>
      <c r="V382" s="1"/>
      <c r="W382" s="1"/>
      <c r="X382" s="1"/>
      <c r="Y382" s="1"/>
      <c r="Z382" s="1"/>
      <c r="AA382" s="1"/>
    </row>
    <row r="383" spans="2:27" ht="13.2" x14ac:dyDescent="0.25">
      <c r="B383" s="1"/>
      <c r="C383" s="1"/>
      <c r="D383" s="1"/>
      <c r="E383" s="1"/>
      <c r="F383" s="1"/>
      <c r="G383" s="1"/>
      <c r="H383" s="1"/>
      <c r="K383" s="1"/>
      <c r="L383" s="1"/>
      <c r="M383" s="1"/>
      <c r="N383" s="1"/>
      <c r="O383" s="1"/>
      <c r="P383" s="1"/>
      <c r="Q383" s="1"/>
      <c r="R383" s="1"/>
      <c r="S383" s="1"/>
      <c r="T383" s="1"/>
      <c r="U383" s="1"/>
      <c r="V383" s="1"/>
      <c r="W383" s="1"/>
      <c r="X383" s="1"/>
      <c r="Y383" s="1"/>
      <c r="Z383" s="1"/>
      <c r="AA383" s="1"/>
    </row>
    <row r="384" spans="2:27" ht="13.2" x14ac:dyDescent="0.25">
      <c r="B384" s="1"/>
      <c r="C384" s="1"/>
      <c r="D384" s="1"/>
      <c r="E384" s="1"/>
      <c r="F384" s="1"/>
      <c r="G384" s="1"/>
      <c r="H384" s="1"/>
      <c r="K384" s="1"/>
      <c r="L384" s="1"/>
      <c r="M384" s="1"/>
      <c r="N384" s="1"/>
      <c r="O384" s="1"/>
      <c r="P384" s="1"/>
      <c r="Q384" s="1"/>
      <c r="R384" s="1"/>
      <c r="S384" s="1"/>
      <c r="T384" s="1"/>
      <c r="U384" s="1"/>
      <c r="V384" s="1"/>
      <c r="W384" s="1"/>
      <c r="X384" s="1"/>
      <c r="Y384" s="1"/>
      <c r="Z384" s="1"/>
      <c r="AA384" s="1"/>
    </row>
    <row r="385" spans="2:27" ht="13.2" x14ac:dyDescent="0.25">
      <c r="B385" s="1"/>
      <c r="C385" s="1"/>
      <c r="D385" s="1"/>
      <c r="E385" s="1"/>
      <c r="F385" s="1"/>
      <c r="G385" s="1"/>
      <c r="H385" s="1"/>
      <c r="K385" s="1"/>
      <c r="L385" s="1"/>
      <c r="M385" s="1"/>
      <c r="N385" s="1"/>
      <c r="O385" s="1"/>
      <c r="P385" s="1"/>
      <c r="Q385" s="1"/>
      <c r="R385" s="1"/>
      <c r="S385" s="1"/>
      <c r="T385" s="1"/>
      <c r="U385" s="1"/>
      <c r="V385" s="1"/>
      <c r="W385" s="1"/>
      <c r="X385" s="1"/>
      <c r="Y385" s="1"/>
      <c r="Z385" s="1"/>
      <c r="AA385" s="1"/>
    </row>
    <row r="386" spans="2:27" ht="13.2" x14ac:dyDescent="0.25">
      <c r="B386" s="1"/>
      <c r="C386" s="1"/>
      <c r="D386" s="1"/>
      <c r="E386" s="1"/>
      <c r="F386" s="1"/>
      <c r="G386" s="1"/>
      <c r="H386" s="1"/>
      <c r="K386" s="1"/>
      <c r="L386" s="1"/>
      <c r="M386" s="1"/>
      <c r="N386" s="1"/>
      <c r="O386" s="1"/>
      <c r="P386" s="1"/>
      <c r="Q386" s="1"/>
      <c r="R386" s="1"/>
      <c r="S386" s="1"/>
      <c r="T386" s="1"/>
      <c r="U386" s="1"/>
      <c r="V386" s="1"/>
      <c r="W386" s="1"/>
      <c r="X386" s="1"/>
      <c r="Y386" s="1"/>
      <c r="Z386" s="1"/>
      <c r="AA386" s="1"/>
    </row>
    <row r="387" spans="2:27" ht="13.2" x14ac:dyDescent="0.25">
      <c r="B387" s="1"/>
      <c r="C387" s="1"/>
      <c r="D387" s="1"/>
      <c r="E387" s="1"/>
      <c r="F387" s="1"/>
      <c r="G387" s="1"/>
      <c r="H387" s="1"/>
      <c r="K387" s="1"/>
      <c r="L387" s="1"/>
      <c r="M387" s="1"/>
      <c r="N387" s="1"/>
      <c r="O387" s="1"/>
      <c r="P387" s="1"/>
      <c r="Q387" s="1"/>
      <c r="R387" s="1"/>
      <c r="S387" s="1"/>
      <c r="T387" s="1"/>
      <c r="U387" s="1"/>
      <c r="V387" s="1"/>
      <c r="W387" s="1"/>
      <c r="X387" s="1"/>
      <c r="Y387" s="1"/>
      <c r="Z387" s="1"/>
      <c r="AA387" s="1"/>
    </row>
    <row r="388" spans="2:27" ht="13.2" x14ac:dyDescent="0.25">
      <c r="B388" s="1"/>
      <c r="C388" s="1"/>
      <c r="D388" s="1"/>
      <c r="E388" s="1"/>
      <c r="F388" s="1"/>
      <c r="G388" s="1"/>
      <c r="H388" s="1"/>
      <c r="K388" s="1"/>
      <c r="L388" s="1"/>
      <c r="M388" s="1"/>
      <c r="N388" s="1"/>
      <c r="O388" s="1"/>
      <c r="P388" s="1"/>
      <c r="Q388" s="1"/>
      <c r="R388" s="1"/>
      <c r="S388" s="1"/>
      <c r="T388" s="1"/>
      <c r="U388" s="1"/>
      <c r="V388" s="1"/>
      <c r="W388" s="1"/>
      <c r="X388" s="1"/>
      <c r="Y388" s="1"/>
      <c r="Z388" s="1"/>
      <c r="AA388" s="1"/>
    </row>
    <row r="389" spans="2:27" ht="13.2" x14ac:dyDescent="0.25">
      <c r="B389" s="1"/>
      <c r="C389" s="1"/>
      <c r="D389" s="1"/>
      <c r="E389" s="1"/>
      <c r="F389" s="1"/>
      <c r="G389" s="1"/>
      <c r="H389" s="1"/>
      <c r="K389" s="1"/>
      <c r="L389" s="1"/>
      <c r="M389" s="1"/>
      <c r="N389" s="1"/>
      <c r="O389" s="1"/>
      <c r="P389" s="1"/>
      <c r="Q389" s="1"/>
      <c r="R389" s="1"/>
      <c r="S389" s="1"/>
      <c r="T389" s="1"/>
      <c r="U389" s="1"/>
      <c r="V389" s="1"/>
      <c r="W389" s="1"/>
      <c r="X389" s="1"/>
      <c r="Y389" s="1"/>
      <c r="Z389" s="1"/>
      <c r="AA389" s="1"/>
    </row>
    <row r="390" spans="2:27" ht="13.2" x14ac:dyDescent="0.25">
      <c r="B390" s="1"/>
      <c r="C390" s="1"/>
      <c r="D390" s="1"/>
      <c r="E390" s="1"/>
      <c r="F390" s="1"/>
      <c r="G390" s="1"/>
      <c r="H390" s="1"/>
      <c r="K390" s="1"/>
      <c r="L390" s="1"/>
      <c r="M390" s="1"/>
      <c r="N390" s="1"/>
      <c r="O390" s="1"/>
      <c r="P390" s="1"/>
      <c r="Q390" s="1"/>
      <c r="R390" s="1"/>
      <c r="S390" s="1"/>
      <c r="T390" s="1"/>
      <c r="U390" s="1"/>
      <c r="V390" s="1"/>
      <c r="W390" s="1"/>
      <c r="X390" s="1"/>
      <c r="Y390" s="1"/>
      <c r="Z390" s="1"/>
      <c r="AA390" s="1"/>
    </row>
    <row r="391" spans="2:27" ht="13.2" x14ac:dyDescent="0.25">
      <c r="B391" s="1"/>
      <c r="C391" s="1"/>
      <c r="D391" s="1"/>
      <c r="E391" s="1"/>
      <c r="F391" s="1"/>
      <c r="G391" s="1"/>
      <c r="H391" s="1"/>
      <c r="K391" s="1"/>
      <c r="L391" s="1"/>
      <c r="M391" s="1"/>
      <c r="N391" s="1"/>
      <c r="O391" s="1"/>
      <c r="P391" s="1"/>
      <c r="Q391" s="1"/>
      <c r="R391" s="1"/>
      <c r="S391" s="1"/>
      <c r="T391" s="1"/>
      <c r="U391" s="1"/>
      <c r="V391" s="1"/>
      <c r="W391" s="1"/>
      <c r="X391" s="1"/>
      <c r="Y391" s="1"/>
      <c r="Z391" s="1"/>
      <c r="AA391" s="1"/>
    </row>
    <row r="392" spans="2:27" ht="13.2" x14ac:dyDescent="0.25">
      <c r="B392" s="1"/>
      <c r="C392" s="1"/>
      <c r="D392" s="1"/>
      <c r="E392" s="1"/>
      <c r="F392" s="1"/>
      <c r="G392" s="1"/>
      <c r="H392" s="1"/>
      <c r="K392" s="1"/>
      <c r="L392" s="1"/>
      <c r="M392" s="1"/>
      <c r="N392" s="1"/>
      <c r="O392" s="1"/>
      <c r="P392" s="1"/>
      <c r="Q392" s="1"/>
      <c r="R392" s="1"/>
      <c r="S392" s="1"/>
      <c r="T392" s="1"/>
      <c r="U392" s="1"/>
      <c r="V392" s="1"/>
      <c r="W392" s="1"/>
      <c r="X392" s="1"/>
      <c r="Y392" s="1"/>
      <c r="Z392" s="1"/>
      <c r="AA392" s="1"/>
    </row>
    <row r="393" spans="2:27" ht="13.2" x14ac:dyDescent="0.25">
      <c r="B393" s="1"/>
      <c r="C393" s="1"/>
      <c r="D393" s="1"/>
      <c r="E393" s="1"/>
      <c r="F393" s="1"/>
      <c r="G393" s="1"/>
      <c r="H393" s="1"/>
      <c r="K393" s="1"/>
      <c r="L393" s="1"/>
      <c r="M393" s="1"/>
      <c r="N393" s="1"/>
      <c r="O393" s="1"/>
      <c r="P393" s="1"/>
      <c r="Q393" s="1"/>
      <c r="R393" s="1"/>
      <c r="S393" s="1"/>
      <c r="T393" s="1"/>
      <c r="U393" s="1"/>
      <c r="V393" s="1"/>
      <c r="W393" s="1"/>
      <c r="X393" s="1"/>
      <c r="Y393" s="1"/>
      <c r="Z393" s="1"/>
      <c r="AA393" s="1"/>
    </row>
    <row r="394" spans="2:27" ht="13.2" x14ac:dyDescent="0.25">
      <c r="B394" s="1"/>
      <c r="C394" s="1"/>
      <c r="D394" s="1"/>
      <c r="E394" s="1"/>
      <c r="F394" s="1"/>
      <c r="G394" s="1"/>
      <c r="H394" s="1"/>
      <c r="K394" s="1"/>
      <c r="L394" s="1"/>
      <c r="M394" s="1"/>
      <c r="N394" s="1"/>
      <c r="O394" s="1"/>
      <c r="P394" s="1"/>
      <c r="Q394" s="1"/>
      <c r="R394" s="1"/>
      <c r="S394" s="1"/>
      <c r="T394" s="1"/>
      <c r="U394" s="1"/>
      <c r="V394" s="1"/>
      <c r="W394" s="1"/>
      <c r="X394" s="1"/>
      <c r="Y394" s="1"/>
      <c r="Z394" s="1"/>
      <c r="AA394" s="1"/>
    </row>
    <row r="395" spans="2:27" ht="13.2" x14ac:dyDescent="0.25">
      <c r="B395" s="1"/>
      <c r="C395" s="1"/>
      <c r="D395" s="1"/>
      <c r="E395" s="1"/>
      <c r="F395" s="1"/>
      <c r="G395" s="1"/>
      <c r="H395" s="1"/>
      <c r="K395" s="1"/>
      <c r="L395" s="1"/>
      <c r="M395" s="1"/>
      <c r="N395" s="1"/>
      <c r="O395" s="1"/>
      <c r="P395" s="1"/>
      <c r="Q395" s="1"/>
      <c r="R395" s="1"/>
      <c r="S395" s="1"/>
      <c r="T395" s="1"/>
      <c r="U395" s="1"/>
      <c r="V395" s="1"/>
      <c r="W395" s="1"/>
      <c r="X395" s="1"/>
      <c r="Y395" s="1"/>
      <c r="Z395" s="1"/>
      <c r="AA395" s="1"/>
    </row>
    <row r="396" spans="2:27" ht="13.2" x14ac:dyDescent="0.25">
      <c r="B396" s="1"/>
      <c r="C396" s="1"/>
      <c r="D396" s="1"/>
      <c r="E396" s="1"/>
      <c r="F396" s="1"/>
      <c r="G396" s="1"/>
      <c r="H396" s="1"/>
      <c r="K396" s="1"/>
      <c r="L396" s="1"/>
      <c r="M396" s="1"/>
      <c r="N396" s="1"/>
      <c r="O396" s="1"/>
      <c r="P396" s="1"/>
      <c r="Q396" s="1"/>
      <c r="R396" s="1"/>
      <c r="S396" s="1"/>
      <c r="T396" s="1"/>
      <c r="U396" s="1"/>
      <c r="V396" s="1"/>
      <c r="W396" s="1"/>
      <c r="X396" s="1"/>
      <c r="Y396" s="1"/>
      <c r="Z396" s="1"/>
      <c r="AA396" s="1"/>
    </row>
    <row r="397" spans="2:27" ht="13.2" x14ac:dyDescent="0.25">
      <c r="B397" s="1"/>
      <c r="C397" s="1"/>
      <c r="D397" s="1"/>
      <c r="E397" s="1"/>
      <c r="F397" s="1"/>
      <c r="G397" s="1"/>
      <c r="H397" s="1"/>
      <c r="K397" s="1"/>
      <c r="L397" s="1"/>
      <c r="M397" s="1"/>
      <c r="N397" s="1"/>
      <c r="O397" s="1"/>
      <c r="P397" s="1"/>
      <c r="Q397" s="1"/>
      <c r="R397" s="1"/>
      <c r="S397" s="1"/>
      <c r="T397" s="1"/>
      <c r="U397" s="1"/>
      <c r="V397" s="1"/>
      <c r="W397" s="1"/>
      <c r="X397" s="1"/>
      <c r="Y397" s="1"/>
      <c r="Z397" s="1"/>
      <c r="AA397" s="1"/>
    </row>
    <row r="398" spans="2:27" ht="13.2" x14ac:dyDescent="0.25">
      <c r="B398" s="1"/>
      <c r="C398" s="1"/>
      <c r="D398" s="1"/>
      <c r="E398" s="1"/>
      <c r="F398" s="1"/>
      <c r="G398" s="1"/>
      <c r="H398" s="1"/>
      <c r="K398" s="1"/>
      <c r="L398" s="1"/>
      <c r="M398" s="1"/>
      <c r="N398" s="1"/>
      <c r="O398" s="1"/>
      <c r="P398" s="1"/>
      <c r="Q398" s="1"/>
      <c r="R398" s="1"/>
      <c r="S398" s="1"/>
      <c r="T398" s="1"/>
      <c r="U398" s="1"/>
      <c r="V398" s="1"/>
      <c r="W398" s="1"/>
      <c r="X398" s="1"/>
      <c r="Y398" s="1"/>
      <c r="Z398" s="1"/>
      <c r="AA398" s="1"/>
    </row>
    <row r="399" spans="2:27" ht="13.2" x14ac:dyDescent="0.25">
      <c r="B399" s="1"/>
      <c r="C399" s="1"/>
      <c r="D399" s="1"/>
      <c r="E399" s="1"/>
      <c r="F399" s="1"/>
      <c r="G399" s="1"/>
      <c r="H399" s="1"/>
      <c r="K399" s="1"/>
      <c r="L399" s="1"/>
      <c r="M399" s="1"/>
      <c r="N399" s="1"/>
      <c r="O399" s="1"/>
      <c r="P399" s="1"/>
      <c r="Q399" s="1"/>
      <c r="R399" s="1"/>
      <c r="S399" s="1"/>
      <c r="T399" s="1"/>
      <c r="U399" s="1"/>
      <c r="V399" s="1"/>
      <c r="W399" s="1"/>
      <c r="X399" s="1"/>
      <c r="Y399" s="1"/>
      <c r="Z399" s="1"/>
      <c r="AA399" s="1"/>
    </row>
    <row r="400" spans="2:27" ht="13.2" x14ac:dyDescent="0.25">
      <c r="B400" s="1"/>
      <c r="C400" s="1"/>
      <c r="D400" s="1"/>
      <c r="E400" s="1"/>
      <c r="F400" s="1"/>
      <c r="G400" s="1"/>
      <c r="H400" s="1"/>
      <c r="K400" s="1"/>
      <c r="L400" s="1"/>
      <c r="M400" s="1"/>
      <c r="N400" s="1"/>
      <c r="O400" s="1"/>
      <c r="P400" s="1"/>
      <c r="Q400" s="1"/>
      <c r="R400" s="1"/>
      <c r="S400" s="1"/>
      <c r="T400" s="1"/>
      <c r="U400" s="1"/>
      <c r="V400" s="1"/>
      <c r="W400" s="1"/>
      <c r="X400" s="1"/>
      <c r="Y400" s="1"/>
      <c r="Z400" s="1"/>
      <c r="AA400" s="1"/>
    </row>
    <row r="401" spans="2:27" ht="13.2" x14ac:dyDescent="0.25">
      <c r="B401" s="1"/>
      <c r="C401" s="1"/>
      <c r="D401" s="1"/>
      <c r="E401" s="1"/>
      <c r="F401" s="1"/>
      <c r="G401" s="1"/>
      <c r="H401" s="1"/>
      <c r="K401" s="1"/>
      <c r="L401" s="1"/>
      <c r="M401" s="1"/>
      <c r="N401" s="1"/>
      <c r="O401" s="1"/>
      <c r="P401" s="1"/>
      <c r="Q401" s="1"/>
      <c r="R401" s="1"/>
      <c r="S401" s="1"/>
      <c r="T401" s="1"/>
      <c r="U401" s="1"/>
      <c r="V401" s="1"/>
      <c r="W401" s="1"/>
      <c r="X401" s="1"/>
      <c r="Y401" s="1"/>
      <c r="Z401" s="1"/>
      <c r="AA401" s="1"/>
    </row>
    <row r="402" spans="2:27" ht="13.2" x14ac:dyDescent="0.25">
      <c r="B402" s="1"/>
      <c r="C402" s="1"/>
      <c r="D402" s="1"/>
      <c r="E402" s="1"/>
      <c r="F402" s="1"/>
      <c r="G402" s="1"/>
      <c r="H402" s="1"/>
      <c r="K402" s="1"/>
      <c r="L402" s="1"/>
      <c r="M402" s="1"/>
      <c r="N402" s="1"/>
      <c r="O402" s="1"/>
      <c r="P402" s="1"/>
      <c r="Q402" s="1"/>
      <c r="R402" s="1"/>
      <c r="S402" s="1"/>
      <c r="T402" s="1"/>
      <c r="U402" s="1"/>
      <c r="V402" s="1"/>
      <c r="W402" s="1"/>
      <c r="X402" s="1"/>
      <c r="Y402" s="1"/>
      <c r="Z402" s="1"/>
      <c r="AA402" s="1"/>
    </row>
    <row r="403" spans="2:27" ht="13.2" x14ac:dyDescent="0.25">
      <c r="B403" s="1"/>
      <c r="C403" s="1"/>
      <c r="D403" s="1"/>
      <c r="E403" s="1"/>
      <c r="F403" s="1"/>
      <c r="G403" s="1"/>
      <c r="H403" s="1"/>
      <c r="K403" s="1"/>
      <c r="L403" s="1"/>
      <c r="M403" s="1"/>
      <c r="N403" s="1"/>
      <c r="O403" s="1"/>
      <c r="P403" s="1"/>
      <c r="Q403" s="1"/>
      <c r="R403" s="1"/>
      <c r="S403" s="1"/>
      <c r="T403" s="1"/>
      <c r="U403" s="1"/>
      <c r="V403" s="1"/>
      <c r="W403" s="1"/>
      <c r="X403" s="1"/>
      <c r="Y403" s="1"/>
      <c r="Z403" s="1"/>
      <c r="AA403" s="1"/>
    </row>
    <row r="404" spans="2:27" ht="13.2" x14ac:dyDescent="0.25">
      <c r="B404" s="1"/>
      <c r="C404" s="1"/>
      <c r="D404" s="1"/>
      <c r="E404" s="1"/>
      <c r="F404" s="1"/>
      <c r="G404" s="1"/>
      <c r="H404" s="1"/>
      <c r="K404" s="1"/>
      <c r="L404" s="1"/>
      <c r="M404" s="1"/>
      <c r="N404" s="1"/>
      <c r="O404" s="1"/>
      <c r="P404" s="1"/>
      <c r="Q404" s="1"/>
      <c r="R404" s="1"/>
      <c r="S404" s="1"/>
      <c r="T404" s="1"/>
      <c r="U404" s="1"/>
      <c r="V404" s="1"/>
      <c r="W404" s="1"/>
      <c r="X404" s="1"/>
      <c r="Y404" s="1"/>
      <c r="Z404" s="1"/>
      <c r="AA404" s="1"/>
    </row>
    <row r="405" spans="2:27" ht="13.2" x14ac:dyDescent="0.25">
      <c r="B405" s="1"/>
      <c r="C405" s="1"/>
      <c r="D405" s="1"/>
      <c r="E405" s="1"/>
      <c r="F405" s="1"/>
      <c r="G405" s="1"/>
      <c r="H405" s="1"/>
      <c r="K405" s="1"/>
      <c r="L405" s="1"/>
      <c r="M405" s="1"/>
      <c r="N405" s="1"/>
      <c r="O405" s="1"/>
      <c r="P405" s="1"/>
      <c r="Q405" s="1"/>
      <c r="R405" s="1"/>
      <c r="S405" s="1"/>
      <c r="T405" s="1"/>
      <c r="U405" s="1"/>
      <c r="V405" s="1"/>
      <c r="W405" s="1"/>
      <c r="X405" s="1"/>
      <c r="Y405" s="1"/>
      <c r="Z405" s="1"/>
      <c r="AA405" s="1"/>
    </row>
    <row r="406" spans="2:27" ht="13.2" x14ac:dyDescent="0.25">
      <c r="B406" s="1"/>
      <c r="C406" s="1"/>
      <c r="D406" s="1"/>
      <c r="E406" s="1"/>
      <c r="F406" s="1"/>
      <c r="G406" s="1"/>
      <c r="H406" s="1"/>
      <c r="K406" s="1"/>
      <c r="L406" s="1"/>
      <c r="M406" s="1"/>
      <c r="N406" s="1"/>
      <c r="O406" s="1"/>
      <c r="P406" s="1"/>
      <c r="Q406" s="1"/>
      <c r="R406" s="1"/>
      <c r="S406" s="1"/>
      <c r="T406" s="1"/>
      <c r="U406" s="1"/>
      <c r="V406" s="1"/>
      <c r="W406" s="1"/>
      <c r="X406" s="1"/>
      <c r="Y406" s="1"/>
      <c r="Z406" s="1"/>
      <c r="AA406" s="1"/>
    </row>
    <row r="407" spans="2:27" ht="13.2" x14ac:dyDescent="0.25">
      <c r="B407" s="1"/>
      <c r="C407" s="1"/>
      <c r="D407" s="1"/>
      <c r="E407" s="1"/>
      <c r="F407" s="1"/>
      <c r="G407" s="1"/>
      <c r="H407" s="1"/>
      <c r="K407" s="1"/>
      <c r="L407" s="1"/>
      <c r="M407" s="1"/>
      <c r="N407" s="1"/>
      <c r="O407" s="1"/>
      <c r="P407" s="1"/>
      <c r="Q407" s="1"/>
      <c r="R407" s="1"/>
      <c r="S407" s="1"/>
      <c r="T407" s="1"/>
      <c r="U407" s="1"/>
      <c r="V407" s="1"/>
      <c r="W407" s="1"/>
      <c r="X407" s="1"/>
      <c r="Y407" s="1"/>
      <c r="Z407" s="1"/>
      <c r="AA407" s="1"/>
    </row>
    <row r="408" spans="2:27" ht="13.2" x14ac:dyDescent="0.25">
      <c r="B408" s="1"/>
      <c r="C408" s="1"/>
      <c r="D408" s="1"/>
      <c r="E408" s="1"/>
      <c r="F408" s="1"/>
      <c r="G408" s="1"/>
      <c r="H408" s="1"/>
      <c r="K408" s="1"/>
      <c r="L408" s="1"/>
      <c r="M408" s="1"/>
      <c r="N408" s="1"/>
      <c r="O408" s="1"/>
      <c r="P408" s="1"/>
      <c r="Q408" s="1"/>
      <c r="R408" s="1"/>
      <c r="S408" s="1"/>
      <c r="T408" s="1"/>
      <c r="U408" s="1"/>
      <c r="V408" s="1"/>
      <c r="W408" s="1"/>
      <c r="X408" s="1"/>
      <c r="Y408" s="1"/>
      <c r="Z408" s="1"/>
      <c r="AA408" s="1"/>
    </row>
    <row r="409" spans="2:27" ht="13.2" x14ac:dyDescent="0.25">
      <c r="B409" s="1"/>
      <c r="C409" s="1"/>
      <c r="D409" s="1"/>
      <c r="E409" s="1"/>
      <c r="F409" s="1"/>
      <c r="G409" s="1"/>
      <c r="H409" s="1"/>
      <c r="K409" s="1"/>
      <c r="L409" s="1"/>
      <c r="M409" s="1"/>
      <c r="N409" s="1"/>
      <c r="O409" s="1"/>
      <c r="P409" s="1"/>
      <c r="Q409" s="1"/>
      <c r="R409" s="1"/>
      <c r="S409" s="1"/>
      <c r="T409" s="1"/>
      <c r="U409" s="1"/>
      <c r="V409" s="1"/>
      <c r="W409" s="1"/>
      <c r="X409" s="1"/>
      <c r="Y409" s="1"/>
      <c r="Z409" s="1"/>
      <c r="AA409" s="1"/>
    </row>
    <row r="410" spans="2:27" ht="13.2" x14ac:dyDescent="0.25">
      <c r="B410" s="1"/>
      <c r="C410" s="1"/>
      <c r="D410" s="1"/>
      <c r="E410" s="1"/>
      <c r="F410" s="1"/>
      <c r="G410" s="1"/>
      <c r="H410" s="1"/>
      <c r="K410" s="1"/>
      <c r="L410" s="1"/>
      <c r="M410" s="1"/>
      <c r="N410" s="1"/>
      <c r="O410" s="1"/>
      <c r="P410" s="1"/>
      <c r="Q410" s="1"/>
      <c r="R410" s="1"/>
      <c r="S410" s="1"/>
      <c r="T410" s="1"/>
      <c r="U410" s="1"/>
      <c r="V410" s="1"/>
      <c r="W410" s="1"/>
      <c r="X410" s="1"/>
      <c r="Y410" s="1"/>
      <c r="Z410" s="1"/>
      <c r="AA410" s="1"/>
    </row>
    <row r="411" spans="2:27" ht="13.2" x14ac:dyDescent="0.25">
      <c r="B411" s="1"/>
      <c r="C411" s="1"/>
      <c r="D411" s="1"/>
      <c r="E411" s="1"/>
      <c r="F411" s="1"/>
      <c r="G411" s="1"/>
      <c r="H411" s="1"/>
      <c r="K411" s="1"/>
      <c r="L411" s="1"/>
      <c r="M411" s="1"/>
      <c r="N411" s="1"/>
      <c r="O411" s="1"/>
      <c r="P411" s="1"/>
      <c r="Q411" s="1"/>
      <c r="R411" s="1"/>
      <c r="S411" s="1"/>
      <c r="T411" s="1"/>
      <c r="U411" s="1"/>
      <c r="V411" s="1"/>
      <c r="W411" s="1"/>
      <c r="X411" s="1"/>
      <c r="Y411" s="1"/>
      <c r="Z411" s="1"/>
      <c r="AA411" s="1"/>
    </row>
    <row r="412" spans="2:27" ht="13.2" x14ac:dyDescent="0.25">
      <c r="B412" s="1"/>
      <c r="C412" s="1"/>
      <c r="D412" s="1"/>
      <c r="E412" s="1"/>
      <c r="F412" s="1"/>
      <c r="G412" s="1"/>
      <c r="H412" s="1"/>
      <c r="K412" s="1"/>
      <c r="L412" s="1"/>
      <c r="M412" s="1"/>
      <c r="N412" s="1"/>
      <c r="O412" s="1"/>
      <c r="P412" s="1"/>
      <c r="Q412" s="1"/>
      <c r="R412" s="1"/>
      <c r="S412" s="1"/>
      <c r="T412" s="1"/>
      <c r="U412" s="1"/>
      <c r="V412" s="1"/>
      <c r="W412" s="1"/>
      <c r="X412" s="1"/>
      <c r="Y412" s="1"/>
      <c r="Z412" s="1"/>
      <c r="AA412" s="1"/>
    </row>
    <row r="413" spans="2:27" ht="13.2" x14ac:dyDescent="0.25">
      <c r="B413" s="1"/>
      <c r="C413" s="1"/>
      <c r="D413" s="1"/>
      <c r="E413" s="1"/>
      <c r="F413" s="1"/>
      <c r="G413" s="1"/>
      <c r="H413" s="1"/>
      <c r="K413" s="1"/>
      <c r="L413" s="1"/>
      <c r="M413" s="1"/>
      <c r="N413" s="1"/>
      <c r="O413" s="1"/>
      <c r="P413" s="1"/>
      <c r="Q413" s="1"/>
      <c r="R413" s="1"/>
      <c r="S413" s="1"/>
      <c r="T413" s="1"/>
      <c r="U413" s="1"/>
      <c r="V413" s="1"/>
      <c r="W413" s="1"/>
      <c r="X413" s="1"/>
      <c r="Y413" s="1"/>
      <c r="Z413" s="1"/>
      <c r="AA413" s="1"/>
    </row>
    <row r="414" spans="2:27" ht="13.2" x14ac:dyDescent="0.25">
      <c r="B414" s="1"/>
      <c r="C414" s="1"/>
      <c r="D414" s="1"/>
      <c r="E414" s="1"/>
      <c r="F414" s="1"/>
      <c r="G414" s="1"/>
      <c r="H414" s="1"/>
      <c r="K414" s="1"/>
      <c r="L414" s="1"/>
      <c r="M414" s="1"/>
      <c r="N414" s="1"/>
      <c r="O414" s="1"/>
      <c r="P414" s="1"/>
      <c r="Q414" s="1"/>
      <c r="R414" s="1"/>
      <c r="S414" s="1"/>
      <c r="T414" s="1"/>
      <c r="U414" s="1"/>
      <c r="V414" s="1"/>
      <c r="W414" s="1"/>
      <c r="X414" s="1"/>
      <c r="Y414" s="1"/>
      <c r="Z414" s="1"/>
      <c r="AA414" s="1"/>
    </row>
    <row r="415" spans="2:27" ht="13.2" x14ac:dyDescent="0.25">
      <c r="B415" s="1"/>
      <c r="C415" s="1"/>
      <c r="D415" s="1"/>
      <c r="E415" s="1"/>
      <c r="F415" s="1"/>
      <c r="G415" s="1"/>
      <c r="H415" s="1"/>
      <c r="K415" s="1"/>
      <c r="L415" s="1"/>
      <c r="M415" s="1"/>
      <c r="N415" s="1"/>
      <c r="O415" s="1"/>
      <c r="P415" s="1"/>
      <c r="Q415" s="1"/>
      <c r="R415" s="1"/>
      <c r="S415" s="1"/>
      <c r="T415" s="1"/>
      <c r="U415" s="1"/>
      <c r="V415" s="1"/>
      <c r="W415" s="1"/>
      <c r="X415" s="1"/>
      <c r="Y415" s="1"/>
      <c r="Z415" s="1"/>
      <c r="AA415" s="1"/>
    </row>
    <row r="416" spans="2:27" ht="13.2" x14ac:dyDescent="0.25">
      <c r="B416" s="1"/>
      <c r="C416" s="1"/>
      <c r="D416" s="1"/>
      <c r="E416" s="1"/>
      <c r="F416" s="1"/>
      <c r="G416" s="1"/>
      <c r="H416" s="1"/>
      <c r="K416" s="1"/>
      <c r="L416" s="1"/>
      <c r="M416" s="1"/>
      <c r="N416" s="1"/>
      <c r="O416" s="1"/>
      <c r="P416" s="1"/>
      <c r="Q416" s="1"/>
      <c r="R416" s="1"/>
      <c r="S416" s="1"/>
      <c r="T416" s="1"/>
      <c r="U416" s="1"/>
      <c r="V416" s="1"/>
      <c r="W416" s="1"/>
      <c r="X416" s="1"/>
      <c r="Y416" s="1"/>
      <c r="Z416" s="1"/>
      <c r="AA416" s="1"/>
    </row>
    <row r="417" spans="2:27" ht="13.2" x14ac:dyDescent="0.25">
      <c r="B417" s="1"/>
      <c r="C417" s="1"/>
      <c r="D417" s="1"/>
      <c r="E417" s="1"/>
      <c r="F417" s="1"/>
      <c r="G417" s="1"/>
      <c r="H417" s="1"/>
      <c r="K417" s="1"/>
      <c r="L417" s="1"/>
      <c r="M417" s="1"/>
      <c r="N417" s="1"/>
      <c r="O417" s="1"/>
      <c r="P417" s="1"/>
      <c r="Q417" s="1"/>
      <c r="R417" s="1"/>
      <c r="S417" s="1"/>
      <c r="T417" s="1"/>
      <c r="U417" s="1"/>
      <c r="V417" s="1"/>
      <c r="W417" s="1"/>
      <c r="X417" s="1"/>
      <c r="Y417" s="1"/>
      <c r="Z417" s="1"/>
      <c r="AA417" s="1"/>
    </row>
    <row r="418" spans="2:27" ht="13.2" x14ac:dyDescent="0.25">
      <c r="B418" s="1"/>
      <c r="C418" s="1"/>
      <c r="D418" s="1"/>
      <c r="E418" s="1"/>
      <c r="F418" s="1"/>
      <c r="G418" s="1"/>
      <c r="H418" s="1"/>
      <c r="K418" s="1"/>
      <c r="L418" s="1"/>
      <c r="M418" s="1"/>
      <c r="N418" s="1"/>
      <c r="O418" s="1"/>
      <c r="P418" s="1"/>
      <c r="Q418" s="1"/>
      <c r="R418" s="1"/>
      <c r="S418" s="1"/>
      <c r="T418" s="1"/>
      <c r="U418" s="1"/>
      <c r="V418" s="1"/>
      <c r="W418" s="1"/>
      <c r="X418" s="1"/>
      <c r="Y418" s="1"/>
      <c r="Z418" s="1"/>
      <c r="AA418" s="1"/>
    </row>
    <row r="419" spans="2:27" ht="13.2" x14ac:dyDescent="0.25">
      <c r="B419" s="1"/>
      <c r="C419" s="1"/>
      <c r="D419" s="1"/>
      <c r="E419" s="1"/>
      <c r="F419" s="1"/>
      <c r="G419" s="1"/>
      <c r="H419" s="1"/>
      <c r="K419" s="1"/>
      <c r="L419" s="1"/>
      <c r="M419" s="1"/>
      <c r="N419" s="1"/>
      <c r="O419" s="1"/>
      <c r="P419" s="1"/>
      <c r="Q419" s="1"/>
      <c r="R419" s="1"/>
      <c r="S419" s="1"/>
      <c r="T419" s="1"/>
      <c r="U419" s="1"/>
      <c r="V419" s="1"/>
      <c r="W419" s="1"/>
      <c r="X419" s="1"/>
      <c r="Y419" s="1"/>
      <c r="Z419" s="1"/>
      <c r="AA419" s="1"/>
    </row>
    <row r="420" spans="2:27" ht="13.2" x14ac:dyDescent="0.25">
      <c r="B420" s="1"/>
      <c r="C420" s="1"/>
      <c r="D420" s="1"/>
      <c r="E420" s="1"/>
      <c r="F420" s="1"/>
      <c r="G420" s="1"/>
      <c r="H420" s="1"/>
      <c r="K420" s="1"/>
      <c r="L420" s="1"/>
      <c r="M420" s="1"/>
      <c r="N420" s="1"/>
      <c r="O420" s="1"/>
      <c r="P420" s="1"/>
      <c r="Q420" s="1"/>
      <c r="R420" s="1"/>
      <c r="S420" s="1"/>
      <c r="T420" s="1"/>
      <c r="U420" s="1"/>
      <c r="V420" s="1"/>
      <c r="W420" s="1"/>
      <c r="X420" s="1"/>
      <c r="Y420" s="1"/>
      <c r="Z420" s="1"/>
      <c r="AA420" s="1"/>
    </row>
    <row r="421" spans="2:27" ht="13.2" x14ac:dyDescent="0.25">
      <c r="B421" s="1"/>
      <c r="C421" s="1"/>
      <c r="D421" s="1"/>
      <c r="E421" s="1"/>
      <c r="F421" s="1"/>
      <c r="G421" s="1"/>
      <c r="H421" s="1"/>
      <c r="K421" s="1"/>
      <c r="L421" s="1"/>
      <c r="M421" s="1"/>
      <c r="N421" s="1"/>
      <c r="O421" s="1"/>
      <c r="P421" s="1"/>
      <c r="Q421" s="1"/>
      <c r="R421" s="1"/>
      <c r="S421" s="1"/>
      <c r="T421" s="1"/>
      <c r="U421" s="1"/>
      <c r="V421" s="1"/>
      <c r="W421" s="1"/>
      <c r="X421" s="1"/>
      <c r="Y421" s="1"/>
      <c r="Z421" s="1"/>
      <c r="AA421" s="1"/>
    </row>
    <row r="422" spans="2:27" ht="13.2" x14ac:dyDescent="0.25">
      <c r="B422" s="1"/>
      <c r="C422" s="1"/>
      <c r="D422" s="1"/>
      <c r="E422" s="1"/>
      <c r="F422" s="1"/>
      <c r="G422" s="1"/>
      <c r="H422" s="1"/>
      <c r="K422" s="1"/>
      <c r="L422" s="1"/>
      <c r="M422" s="1"/>
      <c r="N422" s="1"/>
      <c r="O422" s="1"/>
      <c r="P422" s="1"/>
      <c r="Q422" s="1"/>
      <c r="R422" s="1"/>
      <c r="S422" s="1"/>
      <c r="T422" s="1"/>
      <c r="U422" s="1"/>
      <c r="V422" s="1"/>
      <c r="W422" s="1"/>
      <c r="X422" s="1"/>
      <c r="Y422" s="1"/>
      <c r="Z422" s="1"/>
      <c r="AA422" s="1"/>
    </row>
    <row r="423" spans="2:27" ht="13.2" x14ac:dyDescent="0.25">
      <c r="B423" s="1"/>
      <c r="C423" s="1"/>
      <c r="D423" s="1"/>
      <c r="E423" s="1"/>
      <c r="F423" s="1"/>
      <c r="G423" s="1"/>
      <c r="H423" s="1"/>
      <c r="K423" s="1"/>
      <c r="L423" s="1"/>
      <c r="M423" s="1"/>
      <c r="N423" s="1"/>
      <c r="O423" s="1"/>
      <c r="P423" s="1"/>
      <c r="Q423" s="1"/>
      <c r="R423" s="1"/>
      <c r="S423" s="1"/>
      <c r="T423" s="1"/>
      <c r="U423" s="1"/>
      <c r="V423" s="1"/>
      <c r="W423" s="1"/>
      <c r="X423" s="1"/>
      <c r="Y423" s="1"/>
      <c r="Z423" s="1"/>
      <c r="AA423" s="1"/>
    </row>
    <row r="424" spans="2:27" ht="13.2" x14ac:dyDescent="0.25">
      <c r="B424" s="1"/>
      <c r="C424" s="1"/>
      <c r="D424" s="1"/>
      <c r="E424" s="1"/>
      <c r="F424" s="1"/>
      <c r="G424" s="1"/>
      <c r="H424" s="1"/>
      <c r="K424" s="1"/>
      <c r="L424" s="1"/>
      <c r="M424" s="1"/>
      <c r="N424" s="1"/>
      <c r="O424" s="1"/>
      <c r="P424" s="1"/>
      <c r="Q424" s="1"/>
      <c r="R424" s="1"/>
      <c r="S424" s="1"/>
      <c r="T424" s="1"/>
      <c r="U424" s="1"/>
      <c r="V424" s="1"/>
      <c r="W424" s="1"/>
      <c r="X424" s="1"/>
      <c r="Y424" s="1"/>
      <c r="Z424" s="1"/>
      <c r="AA424" s="1"/>
    </row>
    <row r="425" spans="2:27" ht="13.2" x14ac:dyDescent="0.25">
      <c r="B425" s="1"/>
      <c r="C425" s="1"/>
      <c r="D425" s="1"/>
      <c r="E425" s="1"/>
      <c r="F425" s="1"/>
      <c r="G425" s="1"/>
      <c r="H425" s="1"/>
      <c r="K425" s="1"/>
      <c r="L425" s="1"/>
      <c r="M425" s="1"/>
      <c r="N425" s="1"/>
      <c r="O425" s="1"/>
      <c r="P425" s="1"/>
      <c r="Q425" s="1"/>
      <c r="R425" s="1"/>
      <c r="S425" s="1"/>
      <c r="T425" s="1"/>
      <c r="U425" s="1"/>
      <c r="V425" s="1"/>
      <c r="W425" s="1"/>
      <c r="X425" s="1"/>
      <c r="Y425" s="1"/>
      <c r="Z425" s="1"/>
      <c r="AA425" s="1"/>
    </row>
    <row r="426" spans="2:27" ht="13.2" x14ac:dyDescent="0.25">
      <c r="B426" s="1"/>
      <c r="C426" s="1"/>
      <c r="D426" s="1"/>
      <c r="E426" s="1"/>
      <c r="F426" s="1"/>
      <c r="G426" s="1"/>
      <c r="H426" s="1"/>
      <c r="K426" s="1"/>
      <c r="L426" s="1"/>
      <c r="M426" s="1"/>
      <c r="N426" s="1"/>
      <c r="O426" s="1"/>
      <c r="P426" s="1"/>
      <c r="Q426" s="1"/>
      <c r="R426" s="1"/>
      <c r="S426" s="1"/>
      <c r="T426" s="1"/>
      <c r="U426" s="1"/>
      <c r="V426" s="1"/>
      <c r="W426" s="1"/>
      <c r="X426" s="1"/>
      <c r="Y426" s="1"/>
      <c r="Z426" s="1"/>
      <c r="AA426" s="1"/>
    </row>
    <row r="427" spans="2:27" ht="13.2" x14ac:dyDescent="0.25">
      <c r="B427" s="1"/>
      <c r="C427" s="1"/>
      <c r="D427" s="1"/>
      <c r="E427" s="1"/>
      <c r="F427" s="1"/>
      <c r="G427" s="1"/>
      <c r="H427" s="1"/>
      <c r="K427" s="1"/>
      <c r="L427" s="1"/>
      <c r="M427" s="1"/>
      <c r="N427" s="1"/>
      <c r="O427" s="1"/>
      <c r="P427" s="1"/>
      <c r="Q427" s="1"/>
      <c r="R427" s="1"/>
      <c r="S427" s="1"/>
      <c r="T427" s="1"/>
      <c r="U427" s="1"/>
      <c r="V427" s="1"/>
      <c r="W427" s="1"/>
      <c r="X427" s="1"/>
      <c r="Y427" s="1"/>
      <c r="Z427" s="1"/>
      <c r="AA427" s="1"/>
    </row>
    <row r="428" spans="2:27" ht="13.2" x14ac:dyDescent="0.25">
      <c r="B428" s="1"/>
      <c r="C428" s="1"/>
      <c r="D428" s="1"/>
      <c r="E428" s="1"/>
      <c r="F428" s="1"/>
      <c r="G428" s="1"/>
      <c r="H428" s="1"/>
      <c r="K428" s="1"/>
      <c r="L428" s="1"/>
      <c r="M428" s="1"/>
      <c r="N428" s="1"/>
      <c r="O428" s="1"/>
      <c r="P428" s="1"/>
      <c r="Q428" s="1"/>
      <c r="R428" s="1"/>
      <c r="S428" s="1"/>
      <c r="T428" s="1"/>
      <c r="U428" s="1"/>
      <c r="V428" s="1"/>
      <c r="W428" s="1"/>
      <c r="X428" s="1"/>
      <c r="Y428" s="1"/>
      <c r="Z428" s="1"/>
      <c r="AA428" s="1"/>
    </row>
    <row r="429" spans="2:27" ht="13.2" x14ac:dyDescent="0.25">
      <c r="B429" s="1"/>
      <c r="C429" s="1"/>
      <c r="D429" s="1"/>
      <c r="E429" s="1"/>
      <c r="F429" s="1"/>
      <c r="G429" s="1"/>
      <c r="H429" s="1"/>
      <c r="K429" s="1"/>
      <c r="L429" s="1"/>
      <c r="M429" s="1"/>
      <c r="N429" s="1"/>
      <c r="O429" s="1"/>
      <c r="P429" s="1"/>
      <c r="Q429" s="1"/>
      <c r="R429" s="1"/>
      <c r="S429" s="1"/>
      <c r="T429" s="1"/>
      <c r="U429" s="1"/>
      <c r="V429" s="1"/>
      <c r="W429" s="1"/>
      <c r="X429" s="1"/>
      <c r="Y429" s="1"/>
      <c r="Z429" s="1"/>
      <c r="AA429" s="1"/>
    </row>
    <row r="430" spans="2:27" ht="13.2" x14ac:dyDescent="0.25">
      <c r="B430" s="1"/>
      <c r="C430" s="1"/>
      <c r="D430" s="1"/>
      <c r="E430" s="1"/>
      <c r="F430" s="1"/>
      <c r="G430" s="1"/>
      <c r="H430" s="1"/>
      <c r="K430" s="1"/>
      <c r="L430" s="1"/>
      <c r="M430" s="1"/>
      <c r="N430" s="1"/>
      <c r="O430" s="1"/>
      <c r="P430" s="1"/>
      <c r="Q430" s="1"/>
      <c r="R430" s="1"/>
      <c r="S430" s="1"/>
      <c r="T430" s="1"/>
      <c r="U430" s="1"/>
      <c r="V430" s="1"/>
      <c r="W430" s="1"/>
      <c r="X430" s="1"/>
      <c r="Y430" s="1"/>
      <c r="Z430" s="1"/>
      <c r="AA430" s="1"/>
    </row>
    <row r="431" spans="2:27" ht="13.2" x14ac:dyDescent="0.25">
      <c r="B431" s="1"/>
      <c r="C431" s="1"/>
      <c r="D431" s="1"/>
      <c r="E431" s="1"/>
      <c r="F431" s="1"/>
      <c r="G431" s="1"/>
      <c r="H431" s="1"/>
      <c r="K431" s="1"/>
      <c r="L431" s="1"/>
      <c r="M431" s="1"/>
      <c r="N431" s="1"/>
      <c r="O431" s="1"/>
      <c r="P431" s="1"/>
      <c r="Q431" s="1"/>
      <c r="R431" s="1"/>
      <c r="S431" s="1"/>
      <c r="T431" s="1"/>
      <c r="U431" s="1"/>
      <c r="V431" s="1"/>
      <c r="W431" s="1"/>
      <c r="X431" s="1"/>
      <c r="Y431" s="1"/>
      <c r="Z431" s="1"/>
      <c r="AA431" s="1"/>
    </row>
    <row r="432" spans="2:27" ht="13.2" x14ac:dyDescent="0.25">
      <c r="B432" s="1"/>
      <c r="C432" s="1"/>
      <c r="D432" s="1"/>
      <c r="E432" s="1"/>
      <c r="F432" s="1"/>
      <c r="G432" s="1"/>
      <c r="H432" s="1"/>
      <c r="K432" s="1"/>
      <c r="L432" s="1"/>
      <c r="M432" s="1"/>
      <c r="N432" s="1"/>
      <c r="O432" s="1"/>
      <c r="P432" s="1"/>
      <c r="Q432" s="1"/>
      <c r="R432" s="1"/>
      <c r="S432" s="1"/>
      <c r="T432" s="1"/>
      <c r="U432" s="1"/>
      <c r="V432" s="1"/>
      <c r="W432" s="1"/>
      <c r="X432" s="1"/>
      <c r="Y432" s="1"/>
      <c r="Z432" s="1"/>
      <c r="AA432" s="1"/>
    </row>
    <row r="433" spans="2:27" ht="13.2" x14ac:dyDescent="0.25">
      <c r="B433" s="1"/>
      <c r="C433" s="1"/>
      <c r="D433" s="1"/>
      <c r="E433" s="1"/>
      <c r="F433" s="1"/>
      <c r="G433" s="1"/>
      <c r="H433" s="1"/>
      <c r="K433" s="1"/>
      <c r="L433" s="1"/>
      <c r="M433" s="1"/>
      <c r="N433" s="1"/>
      <c r="O433" s="1"/>
      <c r="P433" s="1"/>
      <c r="Q433" s="1"/>
      <c r="R433" s="1"/>
      <c r="S433" s="1"/>
      <c r="T433" s="1"/>
      <c r="U433" s="1"/>
      <c r="V433" s="1"/>
      <c r="W433" s="1"/>
      <c r="X433" s="1"/>
      <c r="Y433" s="1"/>
      <c r="Z433" s="1"/>
      <c r="AA433" s="1"/>
    </row>
    <row r="434" spans="2:27" ht="13.2" x14ac:dyDescent="0.25">
      <c r="B434" s="1"/>
      <c r="C434" s="1"/>
      <c r="D434" s="1"/>
      <c r="E434" s="1"/>
      <c r="F434" s="1"/>
      <c r="G434" s="1"/>
      <c r="H434" s="1"/>
      <c r="K434" s="1"/>
      <c r="L434" s="1"/>
      <c r="M434" s="1"/>
      <c r="N434" s="1"/>
      <c r="O434" s="1"/>
      <c r="P434" s="1"/>
      <c r="Q434" s="1"/>
      <c r="R434" s="1"/>
      <c r="S434" s="1"/>
      <c r="T434" s="1"/>
      <c r="U434" s="1"/>
      <c r="V434" s="1"/>
      <c r="W434" s="1"/>
      <c r="X434" s="1"/>
      <c r="Y434" s="1"/>
      <c r="Z434" s="1"/>
      <c r="AA434" s="1"/>
    </row>
    <row r="435" spans="2:27" ht="13.2" x14ac:dyDescent="0.25">
      <c r="B435" s="1"/>
      <c r="C435" s="1"/>
      <c r="D435" s="1"/>
      <c r="E435" s="1"/>
      <c r="F435" s="1"/>
      <c r="G435" s="1"/>
      <c r="H435" s="1"/>
      <c r="K435" s="1"/>
      <c r="L435" s="1"/>
      <c r="M435" s="1"/>
      <c r="N435" s="1"/>
      <c r="O435" s="1"/>
      <c r="P435" s="1"/>
      <c r="Q435" s="1"/>
      <c r="R435" s="1"/>
      <c r="S435" s="1"/>
      <c r="T435" s="1"/>
      <c r="U435" s="1"/>
      <c r="V435" s="1"/>
      <c r="W435" s="1"/>
      <c r="X435" s="1"/>
      <c r="Y435" s="1"/>
      <c r="Z435" s="1"/>
      <c r="AA435" s="1"/>
    </row>
    <row r="436" spans="2:27" ht="13.2" x14ac:dyDescent="0.25">
      <c r="B436" s="1"/>
      <c r="C436" s="1"/>
      <c r="D436" s="1"/>
      <c r="E436" s="1"/>
      <c r="F436" s="1"/>
      <c r="G436" s="1"/>
      <c r="H436" s="1"/>
      <c r="K436" s="1"/>
      <c r="L436" s="1"/>
      <c r="M436" s="1"/>
      <c r="N436" s="1"/>
      <c r="O436" s="1"/>
      <c r="P436" s="1"/>
      <c r="Q436" s="1"/>
      <c r="R436" s="1"/>
      <c r="S436" s="1"/>
      <c r="T436" s="1"/>
      <c r="U436" s="1"/>
      <c r="V436" s="1"/>
      <c r="W436" s="1"/>
      <c r="X436" s="1"/>
      <c r="Y436" s="1"/>
      <c r="Z436" s="1"/>
      <c r="AA436" s="1"/>
    </row>
    <row r="437" spans="2:27" ht="13.2" x14ac:dyDescent="0.25">
      <c r="B437" s="1"/>
      <c r="C437" s="1"/>
      <c r="D437" s="1"/>
      <c r="E437" s="1"/>
      <c r="F437" s="1"/>
      <c r="G437" s="1"/>
      <c r="H437" s="1"/>
      <c r="K437" s="1"/>
      <c r="L437" s="1"/>
      <c r="M437" s="1"/>
      <c r="N437" s="1"/>
      <c r="O437" s="1"/>
      <c r="P437" s="1"/>
      <c r="Q437" s="1"/>
      <c r="R437" s="1"/>
      <c r="S437" s="1"/>
      <c r="T437" s="1"/>
      <c r="U437" s="1"/>
      <c r="V437" s="1"/>
      <c r="W437" s="1"/>
      <c r="X437" s="1"/>
      <c r="Y437" s="1"/>
      <c r="Z437" s="1"/>
      <c r="AA437" s="1"/>
    </row>
    <row r="438" spans="2:27" ht="13.2" x14ac:dyDescent="0.25">
      <c r="B438" s="1"/>
      <c r="C438" s="1"/>
      <c r="D438" s="1"/>
      <c r="E438" s="1"/>
      <c r="F438" s="1"/>
      <c r="G438" s="1"/>
      <c r="H438" s="1"/>
      <c r="K438" s="1"/>
      <c r="L438" s="1"/>
      <c r="M438" s="1"/>
      <c r="N438" s="1"/>
      <c r="O438" s="1"/>
      <c r="P438" s="1"/>
      <c r="Q438" s="1"/>
      <c r="R438" s="1"/>
      <c r="S438" s="1"/>
      <c r="T438" s="1"/>
      <c r="U438" s="1"/>
      <c r="V438" s="1"/>
      <c r="W438" s="1"/>
      <c r="X438" s="1"/>
      <c r="Y438" s="1"/>
      <c r="Z438" s="1"/>
      <c r="AA438" s="1"/>
    </row>
    <row r="439" spans="2:27" ht="13.2" x14ac:dyDescent="0.25">
      <c r="B439" s="1"/>
      <c r="C439" s="1"/>
      <c r="D439" s="1"/>
      <c r="E439" s="1"/>
      <c r="F439" s="1"/>
      <c r="G439" s="1"/>
      <c r="H439" s="1"/>
      <c r="K439" s="1"/>
      <c r="L439" s="1"/>
      <c r="M439" s="1"/>
      <c r="N439" s="1"/>
      <c r="O439" s="1"/>
      <c r="P439" s="1"/>
      <c r="Q439" s="1"/>
      <c r="R439" s="1"/>
      <c r="S439" s="1"/>
      <c r="T439" s="1"/>
      <c r="U439" s="1"/>
      <c r="V439" s="1"/>
      <c r="W439" s="1"/>
      <c r="X439" s="1"/>
      <c r="Y439" s="1"/>
      <c r="Z439" s="1"/>
      <c r="AA439" s="1"/>
    </row>
    <row r="440" spans="2:27" ht="13.2" x14ac:dyDescent="0.25">
      <c r="B440" s="1"/>
      <c r="C440" s="1"/>
      <c r="D440" s="1"/>
      <c r="E440" s="1"/>
      <c r="F440" s="1"/>
      <c r="G440" s="1"/>
      <c r="H440" s="1"/>
      <c r="K440" s="1"/>
      <c r="L440" s="1"/>
      <c r="M440" s="1"/>
      <c r="N440" s="1"/>
      <c r="O440" s="1"/>
      <c r="P440" s="1"/>
      <c r="Q440" s="1"/>
      <c r="R440" s="1"/>
      <c r="S440" s="1"/>
      <c r="T440" s="1"/>
      <c r="U440" s="1"/>
      <c r="V440" s="1"/>
      <c r="W440" s="1"/>
      <c r="X440" s="1"/>
      <c r="Y440" s="1"/>
      <c r="Z440" s="1"/>
      <c r="AA440" s="1"/>
    </row>
    <row r="441" spans="2:27" ht="13.2" x14ac:dyDescent="0.25">
      <c r="B441" s="1"/>
      <c r="C441" s="1"/>
      <c r="D441" s="1"/>
      <c r="E441" s="1"/>
      <c r="F441" s="1"/>
      <c r="G441" s="1"/>
      <c r="H441" s="1"/>
      <c r="K441" s="1"/>
      <c r="L441" s="1"/>
      <c r="M441" s="1"/>
      <c r="N441" s="1"/>
      <c r="O441" s="1"/>
      <c r="P441" s="1"/>
      <c r="Q441" s="1"/>
      <c r="R441" s="1"/>
      <c r="S441" s="1"/>
      <c r="T441" s="1"/>
      <c r="U441" s="1"/>
      <c r="V441" s="1"/>
      <c r="W441" s="1"/>
      <c r="X441" s="1"/>
      <c r="Y441" s="1"/>
      <c r="Z441" s="1"/>
      <c r="AA441" s="1"/>
    </row>
    <row r="442" spans="2:27" ht="13.2" x14ac:dyDescent="0.25">
      <c r="B442" s="1"/>
      <c r="C442" s="1"/>
      <c r="D442" s="1"/>
      <c r="E442" s="1"/>
      <c r="F442" s="1"/>
      <c r="G442" s="1"/>
      <c r="H442" s="1"/>
      <c r="K442" s="1"/>
      <c r="L442" s="1"/>
      <c r="M442" s="1"/>
      <c r="N442" s="1"/>
      <c r="O442" s="1"/>
      <c r="P442" s="1"/>
      <c r="Q442" s="1"/>
      <c r="R442" s="1"/>
      <c r="S442" s="1"/>
      <c r="T442" s="1"/>
      <c r="U442" s="1"/>
      <c r="V442" s="1"/>
      <c r="W442" s="1"/>
      <c r="X442" s="1"/>
      <c r="Y442" s="1"/>
      <c r="Z442" s="1"/>
      <c r="AA442" s="1"/>
    </row>
    <row r="443" spans="2:27" ht="13.2" x14ac:dyDescent="0.25">
      <c r="B443" s="1"/>
      <c r="C443" s="1"/>
      <c r="D443" s="1"/>
      <c r="E443" s="1"/>
      <c r="F443" s="1"/>
      <c r="G443" s="1"/>
      <c r="H443" s="1"/>
      <c r="K443" s="1"/>
      <c r="L443" s="1"/>
      <c r="M443" s="1"/>
      <c r="N443" s="1"/>
      <c r="O443" s="1"/>
      <c r="P443" s="1"/>
      <c r="Q443" s="1"/>
      <c r="R443" s="1"/>
      <c r="S443" s="1"/>
      <c r="T443" s="1"/>
      <c r="U443" s="1"/>
      <c r="V443" s="1"/>
      <c r="W443" s="1"/>
      <c r="X443" s="1"/>
      <c r="Y443" s="1"/>
      <c r="Z443" s="1"/>
      <c r="AA443" s="1"/>
    </row>
    <row r="444" spans="2:27" ht="13.2" x14ac:dyDescent="0.25">
      <c r="B444" s="1"/>
      <c r="C444" s="1"/>
      <c r="D444" s="1"/>
      <c r="E444" s="1"/>
      <c r="F444" s="1"/>
      <c r="G444" s="1"/>
      <c r="H444" s="1"/>
      <c r="K444" s="1"/>
      <c r="L444" s="1"/>
      <c r="M444" s="1"/>
      <c r="N444" s="1"/>
      <c r="O444" s="1"/>
      <c r="P444" s="1"/>
      <c r="Q444" s="1"/>
      <c r="R444" s="1"/>
      <c r="S444" s="1"/>
      <c r="T444" s="1"/>
      <c r="U444" s="1"/>
      <c r="V444" s="1"/>
      <c r="W444" s="1"/>
      <c r="X444" s="1"/>
      <c r="Y444" s="1"/>
      <c r="Z444" s="1"/>
      <c r="AA444" s="1"/>
    </row>
    <row r="445" spans="2:27" ht="13.2" x14ac:dyDescent="0.25">
      <c r="B445" s="1"/>
      <c r="C445" s="1"/>
      <c r="D445" s="1"/>
      <c r="E445" s="1"/>
      <c r="F445" s="1"/>
      <c r="G445" s="1"/>
      <c r="H445" s="1"/>
      <c r="K445" s="1"/>
      <c r="L445" s="1"/>
      <c r="M445" s="1"/>
      <c r="N445" s="1"/>
      <c r="O445" s="1"/>
      <c r="P445" s="1"/>
      <c r="Q445" s="1"/>
      <c r="R445" s="1"/>
      <c r="S445" s="1"/>
      <c r="T445" s="1"/>
      <c r="U445" s="1"/>
      <c r="V445" s="1"/>
      <c r="W445" s="1"/>
      <c r="X445" s="1"/>
      <c r="Y445" s="1"/>
      <c r="Z445" s="1"/>
      <c r="AA445" s="1"/>
    </row>
    <row r="446" spans="2:27" ht="13.2" x14ac:dyDescent="0.25">
      <c r="B446" s="1"/>
      <c r="C446" s="1"/>
      <c r="D446" s="1"/>
      <c r="E446" s="1"/>
      <c r="F446" s="1"/>
      <c r="G446" s="1"/>
      <c r="H446" s="1"/>
      <c r="K446" s="1"/>
      <c r="L446" s="1"/>
      <c r="M446" s="1"/>
      <c r="N446" s="1"/>
      <c r="O446" s="1"/>
      <c r="P446" s="1"/>
      <c r="Q446" s="1"/>
      <c r="R446" s="1"/>
      <c r="S446" s="1"/>
      <c r="T446" s="1"/>
      <c r="U446" s="1"/>
      <c r="V446" s="1"/>
      <c r="W446" s="1"/>
      <c r="X446" s="1"/>
      <c r="Y446" s="1"/>
      <c r="Z446" s="1"/>
      <c r="AA446" s="1"/>
    </row>
    <row r="447" spans="2:27" ht="13.2" x14ac:dyDescent="0.25">
      <c r="B447" s="1"/>
      <c r="C447" s="1"/>
      <c r="D447" s="1"/>
      <c r="E447" s="1"/>
      <c r="F447" s="1"/>
      <c r="G447" s="1"/>
      <c r="H447" s="1"/>
      <c r="K447" s="1"/>
      <c r="L447" s="1"/>
      <c r="M447" s="1"/>
      <c r="N447" s="1"/>
      <c r="O447" s="1"/>
      <c r="P447" s="1"/>
      <c r="Q447" s="1"/>
      <c r="R447" s="1"/>
      <c r="S447" s="1"/>
      <c r="T447" s="1"/>
      <c r="U447" s="1"/>
      <c r="V447" s="1"/>
      <c r="W447" s="1"/>
      <c r="X447" s="1"/>
      <c r="Y447" s="1"/>
      <c r="Z447" s="1"/>
      <c r="AA447" s="1"/>
    </row>
    <row r="448" spans="2:27" ht="13.2" x14ac:dyDescent="0.25">
      <c r="B448" s="1"/>
      <c r="C448" s="1"/>
      <c r="D448" s="1"/>
      <c r="E448" s="1"/>
      <c r="F448" s="1"/>
      <c r="G448" s="1"/>
      <c r="H448" s="1"/>
      <c r="K448" s="1"/>
      <c r="L448" s="1"/>
      <c r="M448" s="1"/>
      <c r="N448" s="1"/>
      <c r="O448" s="1"/>
      <c r="P448" s="1"/>
      <c r="Q448" s="1"/>
      <c r="R448" s="1"/>
      <c r="S448" s="1"/>
      <c r="T448" s="1"/>
      <c r="U448" s="1"/>
      <c r="V448" s="1"/>
      <c r="W448" s="1"/>
      <c r="X448" s="1"/>
      <c r="Y448" s="1"/>
      <c r="Z448" s="1"/>
      <c r="AA448" s="1"/>
    </row>
    <row r="449" spans="2:27" ht="13.2" x14ac:dyDescent="0.25">
      <c r="B449" s="1"/>
      <c r="C449" s="1"/>
      <c r="D449" s="1"/>
      <c r="E449" s="1"/>
      <c r="F449" s="1"/>
      <c r="G449" s="1"/>
      <c r="H449" s="1"/>
      <c r="K449" s="1"/>
      <c r="L449" s="1"/>
      <c r="M449" s="1"/>
      <c r="N449" s="1"/>
      <c r="O449" s="1"/>
      <c r="P449" s="1"/>
      <c r="Q449" s="1"/>
      <c r="R449" s="1"/>
      <c r="S449" s="1"/>
      <c r="T449" s="1"/>
      <c r="U449" s="1"/>
      <c r="V449" s="1"/>
      <c r="W449" s="1"/>
      <c r="X449" s="1"/>
      <c r="Y449" s="1"/>
      <c r="Z449" s="1"/>
      <c r="AA449" s="1"/>
    </row>
    <row r="450" spans="2:27" ht="13.2" x14ac:dyDescent="0.25">
      <c r="B450" s="1"/>
      <c r="C450" s="1"/>
      <c r="D450" s="1"/>
      <c r="E450" s="1"/>
      <c r="F450" s="1"/>
      <c r="G450" s="1"/>
      <c r="H450" s="1"/>
      <c r="K450" s="1"/>
      <c r="L450" s="1"/>
      <c r="M450" s="1"/>
      <c r="N450" s="1"/>
      <c r="O450" s="1"/>
      <c r="P450" s="1"/>
      <c r="Q450" s="1"/>
      <c r="R450" s="1"/>
      <c r="S450" s="1"/>
      <c r="T450" s="1"/>
      <c r="U450" s="1"/>
      <c r="V450" s="1"/>
      <c r="W450" s="1"/>
      <c r="X450" s="1"/>
      <c r="Y450" s="1"/>
      <c r="Z450" s="1"/>
      <c r="AA450" s="1"/>
    </row>
    <row r="451" spans="2:27" ht="13.2" x14ac:dyDescent="0.25">
      <c r="B451" s="1"/>
      <c r="C451" s="1"/>
      <c r="D451" s="1"/>
      <c r="E451" s="1"/>
      <c r="F451" s="1"/>
      <c r="G451" s="1"/>
      <c r="H451" s="1"/>
      <c r="K451" s="1"/>
      <c r="L451" s="1"/>
      <c r="M451" s="1"/>
      <c r="N451" s="1"/>
      <c r="O451" s="1"/>
      <c r="P451" s="1"/>
      <c r="Q451" s="1"/>
      <c r="R451" s="1"/>
      <c r="S451" s="1"/>
      <c r="T451" s="1"/>
      <c r="U451" s="1"/>
      <c r="V451" s="1"/>
      <c r="W451" s="1"/>
      <c r="X451" s="1"/>
      <c r="Y451" s="1"/>
      <c r="Z451" s="1"/>
      <c r="AA451" s="1"/>
    </row>
    <row r="452" spans="2:27" ht="13.2" x14ac:dyDescent="0.25">
      <c r="B452" s="1"/>
      <c r="C452" s="1"/>
      <c r="D452" s="1"/>
      <c r="E452" s="1"/>
      <c r="F452" s="1"/>
      <c r="G452" s="1"/>
      <c r="H452" s="1"/>
      <c r="K452" s="1"/>
      <c r="L452" s="1"/>
      <c r="M452" s="1"/>
      <c r="N452" s="1"/>
      <c r="O452" s="1"/>
      <c r="P452" s="1"/>
      <c r="Q452" s="1"/>
      <c r="R452" s="1"/>
      <c r="S452" s="1"/>
      <c r="T452" s="1"/>
      <c r="U452" s="1"/>
      <c r="V452" s="1"/>
      <c r="W452" s="1"/>
      <c r="X452" s="1"/>
      <c r="Y452" s="1"/>
      <c r="Z452" s="1"/>
      <c r="AA452" s="1"/>
    </row>
    <row r="453" spans="2:27" ht="13.2" x14ac:dyDescent="0.25">
      <c r="B453" s="1"/>
      <c r="C453" s="1"/>
      <c r="D453" s="1"/>
      <c r="E453" s="1"/>
      <c r="F453" s="1"/>
      <c r="G453" s="1"/>
      <c r="H453" s="1"/>
      <c r="K453" s="1"/>
      <c r="L453" s="1"/>
      <c r="M453" s="1"/>
      <c r="N453" s="1"/>
      <c r="O453" s="1"/>
      <c r="P453" s="1"/>
      <c r="Q453" s="1"/>
      <c r="R453" s="1"/>
      <c r="S453" s="1"/>
      <c r="T453" s="1"/>
      <c r="U453" s="1"/>
      <c r="V453" s="1"/>
      <c r="W453" s="1"/>
      <c r="X453" s="1"/>
      <c r="Y453" s="1"/>
      <c r="Z453" s="1"/>
      <c r="AA453" s="1"/>
    </row>
    <row r="454" spans="2:27" ht="13.2" x14ac:dyDescent="0.25">
      <c r="B454" s="1"/>
      <c r="C454" s="1"/>
      <c r="D454" s="1"/>
      <c r="E454" s="1"/>
      <c r="F454" s="1"/>
      <c r="G454" s="1"/>
      <c r="H454" s="1"/>
      <c r="K454" s="1"/>
      <c r="L454" s="1"/>
      <c r="M454" s="1"/>
      <c r="N454" s="1"/>
      <c r="O454" s="1"/>
      <c r="P454" s="1"/>
      <c r="Q454" s="1"/>
      <c r="R454" s="1"/>
      <c r="S454" s="1"/>
      <c r="T454" s="1"/>
      <c r="U454" s="1"/>
      <c r="V454" s="1"/>
      <c r="W454" s="1"/>
      <c r="X454" s="1"/>
      <c r="Y454" s="1"/>
      <c r="Z454" s="1"/>
      <c r="AA454" s="1"/>
    </row>
    <row r="455" spans="2:27" ht="13.2" x14ac:dyDescent="0.25">
      <c r="B455" s="1"/>
      <c r="C455" s="1"/>
      <c r="D455" s="1"/>
      <c r="E455" s="1"/>
      <c r="F455" s="1"/>
      <c r="G455" s="1"/>
      <c r="H455" s="1"/>
      <c r="K455" s="1"/>
      <c r="L455" s="1"/>
      <c r="M455" s="1"/>
      <c r="N455" s="1"/>
      <c r="O455" s="1"/>
      <c r="P455" s="1"/>
      <c r="Q455" s="1"/>
      <c r="R455" s="1"/>
      <c r="S455" s="1"/>
      <c r="T455" s="1"/>
      <c r="U455" s="1"/>
      <c r="V455" s="1"/>
      <c r="W455" s="1"/>
      <c r="X455" s="1"/>
      <c r="Y455" s="1"/>
      <c r="Z455" s="1"/>
      <c r="AA455" s="1"/>
    </row>
    <row r="456" spans="2:27" ht="13.2" x14ac:dyDescent="0.25">
      <c r="B456" s="1"/>
      <c r="C456" s="1"/>
      <c r="D456" s="1"/>
      <c r="E456" s="1"/>
      <c r="F456" s="1"/>
      <c r="G456" s="1"/>
      <c r="H456" s="1"/>
      <c r="K456" s="1"/>
      <c r="L456" s="1"/>
      <c r="M456" s="1"/>
      <c r="N456" s="1"/>
      <c r="O456" s="1"/>
      <c r="P456" s="1"/>
      <c r="Q456" s="1"/>
      <c r="R456" s="1"/>
      <c r="S456" s="1"/>
      <c r="T456" s="1"/>
      <c r="U456" s="1"/>
      <c r="V456" s="1"/>
      <c r="W456" s="1"/>
      <c r="X456" s="1"/>
      <c r="Y456" s="1"/>
      <c r="Z456" s="1"/>
      <c r="AA456" s="1"/>
    </row>
    <row r="457" spans="2:27" ht="13.2" x14ac:dyDescent="0.25">
      <c r="B457" s="1"/>
      <c r="C457" s="1"/>
      <c r="D457" s="1"/>
      <c r="E457" s="1"/>
      <c r="F457" s="1"/>
      <c r="G457" s="1"/>
      <c r="H457" s="1"/>
      <c r="K457" s="1"/>
      <c r="L457" s="1"/>
      <c r="M457" s="1"/>
      <c r="N457" s="1"/>
      <c r="O457" s="1"/>
      <c r="P457" s="1"/>
      <c r="Q457" s="1"/>
      <c r="R457" s="1"/>
      <c r="S457" s="1"/>
      <c r="T457" s="1"/>
      <c r="U457" s="1"/>
      <c r="V457" s="1"/>
      <c r="W457" s="1"/>
      <c r="X457" s="1"/>
      <c r="Y457" s="1"/>
      <c r="Z457" s="1"/>
      <c r="AA457" s="1"/>
    </row>
    <row r="458" spans="2:27" ht="13.2" x14ac:dyDescent="0.25">
      <c r="B458" s="1"/>
      <c r="C458" s="1"/>
      <c r="D458" s="1"/>
      <c r="E458" s="1"/>
      <c r="F458" s="1"/>
      <c r="G458" s="1"/>
      <c r="H458" s="1"/>
      <c r="K458" s="1"/>
      <c r="L458" s="1"/>
      <c r="M458" s="1"/>
      <c r="N458" s="1"/>
      <c r="O458" s="1"/>
      <c r="P458" s="1"/>
      <c r="Q458" s="1"/>
      <c r="R458" s="1"/>
      <c r="S458" s="1"/>
      <c r="T458" s="1"/>
      <c r="U458" s="1"/>
      <c r="V458" s="1"/>
      <c r="W458" s="1"/>
      <c r="X458" s="1"/>
      <c r="Y458" s="1"/>
      <c r="Z458" s="1"/>
      <c r="AA458" s="1"/>
    </row>
    <row r="459" spans="2:27" ht="13.2" x14ac:dyDescent="0.25">
      <c r="B459" s="1"/>
      <c r="C459" s="1"/>
      <c r="D459" s="1"/>
      <c r="E459" s="1"/>
      <c r="F459" s="1"/>
      <c r="G459" s="1"/>
      <c r="H459" s="1"/>
      <c r="K459" s="1"/>
      <c r="L459" s="1"/>
      <c r="M459" s="1"/>
      <c r="N459" s="1"/>
      <c r="O459" s="1"/>
      <c r="P459" s="1"/>
      <c r="Q459" s="1"/>
      <c r="R459" s="1"/>
      <c r="S459" s="1"/>
      <c r="T459" s="1"/>
      <c r="U459" s="1"/>
      <c r="V459" s="1"/>
      <c r="W459" s="1"/>
      <c r="X459" s="1"/>
      <c r="Y459" s="1"/>
      <c r="Z459" s="1"/>
      <c r="AA459" s="1"/>
    </row>
    <row r="460" spans="2:27" ht="13.2" x14ac:dyDescent="0.25">
      <c r="B460" s="1"/>
      <c r="C460" s="1"/>
      <c r="D460" s="1"/>
      <c r="E460" s="1"/>
      <c r="F460" s="1"/>
      <c r="G460" s="1"/>
      <c r="H460" s="1"/>
      <c r="K460" s="1"/>
      <c r="L460" s="1"/>
      <c r="M460" s="1"/>
      <c r="N460" s="1"/>
      <c r="O460" s="1"/>
      <c r="P460" s="1"/>
      <c r="Q460" s="1"/>
      <c r="R460" s="1"/>
      <c r="S460" s="1"/>
      <c r="T460" s="1"/>
      <c r="U460" s="1"/>
      <c r="V460" s="1"/>
      <c r="W460" s="1"/>
      <c r="X460" s="1"/>
      <c r="Y460" s="1"/>
      <c r="Z460" s="1"/>
      <c r="AA460" s="1"/>
    </row>
    <row r="461" spans="2:27" ht="13.2" x14ac:dyDescent="0.25">
      <c r="B461" s="1"/>
      <c r="C461" s="1"/>
      <c r="D461" s="1"/>
      <c r="E461" s="1"/>
      <c r="F461" s="1"/>
      <c r="G461" s="1"/>
      <c r="H461" s="1"/>
      <c r="K461" s="1"/>
      <c r="L461" s="1"/>
      <c r="M461" s="1"/>
      <c r="N461" s="1"/>
      <c r="O461" s="1"/>
      <c r="P461" s="1"/>
      <c r="Q461" s="1"/>
      <c r="R461" s="1"/>
      <c r="S461" s="1"/>
      <c r="T461" s="1"/>
      <c r="U461" s="1"/>
      <c r="V461" s="1"/>
      <c r="W461" s="1"/>
      <c r="X461" s="1"/>
      <c r="Y461" s="1"/>
      <c r="Z461" s="1"/>
      <c r="AA461" s="1"/>
    </row>
    <row r="462" spans="2:27" ht="13.2" x14ac:dyDescent="0.25">
      <c r="B462" s="1"/>
      <c r="C462" s="1"/>
      <c r="D462" s="1"/>
      <c r="E462" s="1"/>
      <c r="F462" s="1"/>
      <c r="G462" s="1"/>
      <c r="H462" s="1"/>
      <c r="K462" s="1"/>
      <c r="L462" s="1"/>
      <c r="M462" s="1"/>
      <c r="N462" s="1"/>
      <c r="O462" s="1"/>
      <c r="P462" s="1"/>
      <c r="Q462" s="1"/>
      <c r="R462" s="1"/>
      <c r="S462" s="1"/>
      <c r="T462" s="1"/>
      <c r="U462" s="1"/>
      <c r="V462" s="1"/>
      <c r="W462" s="1"/>
      <c r="X462" s="1"/>
      <c r="Y462" s="1"/>
      <c r="Z462" s="1"/>
      <c r="AA462" s="1"/>
    </row>
    <row r="463" spans="2:27" ht="13.2" x14ac:dyDescent="0.25">
      <c r="B463" s="1"/>
      <c r="C463" s="1"/>
      <c r="D463" s="1"/>
      <c r="E463" s="1"/>
      <c r="F463" s="1"/>
      <c r="G463" s="1"/>
      <c r="H463" s="1"/>
      <c r="K463" s="1"/>
      <c r="L463" s="1"/>
      <c r="M463" s="1"/>
      <c r="N463" s="1"/>
      <c r="O463" s="1"/>
      <c r="P463" s="1"/>
      <c r="Q463" s="1"/>
      <c r="R463" s="1"/>
      <c r="S463" s="1"/>
      <c r="T463" s="1"/>
      <c r="U463" s="1"/>
      <c r="V463" s="1"/>
      <c r="W463" s="1"/>
      <c r="X463" s="1"/>
      <c r="Y463" s="1"/>
      <c r="Z463" s="1"/>
      <c r="AA463" s="1"/>
    </row>
    <row r="464" spans="2:27" ht="13.2" x14ac:dyDescent="0.25">
      <c r="B464" s="1"/>
      <c r="C464" s="1"/>
      <c r="D464" s="1"/>
      <c r="E464" s="1"/>
      <c r="F464" s="1"/>
      <c r="G464" s="1"/>
      <c r="H464" s="1"/>
      <c r="K464" s="1"/>
      <c r="L464" s="1"/>
      <c r="M464" s="1"/>
      <c r="N464" s="1"/>
      <c r="O464" s="1"/>
      <c r="P464" s="1"/>
      <c r="Q464" s="1"/>
      <c r="R464" s="1"/>
      <c r="S464" s="1"/>
      <c r="T464" s="1"/>
      <c r="U464" s="1"/>
      <c r="V464" s="1"/>
      <c r="W464" s="1"/>
      <c r="X464" s="1"/>
      <c r="Y464" s="1"/>
      <c r="Z464" s="1"/>
      <c r="AA464" s="1"/>
    </row>
    <row r="465" spans="2:27" ht="13.2" x14ac:dyDescent="0.25">
      <c r="B465" s="1"/>
      <c r="C465" s="1"/>
      <c r="D465" s="1"/>
      <c r="E465" s="1"/>
      <c r="F465" s="1"/>
      <c r="G465" s="1"/>
      <c r="H465" s="1"/>
      <c r="K465" s="1"/>
      <c r="L465" s="1"/>
      <c r="M465" s="1"/>
      <c r="N465" s="1"/>
      <c r="O465" s="1"/>
      <c r="P465" s="1"/>
      <c r="Q465" s="1"/>
      <c r="R465" s="1"/>
      <c r="S465" s="1"/>
      <c r="T465" s="1"/>
      <c r="U465" s="1"/>
      <c r="V465" s="1"/>
      <c r="W465" s="1"/>
      <c r="X465" s="1"/>
      <c r="Y465" s="1"/>
      <c r="Z465" s="1"/>
      <c r="AA465" s="1"/>
    </row>
    <row r="466" spans="2:27" ht="13.2" x14ac:dyDescent="0.25">
      <c r="B466" s="1"/>
      <c r="C466" s="1"/>
      <c r="D466" s="1"/>
      <c r="E466" s="1"/>
      <c r="F466" s="1"/>
      <c r="G466" s="1"/>
      <c r="H466" s="1"/>
      <c r="K466" s="1"/>
      <c r="L466" s="1"/>
      <c r="M466" s="1"/>
      <c r="N466" s="1"/>
      <c r="O466" s="1"/>
      <c r="P466" s="1"/>
      <c r="Q466" s="1"/>
      <c r="R466" s="1"/>
      <c r="S466" s="1"/>
      <c r="T466" s="1"/>
      <c r="U466" s="1"/>
      <c r="V466" s="1"/>
      <c r="W466" s="1"/>
      <c r="X466" s="1"/>
      <c r="Y466" s="1"/>
      <c r="Z466" s="1"/>
      <c r="AA466" s="1"/>
    </row>
    <row r="467" spans="2:27" ht="13.2" x14ac:dyDescent="0.25">
      <c r="B467" s="1"/>
      <c r="C467" s="1"/>
      <c r="D467" s="1"/>
      <c r="E467" s="1"/>
      <c r="F467" s="1"/>
      <c r="G467" s="1"/>
      <c r="H467" s="1"/>
      <c r="K467" s="1"/>
      <c r="L467" s="1"/>
      <c r="M467" s="1"/>
      <c r="N467" s="1"/>
      <c r="O467" s="1"/>
      <c r="P467" s="1"/>
      <c r="Q467" s="1"/>
      <c r="R467" s="1"/>
      <c r="S467" s="1"/>
      <c r="T467" s="1"/>
      <c r="U467" s="1"/>
      <c r="V467" s="1"/>
      <c r="W467" s="1"/>
      <c r="X467" s="1"/>
      <c r="Y467" s="1"/>
      <c r="Z467" s="1"/>
      <c r="AA467" s="1"/>
    </row>
    <row r="468" spans="2:27" ht="13.2" x14ac:dyDescent="0.25">
      <c r="B468" s="1"/>
      <c r="C468" s="1"/>
      <c r="D468" s="1"/>
      <c r="E468" s="1"/>
      <c r="F468" s="1"/>
      <c r="G468" s="1"/>
      <c r="H468" s="1"/>
      <c r="K468" s="1"/>
      <c r="L468" s="1"/>
      <c r="M468" s="1"/>
      <c r="N468" s="1"/>
      <c r="O468" s="1"/>
      <c r="P468" s="1"/>
      <c r="Q468" s="1"/>
      <c r="R468" s="1"/>
      <c r="S468" s="1"/>
      <c r="T468" s="1"/>
      <c r="U468" s="1"/>
      <c r="V468" s="1"/>
      <c r="W468" s="1"/>
      <c r="X468" s="1"/>
      <c r="Y468" s="1"/>
      <c r="Z468" s="1"/>
      <c r="AA468" s="1"/>
    </row>
    <row r="469" spans="2:27" ht="13.2" x14ac:dyDescent="0.25">
      <c r="B469" s="1"/>
      <c r="C469" s="1"/>
      <c r="D469" s="1"/>
      <c r="E469" s="1"/>
      <c r="F469" s="1"/>
      <c r="G469" s="1"/>
      <c r="H469" s="1"/>
      <c r="K469" s="1"/>
      <c r="L469" s="1"/>
      <c r="M469" s="1"/>
      <c r="N469" s="1"/>
      <c r="O469" s="1"/>
      <c r="P469" s="1"/>
      <c r="Q469" s="1"/>
      <c r="R469" s="1"/>
      <c r="S469" s="1"/>
      <c r="T469" s="1"/>
      <c r="U469" s="1"/>
      <c r="V469" s="1"/>
      <c r="W469" s="1"/>
      <c r="X469" s="1"/>
      <c r="Y469" s="1"/>
      <c r="Z469" s="1"/>
      <c r="AA469" s="1"/>
    </row>
    <row r="470" spans="2:27" ht="13.2" x14ac:dyDescent="0.25">
      <c r="B470" s="1"/>
      <c r="C470" s="1"/>
      <c r="D470" s="1"/>
      <c r="E470" s="1"/>
      <c r="F470" s="1"/>
      <c r="G470" s="1"/>
      <c r="H470" s="1"/>
      <c r="K470" s="1"/>
      <c r="L470" s="1"/>
      <c r="M470" s="1"/>
      <c r="N470" s="1"/>
      <c r="O470" s="1"/>
      <c r="P470" s="1"/>
      <c r="Q470" s="1"/>
      <c r="R470" s="1"/>
      <c r="S470" s="1"/>
      <c r="T470" s="1"/>
      <c r="U470" s="1"/>
      <c r="V470" s="1"/>
      <c r="W470" s="1"/>
      <c r="X470" s="1"/>
      <c r="Y470" s="1"/>
      <c r="Z470" s="1"/>
      <c r="AA470" s="1"/>
    </row>
    <row r="471" spans="2:27" ht="13.2" x14ac:dyDescent="0.25">
      <c r="B471" s="1"/>
      <c r="C471" s="1"/>
      <c r="D471" s="1"/>
      <c r="E471" s="1"/>
      <c r="F471" s="1"/>
      <c r="G471" s="1"/>
      <c r="H471" s="1"/>
      <c r="K471" s="1"/>
      <c r="L471" s="1"/>
      <c r="M471" s="1"/>
      <c r="N471" s="1"/>
      <c r="O471" s="1"/>
      <c r="P471" s="1"/>
      <c r="Q471" s="1"/>
      <c r="R471" s="1"/>
      <c r="S471" s="1"/>
      <c r="T471" s="1"/>
      <c r="U471" s="1"/>
      <c r="V471" s="1"/>
      <c r="W471" s="1"/>
      <c r="X471" s="1"/>
      <c r="Y471" s="1"/>
      <c r="Z471" s="1"/>
      <c r="AA471" s="1"/>
    </row>
    <row r="472" spans="2:27" ht="13.2" x14ac:dyDescent="0.25">
      <c r="B472" s="1"/>
      <c r="C472" s="1"/>
      <c r="D472" s="1"/>
      <c r="E472" s="1"/>
      <c r="F472" s="1"/>
      <c r="G472" s="1"/>
      <c r="H472" s="1"/>
      <c r="K472" s="1"/>
      <c r="L472" s="1"/>
      <c r="M472" s="1"/>
      <c r="N472" s="1"/>
      <c r="O472" s="1"/>
      <c r="P472" s="1"/>
      <c r="Q472" s="1"/>
      <c r="R472" s="1"/>
      <c r="S472" s="1"/>
      <c r="T472" s="1"/>
      <c r="U472" s="1"/>
      <c r="V472" s="1"/>
      <c r="W472" s="1"/>
      <c r="X472" s="1"/>
      <c r="Y472" s="1"/>
      <c r="Z472" s="1"/>
      <c r="AA472" s="1"/>
    </row>
    <row r="473" spans="2:27" ht="13.2" x14ac:dyDescent="0.25">
      <c r="B473" s="1"/>
      <c r="C473" s="1"/>
      <c r="D473" s="1"/>
      <c r="E473" s="1"/>
      <c r="F473" s="1"/>
      <c r="G473" s="1"/>
      <c r="H473" s="1"/>
      <c r="K473" s="1"/>
      <c r="L473" s="1"/>
      <c r="M473" s="1"/>
      <c r="N473" s="1"/>
      <c r="O473" s="1"/>
      <c r="P473" s="1"/>
      <c r="Q473" s="1"/>
      <c r="R473" s="1"/>
      <c r="S473" s="1"/>
      <c r="T473" s="1"/>
      <c r="U473" s="1"/>
      <c r="V473" s="1"/>
      <c r="W473" s="1"/>
      <c r="X473" s="1"/>
      <c r="Y473" s="1"/>
      <c r="Z473" s="1"/>
      <c r="AA473" s="1"/>
    </row>
    <row r="474" spans="2:27" ht="13.2" x14ac:dyDescent="0.25">
      <c r="B474" s="1"/>
      <c r="C474" s="1"/>
      <c r="D474" s="1"/>
      <c r="E474" s="1"/>
      <c r="F474" s="1"/>
      <c r="G474" s="1"/>
      <c r="H474" s="1"/>
      <c r="K474" s="1"/>
      <c r="L474" s="1"/>
      <c r="M474" s="1"/>
      <c r="N474" s="1"/>
      <c r="O474" s="1"/>
      <c r="P474" s="1"/>
      <c r="Q474" s="1"/>
      <c r="R474" s="1"/>
      <c r="S474" s="1"/>
      <c r="T474" s="1"/>
      <c r="U474" s="1"/>
      <c r="V474" s="1"/>
      <c r="W474" s="1"/>
      <c r="X474" s="1"/>
      <c r="Y474" s="1"/>
      <c r="Z474" s="1"/>
      <c r="AA474" s="1"/>
    </row>
    <row r="475" spans="2:27" ht="13.2" x14ac:dyDescent="0.25">
      <c r="B475" s="1"/>
      <c r="C475" s="1"/>
      <c r="D475" s="1"/>
      <c r="E475" s="1"/>
      <c r="F475" s="1"/>
      <c r="G475" s="1"/>
      <c r="H475" s="1"/>
      <c r="K475" s="1"/>
      <c r="L475" s="1"/>
      <c r="M475" s="1"/>
      <c r="N475" s="1"/>
      <c r="O475" s="1"/>
      <c r="P475" s="1"/>
      <c r="Q475" s="1"/>
      <c r="R475" s="1"/>
      <c r="S475" s="1"/>
      <c r="T475" s="1"/>
      <c r="U475" s="1"/>
      <c r="V475" s="1"/>
      <c r="W475" s="1"/>
      <c r="X475" s="1"/>
      <c r="Y475" s="1"/>
      <c r="Z475" s="1"/>
      <c r="AA475" s="1"/>
    </row>
    <row r="476" spans="2:27" ht="13.2" x14ac:dyDescent="0.25">
      <c r="B476" s="1"/>
      <c r="C476" s="1"/>
      <c r="D476" s="1"/>
      <c r="E476" s="1"/>
      <c r="F476" s="1"/>
      <c r="G476" s="1"/>
      <c r="H476" s="1"/>
      <c r="K476" s="1"/>
      <c r="L476" s="1"/>
      <c r="M476" s="1"/>
      <c r="N476" s="1"/>
      <c r="O476" s="1"/>
      <c r="P476" s="1"/>
      <c r="Q476" s="1"/>
      <c r="R476" s="1"/>
      <c r="S476" s="1"/>
      <c r="T476" s="1"/>
      <c r="U476" s="1"/>
      <c r="V476" s="1"/>
      <c r="W476" s="1"/>
      <c r="X476" s="1"/>
      <c r="Y476" s="1"/>
      <c r="Z476" s="1"/>
      <c r="AA476" s="1"/>
    </row>
    <row r="477" spans="2:27" ht="13.2" x14ac:dyDescent="0.25">
      <c r="B477" s="1"/>
      <c r="C477" s="1"/>
      <c r="D477" s="1"/>
      <c r="E477" s="1"/>
      <c r="F477" s="1"/>
      <c r="G477" s="1"/>
      <c r="H477" s="1"/>
      <c r="K477" s="1"/>
      <c r="L477" s="1"/>
      <c r="M477" s="1"/>
      <c r="N477" s="1"/>
      <c r="O477" s="1"/>
      <c r="P477" s="1"/>
      <c r="Q477" s="1"/>
      <c r="R477" s="1"/>
      <c r="S477" s="1"/>
      <c r="T477" s="1"/>
      <c r="U477" s="1"/>
      <c r="V477" s="1"/>
      <c r="W477" s="1"/>
      <c r="X477" s="1"/>
      <c r="Y477" s="1"/>
      <c r="Z477" s="1"/>
      <c r="AA477" s="1"/>
    </row>
    <row r="478" spans="2:27" ht="13.2" x14ac:dyDescent="0.25">
      <c r="B478" s="1"/>
      <c r="C478" s="1"/>
      <c r="D478" s="1"/>
      <c r="E478" s="1"/>
      <c r="F478" s="1"/>
      <c r="G478" s="1"/>
      <c r="H478" s="1"/>
      <c r="K478" s="1"/>
      <c r="L478" s="1"/>
      <c r="M478" s="1"/>
      <c r="N478" s="1"/>
      <c r="O478" s="1"/>
      <c r="P478" s="1"/>
      <c r="Q478" s="1"/>
      <c r="R478" s="1"/>
      <c r="S478" s="1"/>
      <c r="T478" s="1"/>
      <c r="U478" s="1"/>
      <c r="V478" s="1"/>
      <c r="W478" s="1"/>
      <c r="X478" s="1"/>
      <c r="Y478" s="1"/>
      <c r="Z478" s="1"/>
      <c r="AA478" s="1"/>
    </row>
    <row r="479" spans="2:27" ht="13.2" x14ac:dyDescent="0.25">
      <c r="B479" s="1"/>
      <c r="C479" s="1"/>
      <c r="D479" s="1"/>
      <c r="E479" s="1"/>
      <c r="F479" s="1"/>
      <c r="G479" s="1"/>
      <c r="H479" s="1"/>
      <c r="K479" s="1"/>
      <c r="L479" s="1"/>
      <c r="M479" s="1"/>
      <c r="N479" s="1"/>
      <c r="O479" s="1"/>
      <c r="P479" s="1"/>
      <c r="Q479" s="1"/>
      <c r="R479" s="1"/>
      <c r="S479" s="1"/>
      <c r="T479" s="1"/>
      <c r="U479" s="1"/>
      <c r="V479" s="1"/>
      <c r="W479" s="1"/>
      <c r="X479" s="1"/>
      <c r="Y479" s="1"/>
      <c r="Z479" s="1"/>
      <c r="AA479" s="1"/>
    </row>
    <row r="480" spans="2:27" ht="13.2" x14ac:dyDescent="0.25">
      <c r="B480" s="1"/>
      <c r="C480" s="1"/>
      <c r="D480" s="1"/>
      <c r="E480" s="1"/>
      <c r="F480" s="1"/>
      <c r="G480" s="1"/>
      <c r="H480" s="1"/>
      <c r="K480" s="1"/>
      <c r="L480" s="1"/>
      <c r="M480" s="1"/>
      <c r="N480" s="1"/>
      <c r="O480" s="1"/>
      <c r="P480" s="1"/>
      <c r="Q480" s="1"/>
      <c r="R480" s="1"/>
      <c r="S480" s="1"/>
      <c r="T480" s="1"/>
      <c r="U480" s="1"/>
      <c r="V480" s="1"/>
      <c r="W480" s="1"/>
      <c r="X480" s="1"/>
      <c r="Y480" s="1"/>
      <c r="Z480" s="1"/>
      <c r="AA480" s="1"/>
    </row>
    <row r="481" spans="2:27" ht="13.2" x14ac:dyDescent="0.25">
      <c r="B481" s="1"/>
      <c r="C481" s="1"/>
      <c r="D481" s="1"/>
      <c r="E481" s="1"/>
      <c r="F481" s="1"/>
      <c r="G481" s="1"/>
      <c r="H481" s="1"/>
      <c r="K481" s="1"/>
      <c r="L481" s="1"/>
      <c r="M481" s="1"/>
      <c r="N481" s="1"/>
      <c r="O481" s="1"/>
      <c r="P481" s="1"/>
      <c r="Q481" s="1"/>
      <c r="R481" s="1"/>
      <c r="S481" s="1"/>
      <c r="T481" s="1"/>
      <c r="U481" s="1"/>
      <c r="V481" s="1"/>
      <c r="W481" s="1"/>
      <c r="X481" s="1"/>
      <c r="Y481" s="1"/>
      <c r="Z481" s="1"/>
      <c r="AA481" s="1"/>
    </row>
    <row r="482" spans="2:27" ht="13.2" x14ac:dyDescent="0.25">
      <c r="B482" s="1"/>
      <c r="C482" s="1"/>
      <c r="D482" s="1"/>
      <c r="E482" s="1"/>
      <c r="F482" s="1"/>
      <c r="G482" s="1"/>
      <c r="H482" s="1"/>
      <c r="K482" s="1"/>
      <c r="L482" s="1"/>
      <c r="M482" s="1"/>
      <c r="N482" s="1"/>
      <c r="O482" s="1"/>
      <c r="P482" s="1"/>
      <c r="Q482" s="1"/>
      <c r="R482" s="1"/>
      <c r="S482" s="1"/>
      <c r="T482" s="1"/>
      <c r="U482" s="1"/>
      <c r="V482" s="1"/>
      <c r="W482" s="1"/>
      <c r="X482" s="1"/>
      <c r="Y482" s="1"/>
      <c r="Z482" s="1"/>
      <c r="AA482" s="1"/>
    </row>
    <row r="483" spans="2:27" ht="13.2" x14ac:dyDescent="0.25">
      <c r="B483" s="1"/>
      <c r="C483" s="1"/>
      <c r="D483" s="1"/>
      <c r="E483" s="1"/>
      <c r="F483" s="1"/>
      <c r="G483" s="1"/>
      <c r="H483" s="1"/>
      <c r="K483" s="1"/>
      <c r="L483" s="1"/>
      <c r="M483" s="1"/>
      <c r="N483" s="1"/>
      <c r="O483" s="1"/>
      <c r="P483" s="1"/>
      <c r="Q483" s="1"/>
      <c r="R483" s="1"/>
      <c r="S483" s="1"/>
      <c r="T483" s="1"/>
      <c r="U483" s="1"/>
      <c r="V483" s="1"/>
      <c r="W483" s="1"/>
      <c r="X483" s="1"/>
      <c r="Y483" s="1"/>
      <c r="Z483" s="1"/>
      <c r="AA483" s="1"/>
    </row>
    <row r="484" spans="2:27" ht="13.2" x14ac:dyDescent="0.25">
      <c r="B484" s="1"/>
      <c r="C484" s="1"/>
      <c r="D484" s="1"/>
      <c r="E484" s="1"/>
      <c r="F484" s="1"/>
      <c r="G484" s="1"/>
      <c r="H484" s="1"/>
      <c r="K484" s="1"/>
      <c r="L484" s="1"/>
      <c r="M484" s="1"/>
      <c r="N484" s="1"/>
      <c r="O484" s="1"/>
      <c r="P484" s="1"/>
      <c r="Q484" s="1"/>
      <c r="R484" s="1"/>
      <c r="S484" s="1"/>
      <c r="T484" s="1"/>
      <c r="U484" s="1"/>
      <c r="V484" s="1"/>
      <c r="W484" s="1"/>
      <c r="X484" s="1"/>
      <c r="Y484" s="1"/>
      <c r="Z484" s="1"/>
      <c r="AA484" s="1"/>
    </row>
    <row r="485" spans="2:27" ht="13.2" x14ac:dyDescent="0.25">
      <c r="B485" s="1"/>
      <c r="C485" s="1"/>
      <c r="D485" s="1"/>
      <c r="E485" s="1"/>
      <c r="F485" s="1"/>
      <c r="G485" s="1"/>
      <c r="H485" s="1"/>
      <c r="K485" s="1"/>
      <c r="L485" s="1"/>
      <c r="M485" s="1"/>
      <c r="N485" s="1"/>
      <c r="O485" s="1"/>
      <c r="P485" s="1"/>
      <c r="Q485" s="1"/>
      <c r="R485" s="1"/>
      <c r="S485" s="1"/>
      <c r="T485" s="1"/>
      <c r="U485" s="1"/>
      <c r="V485" s="1"/>
      <c r="W485" s="1"/>
      <c r="X485" s="1"/>
      <c r="Y485" s="1"/>
      <c r="Z485" s="1"/>
      <c r="AA485" s="1"/>
    </row>
    <row r="486" spans="2:27" ht="13.2" x14ac:dyDescent="0.25">
      <c r="B486" s="1"/>
      <c r="C486" s="1"/>
      <c r="D486" s="1"/>
      <c r="E486" s="1"/>
      <c r="F486" s="1"/>
      <c r="G486" s="1"/>
      <c r="H486" s="1"/>
      <c r="K486" s="1"/>
      <c r="L486" s="1"/>
      <c r="M486" s="1"/>
      <c r="N486" s="1"/>
      <c r="O486" s="1"/>
      <c r="P486" s="1"/>
      <c r="Q486" s="1"/>
      <c r="R486" s="1"/>
      <c r="S486" s="1"/>
      <c r="T486" s="1"/>
      <c r="U486" s="1"/>
      <c r="V486" s="1"/>
      <c r="W486" s="1"/>
      <c r="X486" s="1"/>
      <c r="Y486" s="1"/>
      <c r="Z486" s="1"/>
      <c r="AA486" s="1"/>
    </row>
    <row r="487" spans="2:27" ht="13.2" x14ac:dyDescent="0.25">
      <c r="B487" s="1"/>
      <c r="C487" s="1"/>
      <c r="D487" s="1"/>
      <c r="E487" s="1"/>
      <c r="F487" s="1"/>
      <c r="G487" s="1"/>
      <c r="H487" s="1"/>
      <c r="K487" s="1"/>
      <c r="L487" s="1"/>
      <c r="M487" s="1"/>
      <c r="N487" s="1"/>
      <c r="O487" s="1"/>
      <c r="P487" s="1"/>
      <c r="Q487" s="1"/>
      <c r="R487" s="1"/>
      <c r="S487" s="1"/>
      <c r="T487" s="1"/>
      <c r="U487" s="1"/>
      <c r="V487" s="1"/>
      <c r="W487" s="1"/>
      <c r="X487" s="1"/>
      <c r="Y487" s="1"/>
      <c r="Z487" s="1"/>
      <c r="AA487" s="1"/>
    </row>
    <row r="488" spans="2:27" ht="13.2" x14ac:dyDescent="0.25">
      <c r="B488" s="1"/>
      <c r="C488" s="1"/>
      <c r="D488" s="1"/>
      <c r="E488" s="1"/>
      <c r="F488" s="1"/>
      <c r="G488" s="1"/>
      <c r="H488" s="1"/>
      <c r="K488" s="1"/>
      <c r="L488" s="1"/>
      <c r="M488" s="1"/>
      <c r="N488" s="1"/>
      <c r="O488" s="1"/>
      <c r="P488" s="1"/>
      <c r="Q488" s="1"/>
      <c r="R488" s="1"/>
      <c r="S488" s="1"/>
      <c r="T488" s="1"/>
      <c r="U488" s="1"/>
      <c r="V488" s="1"/>
      <c r="W488" s="1"/>
      <c r="X488" s="1"/>
      <c r="Y488" s="1"/>
      <c r="Z488" s="1"/>
      <c r="AA488" s="1"/>
    </row>
    <row r="489" spans="2:27" ht="13.2" x14ac:dyDescent="0.25">
      <c r="B489" s="1"/>
      <c r="C489" s="1"/>
      <c r="D489" s="1"/>
      <c r="E489" s="1"/>
      <c r="F489" s="1"/>
      <c r="G489" s="1"/>
      <c r="H489" s="1"/>
      <c r="K489" s="1"/>
      <c r="L489" s="1"/>
      <c r="M489" s="1"/>
      <c r="N489" s="1"/>
      <c r="O489" s="1"/>
      <c r="P489" s="1"/>
      <c r="Q489" s="1"/>
      <c r="R489" s="1"/>
      <c r="S489" s="1"/>
      <c r="T489" s="1"/>
      <c r="U489" s="1"/>
      <c r="V489" s="1"/>
      <c r="W489" s="1"/>
      <c r="X489" s="1"/>
      <c r="Y489" s="1"/>
      <c r="Z489" s="1"/>
      <c r="AA489" s="1"/>
    </row>
    <row r="490" spans="2:27" ht="13.2" x14ac:dyDescent="0.25">
      <c r="B490" s="1"/>
      <c r="C490" s="1"/>
      <c r="D490" s="1"/>
      <c r="E490" s="1"/>
      <c r="F490" s="1"/>
      <c r="G490" s="1"/>
      <c r="H490" s="1"/>
      <c r="K490" s="1"/>
      <c r="L490" s="1"/>
      <c r="M490" s="1"/>
      <c r="N490" s="1"/>
      <c r="O490" s="1"/>
      <c r="P490" s="1"/>
      <c r="Q490" s="1"/>
      <c r="R490" s="1"/>
      <c r="S490" s="1"/>
      <c r="T490" s="1"/>
      <c r="U490" s="1"/>
      <c r="V490" s="1"/>
      <c r="W490" s="1"/>
      <c r="X490" s="1"/>
      <c r="Y490" s="1"/>
      <c r="Z490" s="1"/>
      <c r="AA490" s="1"/>
    </row>
    <row r="491" spans="2:27" ht="13.2" x14ac:dyDescent="0.25">
      <c r="B491" s="1"/>
      <c r="C491" s="1"/>
      <c r="D491" s="1"/>
      <c r="E491" s="1"/>
      <c r="F491" s="1"/>
      <c r="G491" s="1"/>
      <c r="H491" s="1"/>
      <c r="K491" s="1"/>
      <c r="L491" s="1"/>
      <c r="M491" s="1"/>
      <c r="N491" s="1"/>
      <c r="O491" s="1"/>
      <c r="P491" s="1"/>
      <c r="Q491" s="1"/>
      <c r="R491" s="1"/>
      <c r="S491" s="1"/>
      <c r="T491" s="1"/>
      <c r="U491" s="1"/>
      <c r="V491" s="1"/>
      <c r="W491" s="1"/>
      <c r="X491" s="1"/>
      <c r="Y491" s="1"/>
      <c r="Z491" s="1"/>
      <c r="AA491" s="1"/>
    </row>
    <row r="492" spans="2:27" ht="13.2" x14ac:dyDescent="0.25">
      <c r="B492" s="1"/>
      <c r="C492" s="1"/>
      <c r="D492" s="1"/>
      <c r="E492" s="1"/>
      <c r="F492" s="1"/>
      <c r="G492" s="1"/>
      <c r="H492" s="1"/>
      <c r="K492" s="1"/>
      <c r="L492" s="1"/>
      <c r="M492" s="1"/>
      <c r="N492" s="1"/>
      <c r="O492" s="1"/>
      <c r="P492" s="1"/>
      <c r="Q492" s="1"/>
      <c r="R492" s="1"/>
      <c r="S492" s="1"/>
      <c r="T492" s="1"/>
      <c r="U492" s="1"/>
      <c r="V492" s="1"/>
      <c r="W492" s="1"/>
      <c r="X492" s="1"/>
      <c r="Y492" s="1"/>
      <c r="Z492" s="1"/>
      <c r="AA492" s="1"/>
    </row>
    <row r="493" spans="2:27" ht="13.2" x14ac:dyDescent="0.25">
      <c r="B493" s="1"/>
      <c r="C493" s="1"/>
      <c r="D493" s="1"/>
      <c r="E493" s="1"/>
      <c r="F493" s="1"/>
      <c r="G493" s="1"/>
      <c r="H493" s="1"/>
      <c r="K493" s="1"/>
      <c r="L493" s="1"/>
      <c r="M493" s="1"/>
      <c r="N493" s="1"/>
      <c r="O493" s="1"/>
      <c r="P493" s="1"/>
      <c r="Q493" s="1"/>
      <c r="R493" s="1"/>
      <c r="S493" s="1"/>
      <c r="T493" s="1"/>
      <c r="U493" s="1"/>
      <c r="V493" s="1"/>
      <c r="W493" s="1"/>
      <c r="X493" s="1"/>
      <c r="Y493" s="1"/>
      <c r="Z493" s="1"/>
      <c r="AA493" s="1"/>
    </row>
    <row r="494" spans="2:27" ht="13.2" x14ac:dyDescent="0.25">
      <c r="B494" s="1"/>
      <c r="C494" s="1"/>
      <c r="D494" s="1"/>
      <c r="E494" s="1"/>
      <c r="F494" s="1"/>
      <c r="G494" s="1"/>
      <c r="H494" s="1"/>
      <c r="K494" s="1"/>
      <c r="L494" s="1"/>
      <c r="M494" s="1"/>
      <c r="N494" s="1"/>
      <c r="O494" s="1"/>
      <c r="P494" s="1"/>
      <c r="Q494" s="1"/>
      <c r="R494" s="1"/>
      <c r="S494" s="1"/>
      <c r="T494" s="1"/>
      <c r="U494" s="1"/>
      <c r="V494" s="1"/>
      <c r="W494" s="1"/>
      <c r="X494" s="1"/>
      <c r="Y494" s="1"/>
      <c r="Z494" s="1"/>
      <c r="AA494" s="1"/>
    </row>
    <row r="495" spans="2:27" ht="13.2" x14ac:dyDescent="0.25">
      <c r="B495" s="1"/>
      <c r="C495" s="1"/>
      <c r="D495" s="1"/>
      <c r="E495" s="1"/>
      <c r="F495" s="1"/>
      <c r="G495" s="1"/>
      <c r="H495" s="1"/>
      <c r="K495" s="1"/>
      <c r="L495" s="1"/>
      <c r="M495" s="1"/>
      <c r="N495" s="1"/>
      <c r="O495" s="1"/>
      <c r="P495" s="1"/>
      <c r="Q495" s="1"/>
      <c r="R495" s="1"/>
      <c r="S495" s="1"/>
      <c r="T495" s="1"/>
      <c r="U495" s="1"/>
      <c r="V495" s="1"/>
      <c r="W495" s="1"/>
      <c r="X495" s="1"/>
      <c r="Y495" s="1"/>
      <c r="Z495" s="1"/>
      <c r="AA495" s="1"/>
    </row>
    <row r="496" spans="2:27" ht="13.2" x14ac:dyDescent="0.25">
      <c r="B496" s="1"/>
      <c r="C496" s="1"/>
      <c r="D496" s="1"/>
      <c r="E496" s="1"/>
      <c r="F496" s="1"/>
      <c r="G496" s="1"/>
      <c r="H496" s="1"/>
      <c r="K496" s="1"/>
      <c r="L496" s="1"/>
      <c r="M496" s="1"/>
      <c r="N496" s="1"/>
      <c r="O496" s="1"/>
      <c r="P496" s="1"/>
      <c r="Q496" s="1"/>
      <c r="R496" s="1"/>
      <c r="S496" s="1"/>
      <c r="T496" s="1"/>
      <c r="U496" s="1"/>
      <c r="V496" s="1"/>
      <c r="W496" s="1"/>
      <c r="X496" s="1"/>
      <c r="Y496" s="1"/>
      <c r="Z496" s="1"/>
      <c r="AA496" s="1"/>
    </row>
    <row r="497" spans="2:27" ht="13.2" x14ac:dyDescent="0.25">
      <c r="B497" s="1"/>
      <c r="C497" s="1"/>
      <c r="D497" s="1"/>
      <c r="E497" s="1"/>
      <c r="F497" s="1"/>
      <c r="G497" s="1"/>
      <c r="H497" s="1"/>
      <c r="K497" s="1"/>
      <c r="L497" s="1"/>
      <c r="M497" s="1"/>
      <c r="N497" s="1"/>
      <c r="O497" s="1"/>
      <c r="P497" s="1"/>
      <c r="Q497" s="1"/>
      <c r="R497" s="1"/>
      <c r="S497" s="1"/>
      <c r="T497" s="1"/>
      <c r="U497" s="1"/>
      <c r="V497" s="1"/>
      <c r="W497" s="1"/>
      <c r="X497" s="1"/>
      <c r="Y497" s="1"/>
      <c r="Z497" s="1"/>
      <c r="AA497" s="1"/>
    </row>
    <row r="498" spans="2:27" ht="13.2" x14ac:dyDescent="0.25">
      <c r="B498" s="1"/>
      <c r="C498" s="1"/>
      <c r="D498" s="1"/>
      <c r="E498" s="1"/>
      <c r="F498" s="1"/>
      <c r="G498" s="1"/>
      <c r="H498" s="1"/>
      <c r="K498" s="1"/>
      <c r="L498" s="1"/>
      <c r="M498" s="1"/>
      <c r="N498" s="1"/>
      <c r="O498" s="1"/>
      <c r="P498" s="1"/>
      <c r="Q498" s="1"/>
      <c r="R498" s="1"/>
      <c r="S498" s="1"/>
      <c r="T498" s="1"/>
      <c r="U498" s="1"/>
      <c r="V498" s="1"/>
      <c r="W498" s="1"/>
      <c r="X498" s="1"/>
      <c r="Y498" s="1"/>
      <c r="Z498" s="1"/>
      <c r="AA498" s="1"/>
    </row>
    <row r="499" spans="2:27" ht="13.2" x14ac:dyDescent="0.25">
      <c r="B499" s="1"/>
      <c r="C499" s="1"/>
      <c r="D499" s="1"/>
      <c r="E499" s="1"/>
      <c r="F499" s="1"/>
      <c r="G499" s="1"/>
      <c r="H499" s="1"/>
      <c r="K499" s="1"/>
      <c r="L499" s="1"/>
      <c r="M499" s="1"/>
      <c r="N499" s="1"/>
      <c r="O499" s="1"/>
      <c r="P499" s="1"/>
      <c r="Q499" s="1"/>
      <c r="R499" s="1"/>
      <c r="S499" s="1"/>
      <c r="T499" s="1"/>
      <c r="U499" s="1"/>
      <c r="V499" s="1"/>
      <c r="W499" s="1"/>
      <c r="X499" s="1"/>
      <c r="Y499" s="1"/>
      <c r="Z499" s="1"/>
      <c r="AA499" s="1"/>
    </row>
    <row r="500" spans="2:27" ht="13.2" x14ac:dyDescent="0.25">
      <c r="B500" s="1"/>
      <c r="C500" s="1"/>
      <c r="D500" s="1"/>
      <c r="E500" s="1"/>
      <c r="F500" s="1"/>
      <c r="G500" s="1"/>
      <c r="H500" s="1"/>
      <c r="K500" s="1"/>
      <c r="L500" s="1"/>
      <c r="M500" s="1"/>
      <c r="N500" s="1"/>
      <c r="O500" s="1"/>
      <c r="P500" s="1"/>
      <c r="Q500" s="1"/>
      <c r="R500" s="1"/>
      <c r="S500" s="1"/>
      <c r="T500" s="1"/>
      <c r="U500" s="1"/>
      <c r="V500" s="1"/>
      <c r="W500" s="1"/>
      <c r="X500" s="1"/>
      <c r="Y500" s="1"/>
      <c r="Z500" s="1"/>
      <c r="AA500" s="1"/>
    </row>
    <row r="501" spans="2:27" ht="13.2" x14ac:dyDescent="0.25">
      <c r="B501" s="1"/>
      <c r="C501" s="1"/>
      <c r="D501" s="1"/>
      <c r="E501" s="1"/>
      <c r="F501" s="1"/>
      <c r="G501" s="1"/>
      <c r="H501" s="1"/>
      <c r="K501" s="1"/>
      <c r="L501" s="1"/>
      <c r="M501" s="1"/>
      <c r="N501" s="1"/>
      <c r="O501" s="1"/>
      <c r="P501" s="1"/>
      <c r="Q501" s="1"/>
      <c r="R501" s="1"/>
      <c r="S501" s="1"/>
      <c r="T501" s="1"/>
      <c r="U501" s="1"/>
      <c r="V501" s="1"/>
      <c r="W501" s="1"/>
      <c r="X501" s="1"/>
      <c r="Y501" s="1"/>
      <c r="Z501" s="1"/>
      <c r="AA501" s="1"/>
    </row>
    <row r="502" spans="2:27" ht="13.2" x14ac:dyDescent="0.25">
      <c r="B502" s="1"/>
      <c r="C502" s="1"/>
      <c r="D502" s="1"/>
      <c r="E502" s="1"/>
      <c r="F502" s="1"/>
      <c r="G502" s="1"/>
      <c r="H502" s="1"/>
      <c r="K502" s="1"/>
      <c r="L502" s="1"/>
      <c r="M502" s="1"/>
      <c r="N502" s="1"/>
      <c r="O502" s="1"/>
      <c r="P502" s="1"/>
      <c r="Q502" s="1"/>
      <c r="R502" s="1"/>
      <c r="S502" s="1"/>
      <c r="T502" s="1"/>
      <c r="U502" s="1"/>
      <c r="V502" s="1"/>
      <c r="W502" s="1"/>
      <c r="X502" s="1"/>
      <c r="Y502" s="1"/>
      <c r="Z502" s="1"/>
      <c r="AA502" s="1"/>
    </row>
    <row r="503" spans="2:27" ht="13.2" x14ac:dyDescent="0.25">
      <c r="B503" s="1"/>
      <c r="C503" s="1"/>
      <c r="D503" s="1"/>
      <c r="E503" s="1"/>
      <c r="F503" s="1"/>
      <c r="G503" s="1"/>
      <c r="H503" s="1"/>
      <c r="K503" s="1"/>
      <c r="L503" s="1"/>
      <c r="M503" s="1"/>
      <c r="N503" s="1"/>
      <c r="O503" s="1"/>
      <c r="P503" s="1"/>
      <c r="Q503" s="1"/>
      <c r="R503" s="1"/>
      <c r="S503" s="1"/>
      <c r="T503" s="1"/>
      <c r="U503" s="1"/>
      <c r="V503" s="1"/>
      <c r="W503" s="1"/>
      <c r="X503" s="1"/>
      <c r="Y503" s="1"/>
      <c r="Z503" s="1"/>
      <c r="AA503" s="1"/>
    </row>
    <row r="504" spans="2:27" ht="13.2" x14ac:dyDescent="0.25">
      <c r="B504" s="1"/>
      <c r="C504" s="1"/>
      <c r="D504" s="1"/>
      <c r="E504" s="1"/>
      <c r="F504" s="1"/>
      <c r="G504" s="1"/>
      <c r="H504" s="1"/>
      <c r="K504" s="1"/>
      <c r="L504" s="1"/>
      <c r="M504" s="1"/>
      <c r="N504" s="1"/>
      <c r="O504" s="1"/>
      <c r="P504" s="1"/>
      <c r="Q504" s="1"/>
      <c r="R504" s="1"/>
      <c r="S504" s="1"/>
      <c r="T504" s="1"/>
      <c r="U504" s="1"/>
      <c r="V504" s="1"/>
      <c r="W504" s="1"/>
      <c r="X504" s="1"/>
      <c r="Y504" s="1"/>
      <c r="Z504" s="1"/>
      <c r="AA504" s="1"/>
    </row>
    <row r="505" spans="2:27" ht="13.2" x14ac:dyDescent="0.25">
      <c r="B505" s="1"/>
      <c r="C505" s="1"/>
      <c r="D505" s="1"/>
      <c r="E505" s="1"/>
      <c r="F505" s="1"/>
      <c r="G505" s="1"/>
      <c r="H505" s="1"/>
      <c r="K505" s="1"/>
      <c r="L505" s="1"/>
      <c r="M505" s="1"/>
      <c r="N505" s="1"/>
      <c r="O505" s="1"/>
      <c r="P505" s="1"/>
      <c r="Q505" s="1"/>
      <c r="R505" s="1"/>
      <c r="S505" s="1"/>
      <c r="T505" s="1"/>
      <c r="U505" s="1"/>
      <c r="V505" s="1"/>
      <c r="W505" s="1"/>
      <c r="X505" s="1"/>
      <c r="Y505" s="1"/>
      <c r="Z505" s="1"/>
      <c r="AA505" s="1"/>
    </row>
    <row r="506" spans="2:27" ht="13.2" x14ac:dyDescent="0.25">
      <c r="B506" s="1"/>
      <c r="C506" s="1"/>
      <c r="D506" s="1"/>
      <c r="E506" s="1"/>
      <c r="F506" s="1"/>
      <c r="G506" s="1"/>
      <c r="H506" s="1"/>
      <c r="K506" s="1"/>
      <c r="L506" s="1"/>
      <c r="M506" s="1"/>
      <c r="N506" s="1"/>
      <c r="O506" s="1"/>
      <c r="P506" s="1"/>
      <c r="Q506" s="1"/>
      <c r="R506" s="1"/>
      <c r="S506" s="1"/>
      <c r="T506" s="1"/>
      <c r="U506" s="1"/>
      <c r="V506" s="1"/>
      <c r="W506" s="1"/>
      <c r="X506" s="1"/>
      <c r="Y506" s="1"/>
      <c r="Z506" s="1"/>
      <c r="AA506" s="1"/>
    </row>
    <row r="507" spans="2:27" ht="13.2" x14ac:dyDescent="0.25">
      <c r="B507" s="1"/>
      <c r="C507" s="1"/>
      <c r="D507" s="1"/>
      <c r="E507" s="1"/>
      <c r="F507" s="1"/>
      <c r="G507" s="1"/>
      <c r="H507" s="1"/>
      <c r="K507" s="1"/>
      <c r="L507" s="1"/>
      <c r="M507" s="1"/>
      <c r="N507" s="1"/>
      <c r="O507" s="1"/>
      <c r="P507" s="1"/>
      <c r="Q507" s="1"/>
      <c r="R507" s="1"/>
      <c r="S507" s="1"/>
      <c r="T507" s="1"/>
      <c r="U507" s="1"/>
      <c r="V507" s="1"/>
      <c r="W507" s="1"/>
      <c r="X507" s="1"/>
      <c r="Y507" s="1"/>
      <c r="Z507" s="1"/>
      <c r="AA507" s="1"/>
    </row>
    <row r="508" spans="2:27" ht="13.2" x14ac:dyDescent="0.25">
      <c r="B508" s="1"/>
      <c r="C508" s="1"/>
      <c r="D508" s="1"/>
      <c r="E508" s="1"/>
      <c r="F508" s="1"/>
      <c r="G508" s="1"/>
      <c r="H508" s="1"/>
      <c r="K508" s="1"/>
      <c r="L508" s="1"/>
      <c r="M508" s="1"/>
      <c r="N508" s="1"/>
      <c r="O508" s="1"/>
      <c r="P508" s="1"/>
      <c r="Q508" s="1"/>
      <c r="R508" s="1"/>
      <c r="S508" s="1"/>
      <c r="T508" s="1"/>
      <c r="U508" s="1"/>
      <c r="V508" s="1"/>
      <c r="W508" s="1"/>
      <c r="X508" s="1"/>
      <c r="Y508" s="1"/>
      <c r="Z508" s="1"/>
      <c r="AA508" s="1"/>
    </row>
    <row r="509" spans="2:27" ht="13.2" x14ac:dyDescent="0.25">
      <c r="B509" s="1"/>
      <c r="C509" s="1"/>
      <c r="D509" s="1"/>
      <c r="E509" s="1"/>
      <c r="F509" s="1"/>
      <c r="G509" s="1"/>
      <c r="H509" s="1"/>
      <c r="K509" s="1"/>
      <c r="L509" s="1"/>
      <c r="M509" s="1"/>
      <c r="N509" s="1"/>
      <c r="O509" s="1"/>
      <c r="P509" s="1"/>
      <c r="Q509" s="1"/>
      <c r="R509" s="1"/>
      <c r="S509" s="1"/>
      <c r="T509" s="1"/>
      <c r="U509" s="1"/>
      <c r="V509" s="1"/>
      <c r="W509" s="1"/>
      <c r="X509" s="1"/>
      <c r="Y509" s="1"/>
      <c r="Z509" s="1"/>
      <c r="AA509" s="1"/>
    </row>
    <row r="510" spans="2:27" ht="13.2" x14ac:dyDescent="0.25">
      <c r="B510" s="1"/>
      <c r="C510" s="1"/>
      <c r="D510" s="1"/>
      <c r="E510" s="1"/>
      <c r="F510" s="1"/>
      <c r="G510" s="1"/>
      <c r="H510" s="1"/>
      <c r="K510" s="1"/>
      <c r="L510" s="1"/>
      <c r="M510" s="1"/>
      <c r="N510" s="1"/>
      <c r="O510" s="1"/>
      <c r="P510" s="1"/>
      <c r="Q510" s="1"/>
      <c r="R510" s="1"/>
      <c r="S510" s="1"/>
      <c r="T510" s="1"/>
      <c r="U510" s="1"/>
      <c r="V510" s="1"/>
      <c r="W510" s="1"/>
      <c r="X510" s="1"/>
      <c r="Y510" s="1"/>
      <c r="Z510" s="1"/>
      <c r="AA510" s="1"/>
    </row>
    <row r="511" spans="2:27" ht="13.2" x14ac:dyDescent="0.25">
      <c r="B511" s="1"/>
      <c r="C511" s="1"/>
      <c r="D511" s="1"/>
      <c r="E511" s="1"/>
      <c r="F511" s="1"/>
      <c r="G511" s="1"/>
      <c r="H511" s="1"/>
      <c r="K511" s="1"/>
      <c r="L511" s="1"/>
      <c r="M511" s="1"/>
      <c r="N511" s="1"/>
      <c r="O511" s="1"/>
      <c r="P511" s="1"/>
      <c r="Q511" s="1"/>
      <c r="R511" s="1"/>
      <c r="S511" s="1"/>
      <c r="T511" s="1"/>
      <c r="U511" s="1"/>
      <c r="V511" s="1"/>
      <c r="W511" s="1"/>
      <c r="X511" s="1"/>
      <c r="Y511" s="1"/>
      <c r="Z511" s="1"/>
      <c r="AA511" s="1"/>
    </row>
    <row r="512" spans="2:27" ht="13.2" x14ac:dyDescent="0.25">
      <c r="B512" s="1"/>
      <c r="C512" s="1"/>
      <c r="D512" s="1"/>
      <c r="E512" s="1"/>
      <c r="F512" s="1"/>
      <c r="G512" s="1"/>
      <c r="H512" s="1"/>
      <c r="K512" s="1"/>
      <c r="L512" s="1"/>
      <c r="M512" s="1"/>
      <c r="N512" s="1"/>
      <c r="O512" s="1"/>
      <c r="P512" s="1"/>
      <c r="Q512" s="1"/>
      <c r="R512" s="1"/>
      <c r="S512" s="1"/>
      <c r="T512" s="1"/>
      <c r="U512" s="1"/>
      <c r="V512" s="1"/>
      <c r="W512" s="1"/>
      <c r="X512" s="1"/>
      <c r="Y512" s="1"/>
      <c r="Z512" s="1"/>
      <c r="AA512" s="1"/>
    </row>
    <row r="513" spans="2:27" ht="13.2" x14ac:dyDescent="0.25">
      <c r="B513" s="1"/>
      <c r="C513" s="1"/>
      <c r="D513" s="1"/>
      <c r="E513" s="1"/>
      <c r="F513" s="1"/>
      <c r="G513" s="1"/>
      <c r="H513" s="1"/>
      <c r="K513" s="1"/>
      <c r="L513" s="1"/>
      <c r="M513" s="1"/>
      <c r="N513" s="1"/>
      <c r="O513" s="1"/>
      <c r="P513" s="1"/>
      <c r="Q513" s="1"/>
      <c r="R513" s="1"/>
      <c r="S513" s="1"/>
      <c r="T513" s="1"/>
      <c r="U513" s="1"/>
      <c r="V513" s="1"/>
      <c r="W513" s="1"/>
      <c r="X513" s="1"/>
      <c r="Y513" s="1"/>
      <c r="Z513" s="1"/>
      <c r="AA513" s="1"/>
    </row>
    <row r="514" spans="2:27" ht="13.2" x14ac:dyDescent="0.25">
      <c r="B514" s="1"/>
      <c r="C514" s="1"/>
      <c r="D514" s="1"/>
      <c r="E514" s="1"/>
      <c r="F514" s="1"/>
      <c r="G514" s="1"/>
      <c r="H514" s="1"/>
      <c r="K514" s="1"/>
      <c r="L514" s="1"/>
      <c r="M514" s="1"/>
      <c r="N514" s="1"/>
      <c r="O514" s="1"/>
      <c r="P514" s="1"/>
      <c r="Q514" s="1"/>
      <c r="R514" s="1"/>
      <c r="S514" s="1"/>
      <c r="T514" s="1"/>
      <c r="U514" s="1"/>
      <c r="V514" s="1"/>
      <c r="W514" s="1"/>
      <c r="X514" s="1"/>
      <c r="Y514" s="1"/>
      <c r="Z514" s="1"/>
      <c r="AA514" s="1"/>
    </row>
    <row r="515" spans="2:27" ht="13.2" x14ac:dyDescent="0.25">
      <c r="B515" s="1"/>
      <c r="C515" s="1"/>
      <c r="D515" s="1"/>
      <c r="E515" s="1"/>
      <c r="F515" s="1"/>
      <c r="G515" s="1"/>
      <c r="H515" s="1"/>
      <c r="K515" s="1"/>
      <c r="L515" s="1"/>
      <c r="M515" s="1"/>
      <c r="N515" s="1"/>
      <c r="O515" s="1"/>
      <c r="P515" s="1"/>
      <c r="Q515" s="1"/>
      <c r="R515" s="1"/>
      <c r="S515" s="1"/>
      <c r="T515" s="1"/>
      <c r="U515" s="1"/>
      <c r="V515" s="1"/>
      <c r="W515" s="1"/>
      <c r="X515" s="1"/>
      <c r="Y515" s="1"/>
      <c r="Z515" s="1"/>
      <c r="AA515" s="1"/>
    </row>
    <row r="516" spans="2:27" ht="13.2" x14ac:dyDescent="0.25">
      <c r="B516" s="1"/>
      <c r="C516" s="1"/>
      <c r="D516" s="1"/>
      <c r="E516" s="1"/>
      <c r="F516" s="1"/>
      <c r="G516" s="1"/>
      <c r="H516" s="1"/>
      <c r="K516" s="1"/>
      <c r="L516" s="1"/>
      <c r="M516" s="1"/>
      <c r="N516" s="1"/>
      <c r="O516" s="1"/>
      <c r="P516" s="1"/>
      <c r="Q516" s="1"/>
      <c r="R516" s="1"/>
      <c r="S516" s="1"/>
      <c r="T516" s="1"/>
      <c r="U516" s="1"/>
      <c r="V516" s="1"/>
      <c r="W516" s="1"/>
      <c r="X516" s="1"/>
      <c r="Y516" s="1"/>
      <c r="Z516" s="1"/>
      <c r="AA516" s="1"/>
    </row>
    <row r="517" spans="2:27" ht="13.2" x14ac:dyDescent="0.25">
      <c r="B517" s="1"/>
      <c r="C517" s="1"/>
      <c r="D517" s="1"/>
      <c r="E517" s="1"/>
      <c r="F517" s="1"/>
      <c r="G517" s="1"/>
      <c r="H517" s="1"/>
      <c r="K517" s="1"/>
      <c r="L517" s="1"/>
      <c r="M517" s="1"/>
      <c r="N517" s="1"/>
      <c r="O517" s="1"/>
      <c r="P517" s="1"/>
      <c r="Q517" s="1"/>
      <c r="R517" s="1"/>
      <c r="S517" s="1"/>
      <c r="T517" s="1"/>
      <c r="U517" s="1"/>
      <c r="V517" s="1"/>
      <c r="W517" s="1"/>
      <c r="X517" s="1"/>
      <c r="Y517" s="1"/>
      <c r="Z517" s="1"/>
      <c r="AA517" s="1"/>
    </row>
    <row r="518" spans="2:27" ht="13.2" x14ac:dyDescent="0.25">
      <c r="B518" s="1"/>
      <c r="C518" s="1"/>
      <c r="D518" s="1"/>
      <c r="E518" s="1"/>
      <c r="F518" s="1"/>
      <c r="G518" s="1"/>
      <c r="H518" s="1"/>
      <c r="K518" s="1"/>
      <c r="L518" s="1"/>
      <c r="M518" s="1"/>
      <c r="N518" s="1"/>
      <c r="O518" s="1"/>
      <c r="P518" s="1"/>
      <c r="Q518" s="1"/>
      <c r="R518" s="1"/>
      <c r="S518" s="1"/>
      <c r="T518" s="1"/>
      <c r="U518" s="1"/>
      <c r="V518" s="1"/>
      <c r="W518" s="1"/>
      <c r="X518" s="1"/>
      <c r="Y518" s="1"/>
      <c r="Z518" s="1"/>
      <c r="AA518" s="1"/>
    </row>
    <row r="519" spans="2:27" ht="13.2" x14ac:dyDescent="0.25">
      <c r="B519" s="1"/>
      <c r="C519" s="1"/>
      <c r="D519" s="1"/>
      <c r="E519" s="1"/>
      <c r="F519" s="1"/>
      <c r="G519" s="1"/>
      <c r="H519" s="1"/>
      <c r="K519" s="1"/>
      <c r="L519" s="1"/>
      <c r="M519" s="1"/>
      <c r="N519" s="1"/>
      <c r="O519" s="1"/>
      <c r="P519" s="1"/>
      <c r="Q519" s="1"/>
      <c r="R519" s="1"/>
      <c r="S519" s="1"/>
      <c r="T519" s="1"/>
      <c r="U519" s="1"/>
      <c r="V519" s="1"/>
      <c r="W519" s="1"/>
      <c r="X519" s="1"/>
      <c r="Y519" s="1"/>
      <c r="Z519" s="1"/>
      <c r="AA519" s="1"/>
    </row>
    <row r="520" spans="2:27" ht="13.2" x14ac:dyDescent="0.25">
      <c r="B520" s="1"/>
      <c r="C520" s="1"/>
      <c r="D520" s="1"/>
      <c r="E520" s="1"/>
      <c r="F520" s="1"/>
      <c r="G520" s="1"/>
      <c r="H520" s="1"/>
      <c r="K520" s="1"/>
      <c r="L520" s="1"/>
      <c r="M520" s="1"/>
      <c r="N520" s="1"/>
      <c r="O520" s="1"/>
      <c r="P520" s="1"/>
      <c r="Q520" s="1"/>
      <c r="R520" s="1"/>
      <c r="S520" s="1"/>
      <c r="T520" s="1"/>
      <c r="U520" s="1"/>
      <c r="V520" s="1"/>
      <c r="W520" s="1"/>
      <c r="X520" s="1"/>
      <c r="Y520" s="1"/>
      <c r="Z520" s="1"/>
      <c r="AA520" s="1"/>
    </row>
    <row r="521" spans="2:27" ht="13.2" x14ac:dyDescent="0.25">
      <c r="B521" s="1"/>
      <c r="C521" s="1"/>
      <c r="D521" s="1"/>
      <c r="E521" s="1"/>
      <c r="F521" s="1"/>
      <c r="G521" s="1"/>
      <c r="H521" s="1"/>
      <c r="K521" s="1"/>
      <c r="L521" s="1"/>
      <c r="M521" s="1"/>
      <c r="N521" s="1"/>
      <c r="O521" s="1"/>
      <c r="P521" s="1"/>
      <c r="Q521" s="1"/>
      <c r="R521" s="1"/>
      <c r="S521" s="1"/>
      <c r="T521" s="1"/>
      <c r="U521" s="1"/>
      <c r="V521" s="1"/>
      <c r="W521" s="1"/>
      <c r="X521" s="1"/>
      <c r="Y521" s="1"/>
      <c r="Z521" s="1"/>
      <c r="AA521" s="1"/>
    </row>
    <row r="522" spans="2:27" ht="13.2" x14ac:dyDescent="0.25">
      <c r="B522" s="1"/>
      <c r="C522" s="1"/>
      <c r="D522" s="1"/>
      <c r="E522" s="1"/>
      <c r="F522" s="1"/>
      <c r="G522" s="1"/>
      <c r="H522" s="1"/>
      <c r="K522" s="1"/>
      <c r="L522" s="1"/>
      <c r="M522" s="1"/>
      <c r="N522" s="1"/>
      <c r="O522" s="1"/>
      <c r="P522" s="1"/>
      <c r="Q522" s="1"/>
      <c r="R522" s="1"/>
      <c r="S522" s="1"/>
      <c r="T522" s="1"/>
      <c r="U522" s="1"/>
      <c r="V522" s="1"/>
      <c r="W522" s="1"/>
      <c r="X522" s="1"/>
      <c r="Y522" s="1"/>
      <c r="Z522" s="1"/>
      <c r="AA522" s="1"/>
    </row>
    <row r="523" spans="2:27" ht="13.2" x14ac:dyDescent="0.25">
      <c r="B523" s="1"/>
      <c r="C523" s="1"/>
      <c r="D523" s="1"/>
      <c r="E523" s="1"/>
      <c r="F523" s="1"/>
      <c r="G523" s="1"/>
      <c r="H523" s="1"/>
      <c r="K523" s="1"/>
      <c r="L523" s="1"/>
      <c r="M523" s="1"/>
      <c r="N523" s="1"/>
      <c r="O523" s="1"/>
      <c r="P523" s="1"/>
      <c r="Q523" s="1"/>
      <c r="R523" s="1"/>
      <c r="S523" s="1"/>
      <c r="T523" s="1"/>
      <c r="U523" s="1"/>
      <c r="V523" s="1"/>
      <c r="W523" s="1"/>
      <c r="X523" s="1"/>
      <c r="Y523" s="1"/>
      <c r="Z523" s="1"/>
      <c r="AA523" s="1"/>
    </row>
    <row r="524" spans="2:27" ht="13.2" x14ac:dyDescent="0.25">
      <c r="B524" s="1"/>
      <c r="C524" s="1"/>
      <c r="D524" s="1"/>
      <c r="E524" s="1"/>
      <c r="F524" s="1"/>
      <c r="G524" s="1"/>
      <c r="H524" s="1"/>
      <c r="K524" s="1"/>
      <c r="L524" s="1"/>
      <c r="M524" s="1"/>
      <c r="N524" s="1"/>
      <c r="O524" s="1"/>
      <c r="P524" s="1"/>
      <c r="Q524" s="1"/>
      <c r="R524" s="1"/>
      <c r="S524" s="1"/>
      <c r="T524" s="1"/>
      <c r="U524" s="1"/>
      <c r="V524" s="1"/>
      <c r="W524" s="1"/>
      <c r="X524" s="1"/>
      <c r="Y524" s="1"/>
      <c r="Z524" s="1"/>
      <c r="AA524" s="1"/>
    </row>
    <row r="525" spans="2:27" ht="13.2" x14ac:dyDescent="0.25">
      <c r="B525" s="1"/>
      <c r="C525" s="1"/>
      <c r="D525" s="1"/>
      <c r="E525" s="1"/>
      <c r="F525" s="1"/>
      <c r="G525" s="1"/>
      <c r="H525" s="1"/>
      <c r="K525" s="1"/>
      <c r="L525" s="1"/>
      <c r="M525" s="1"/>
      <c r="N525" s="1"/>
      <c r="O525" s="1"/>
      <c r="P525" s="1"/>
      <c r="Q525" s="1"/>
      <c r="R525" s="1"/>
      <c r="S525" s="1"/>
      <c r="T525" s="1"/>
      <c r="U525" s="1"/>
      <c r="V525" s="1"/>
      <c r="W525" s="1"/>
      <c r="X525" s="1"/>
      <c r="Y525" s="1"/>
      <c r="Z525" s="1"/>
      <c r="AA525" s="1"/>
    </row>
    <row r="526" spans="2:27" ht="13.2" x14ac:dyDescent="0.25">
      <c r="B526" s="1"/>
      <c r="C526" s="1"/>
      <c r="D526" s="1"/>
      <c r="E526" s="1"/>
      <c r="F526" s="1"/>
      <c r="G526" s="1"/>
      <c r="H526" s="1"/>
      <c r="K526" s="1"/>
      <c r="L526" s="1"/>
      <c r="M526" s="1"/>
      <c r="N526" s="1"/>
      <c r="O526" s="1"/>
      <c r="P526" s="1"/>
      <c r="Q526" s="1"/>
      <c r="R526" s="1"/>
      <c r="S526" s="1"/>
      <c r="T526" s="1"/>
      <c r="U526" s="1"/>
      <c r="V526" s="1"/>
      <c r="W526" s="1"/>
      <c r="X526" s="1"/>
      <c r="Y526" s="1"/>
      <c r="Z526" s="1"/>
      <c r="AA526" s="1"/>
    </row>
    <row r="527" spans="2:27" ht="13.2" x14ac:dyDescent="0.25">
      <c r="B527" s="1"/>
      <c r="C527" s="1"/>
      <c r="D527" s="1"/>
      <c r="E527" s="1"/>
      <c r="F527" s="1"/>
      <c r="G527" s="1"/>
      <c r="H527" s="1"/>
      <c r="K527" s="1"/>
      <c r="L527" s="1"/>
      <c r="M527" s="1"/>
      <c r="N527" s="1"/>
      <c r="O527" s="1"/>
      <c r="P527" s="1"/>
      <c r="Q527" s="1"/>
      <c r="R527" s="1"/>
      <c r="S527" s="1"/>
      <c r="T527" s="1"/>
      <c r="U527" s="1"/>
      <c r="V527" s="1"/>
      <c r="W527" s="1"/>
      <c r="X527" s="1"/>
      <c r="Y527" s="1"/>
      <c r="Z527" s="1"/>
      <c r="AA527" s="1"/>
    </row>
    <row r="528" spans="2:27" ht="13.2" x14ac:dyDescent="0.25">
      <c r="B528" s="1"/>
      <c r="C528" s="1"/>
      <c r="D528" s="1"/>
      <c r="E528" s="1"/>
      <c r="F528" s="1"/>
      <c r="G528" s="1"/>
      <c r="H528" s="1"/>
      <c r="K528" s="1"/>
      <c r="L528" s="1"/>
      <c r="M528" s="1"/>
      <c r="N528" s="1"/>
      <c r="O528" s="1"/>
      <c r="P528" s="1"/>
      <c r="Q528" s="1"/>
      <c r="R528" s="1"/>
      <c r="S528" s="1"/>
      <c r="T528" s="1"/>
      <c r="U528" s="1"/>
      <c r="V528" s="1"/>
      <c r="W528" s="1"/>
      <c r="X528" s="1"/>
      <c r="Y528" s="1"/>
      <c r="Z528" s="1"/>
      <c r="AA528" s="1"/>
    </row>
    <row r="529" spans="2:27" ht="13.2" x14ac:dyDescent="0.25">
      <c r="B529" s="1"/>
      <c r="C529" s="1"/>
      <c r="D529" s="1"/>
      <c r="E529" s="1"/>
      <c r="F529" s="1"/>
      <c r="G529" s="1"/>
      <c r="H529" s="1"/>
      <c r="K529" s="1"/>
      <c r="L529" s="1"/>
      <c r="M529" s="1"/>
      <c r="N529" s="1"/>
      <c r="O529" s="1"/>
      <c r="P529" s="1"/>
      <c r="Q529" s="1"/>
      <c r="R529" s="1"/>
      <c r="S529" s="1"/>
      <c r="T529" s="1"/>
      <c r="U529" s="1"/>
      <c r="V529" s="1"/>
      <c r="W529" s="1"/>
      <c r="X529" s="1"/>
      <c r="Y529" s="1"/>
      <c r="Z529" s="1"/>
      <c r="AA529" s="1"/>
    </row>
    <row r="530" spans="2:27" ht="13.2" x14ac:dyDescent="0.25">
      <c r="B530" s="1"/>
      <c r="C530" s="1"/>
      <c r="D530" s="1"/>
      <c r="E530" s="1"/>
      <c r="F530" s="1"/>
      <c r="G530" s="1"/>
      <c r="H530" s="1"/>
      <c r="K530" s="1"/>
      <c r="L530" s="1"/>
      <c r="M530" s="1"/>
      <c r="N530" s="1"/>
      <c r="O530" s="1"/>
      <c r="P530" s="1"/>
      <c r="Q530" s="1"/>
      <c r="R530" s="1"/>
      <c r="S530" s="1"/>
      <c r="T530" s="1"/>
      <c r="U530" s="1"/>
      <c r="V530" s="1"/>
      <c r="W530" s="1"/>
      <c r="X530" s="1"/>
      <c r="Y530" s="1"/>
      <c r="Z530" s="1"/>
      <c r="AA530" s="1"/>
    </row>
    <row r="531" spans="2:27" ht="13.2" x14ac:dyDescent="0.25">
      <c r="B531" s="1"/>
      <c r="C531" s="1"/>
      <c r="D531" s="1"/>
      <c r="E531" s="1"/>
      <c r="F531" s="1"/>
      <c r="G531" s="1"/>
      <c r="H531" s="1"/>
      <c r="K531" s="1"/>
      <c r="L531" s="1"/>
      <c r="M531" s="1"/>
      <c r="N531" s="1"/>
      <c r="O531" s="1"/>
      <c r="P531" s="1"/>
      <c r="Q531" s="1"/>
      <c r="R531" s="1"/>
      <c r="S531" s="1"/>
      <c r="T531" s="1"/>
      <c r="U531" s="1"/>
      <c r="V531" s="1"/>
      <c r="W531" s="1"/>
      <c r="X531" s="1"/>
      <c r="Y531" s="1"/>
      <c r="Z531" s="1"/>
      <c r="AA531" s="1"/>
    </row>
    <row r="532" spans="2:27" ht="13.2" x14ac:dyDescent="0.25">
      <c r="B532" s="1"/>
      <c r="C532" s="1"/>
      <c r="D532" s="1"/>
      <c r="E532" s="1"/>
      <c r="F532" s="1"/>
      <c r="G532" s="1"/>
      <c r="H532" s="1"/>
      <c r="K532" s="1"/>
      <c r="L532" s="1"/>
      <c r="M532" s="1"/>
      <c r="N532" s="1"/>
      <c r="O532" s="1"/>
      <c r="P532" s="1"/>
      <c r="Q532" s="1"/>
      <c r="R532" s="1"/>
      <c r="S532" s="1"/>
      <c r="T532" s="1"/>
      <c r="U532" s="1"/>
      <c r="V532" s="1"/>
      <c r="W532" s="1"/>
      <c r="X532" s="1"/>
      <c r="Y532" s="1"/>
      <c r="Z532" s="1"/>
      <c r="AA532" s="1"/>
    </row>
    <row r="533" spans="2:27" ht="13.2" x14ac:dyDescent="0.25">
      <c r="B533" s="1"/>
      <c r="C533" s="1"/>
      <c r="D533" s="1"/>
      <c r="E533" s="1"/>
      <c r="F533" s="1"/>
      <c r="G533" s="1"/>
      <c r="H533" s="1"/>
      <c r="K533" s="1"/>
      <c r="L533" s="1"/>
      <c r="M533" s="1"/>
      <c r="N533" s="1"/>
      <c r="O533" s="1"/>
      <c r="P533" s="1"/>
      <c r="Q533" s="1"/>
      <c r="R533" s="1"/>
      <c r="S533" s="1"/>
      <c r="T533" s="1"/>
      <c r="U533" s="1"/>
      <c r="V533" s="1"/>
      <c r="W533" s="1"/>
      <c r="X533" s="1"/>
      <c r="Y533" s="1"/>
      <c r="Z533" s="1"/>
      <c r="AA533" s="1"/>
    </row>
    <row r="534" spans="2:27" ht="13.2" x14ac:dyDescent="0.25">
      <c r="B534" s="1"/>
      <c r="C534" s="1"/>
      <c r="D534" s="1"/>
      <c r="E534" s="1"/>
      <c r="F534" s="1"/>
      <c r="G534" s="1"/>
      <c r="H534" s="1"/>
      <c r="K534" s="1"/>
      <c r="L534" s="1"/>
      <c r="M534" s="1"/>
      <c r="N534" s="1"/>
      <c r="O534" s="1"/>
      <c r="P534" s="1"/>
      <c r="Q534" s="1"/>
      <c r="R534" s="1"/>
      <c r="S534" s="1"/>
      <c r="T534" s="1"/>
      <c r="U534" s="1"/>
      <c r="V534" s="1"/>
      <c r="W534" s="1"/>
      <c r="X534" s="1"/>
      <c r="Y534" s="1"/>
      <c r="Z534" s="1"/>
      <c r="AA534" s="1"/>
    </row>
    <row r="535" spans="2:27" ht="13.2" x14ac:dyDescent="0.25">
      <c r="B535" s="1"/>
      <c r="C535" s="1"/>
      <c r="D535" s="1"/>
      <c r="E535" s="1"/>
      <c r="F535" s="1"/>
      <c r="G535" s="1"/>
      <c r="H535" s="1"/>
      <c r="K535" s="1"/>
      <c r="L535" s="1"/>
      <c r="M535" s="1"/>
      <c r="N535" s="1"/>
      <c r="O535" s="1"/>
      <c r="P535" s="1"/>
      <c r="Q535" s="1"/>
      <c r="R535" s="1"/>
      <c r="S535" s="1"/>
      <c r="T535" s="1"/>
      <c r="U535" s="1"/>
      <c r="V535" s="1"/>
      <c r="W535" s="1"/>
      <c r="X535" s="1"/>
      <c r="Y535" s="1"/>
      <c r="Z535" s="1"/>
      <c r="AA535" s="1"/>
    </row>
    <row r="536" spans="2:27" ht="13.2" x14ac:dyDescent="0.25">
      <c r="B536" s="1"/>
      <c r="C536" s="1"/>
      <c r="D536" s="1"/>
      <c r="E536" s="1"/>
      <c r="F536" s="1"/>
      <c r="G536" s="1"/>
      <c r="H536" s="1"/>
      <c r="K536" s="1"/>
      <c r="L536" s="1"/>
      <c r="M536" s="1"/>
      <c r="N536" s="1"/>
      <c r="O536" s="1"/>
      <c r="P536" s="1"/>
      <c r="Q536" s="1"/>
      <c r="R536" s="1"/>
      <c r="S536" s="1"/>
      <c r="T536" s="1"/>
      <c r="U536" s="1"/>
      <c r="V536" s="1"/>
      <c r="W536" s="1"/>
      <c r="X536" s="1"/>
      <c r="Y536" s="1"/>
      <c r="Z536" s="1"/>
      <c r="AA536" s="1"/>
    </row>
    <row r="537" spans="2:27" ht="13.2" x14ac:dyDescent="0.25">
      <c r="B537" s="1"/>
      <c r="C537" s="1"/>
      <c r="D537" s="1"/>
      <c r="E537" s="1"/>
      <c r="F537" s="1"/>
      <c r="G537" s="1"/>
      <c r="H537" s="1"/>
      <c r="K537" s="1"/>
      <c r="L537" s="1"/>
      <c r="M537" s="1"/>
      <c r="N537" s="1"/>
      <c r="O537" s="1"/>
      <c r="P537" s="1"/>
      <c r="Q537" s="1"/>
      <c r="R537" s="1"/>
      <c r="S537" s="1"/>
      <c r="T537" s="1"/>
      <c r="U537" s="1"/>
      <c r="V537" s="1"/>
      <c r="W537" s="1"/>
      <c r="X537" s="1"/>
      <c r="Y537" s="1"/>
      <c r="Z537" s="1"/>
      <c r="AA537" s="1"/>
    </row>
    <row r="538" spans="2:27" ht="13.2" x14ac:dyDescent="0.25">
      <c r="B538" s="1"/>
      <c r="C538" s="1"/>
      <c r="D538" s="1"/>
      <c r="E538" s="1"/>
      <c r="F538" s="1"/>
      <c r="G538" s="1"/>
      <c r="H538" s="1"/>
      <c r="K538" s="1"/>
      <c r="L538" s="1"/>
      <c r="M538" s="1"/>
      <c r="N538" s="1"/>
      <c r="O538" s="1"/>
      <c r="P538" s="1"/>
      <c r="Q538" s="1"/>
      <c r="R538" s="1"/>
      <c r="S538" s="1"/>
      <c r="T538" s="1"/>
      <c r="U538" s="1"/>
      <c r="V538" s="1"/>
      <c r="W538" s="1"/>
      <c r="X538" s="1"/>
      <c r="Y538" s="1"/>
      <c r="Z538" s="1"/>
      <c r="AA538" s="1"/>
    </row>
    <row r="539" spans="2:27" ht="13.2" x14ac:dyDescent="0.25">
      <c r="B539" s="1"/>
      <c r="C539" s="1"/>
      <c r="D539" s="1"/>
      <c r="E539" s="1"/>
      <c r="F539" s="1"/>
      <c r="G539" s="1"/>
      <c r="H539" s="1"/>
      <c r="K539" s="1"/>
      <c r="L539" s="1"/>
      <c r="M539" s="1"/>
      <c r="N539" s="1"/>
      <c r="O539" s="1"/>
      <c r="P539" s="1"/>
      <c r="Q539" s="1"/>
      <c r="R539" s="1"/>
      <c r="S539" s="1"/>
      <c r="T539" s="1"/>
      <c r="U539" s="1"/>
      <c r="V539" s="1"/>
      <c r="W539" s="1"/>
      <c r="X539" s="1"/>
      <c r="Y539" s="1"/>
      <c r="Z539" s="1"/>
      <c r="AA539" s="1"/>
    </row>
    <row r="540" spans="2:27" ht="13.2" x14ac:dyDescent="0.25">
      <c r="B540" s="1"/>
      <c r="C540" s="1"/>
      <c r="D540" s="1"/>
      <c r="E540" s="1"/>
      <c r="F540" s="1"/>
      <c r="G540" s="1"/>
      <c r="H540" s="1"/>
      <c r="K540" s="1"/>
      <c r="L540" s="1"/>
      <c r="M540" s="1"/>
      <c r="N540" s="1"/>
      <c r="O540" s="1"/>
      <c r="P540" s="1"/>
      <c r="Q540" s="1"/>
      <c r="R540" s="1"/>
      <c r="S540" s="1"/>
      <c r="T540" s="1"/>
      <c r="U540" s="1"/>
      <c r="V540" s="1"/>
      <c r="W540" s="1"/>
      <c r="X540" s="1"/>
      <c r="Y540" s="1"/>
      <c r="Z540" s="1"/>
      <c r="AA540" s="1"/>
    </row>
    <row r="541" spans="2:27" ht="13.2" x14ac:dyDescent="0.25">
      <c r="B541" s="1"/>
      <c r="C541" s="1"/>
      <c r="D541" s="1"/>
      <c r="E541" s="1"/>
      <c r="F541" s="1"/>
      <c r="G541" s="1"/>
      <c r="H541" s="1"/>
      <c r="K541" s="1"/>
      <c r="L541" s="1"/>
      <c r="M541" s="1"/>
      <c r="N541" s="1"/>
      <c r="O541" s="1"/>
      <c r="P541" s="1"/>
      <c r="Q541" s="1"/>
      <c r="R541" s="1"/>
      <c r="S541" s="1"/>
      <c r="T541" s="1"/>
      <c r="U541" s="1"/>
      <c r="V541" s="1"/>
      <c r="W541" s="1"/>
      <c r="X541" s="1"/>
      <c r="Y541" s="1"/>
      <c r="Z541" s="1"/>
      <c r="AA541" s="1"/>
    </row>
    <row r="542" spans="2:27" ht="13.2" x14ac:dyDescent="0.25">
      <c r="B542" s="1"/>
      <c r="C542" s="1"/>
      <c r="D542" s="1"/>
      <c r="E542" s="1"/>
      <c r="F542" s="1"/>
      <c r="G542" s="1"/>
      <c r="H542" s="1"/>
      <c r="K542" s="1"/>
      <c r="L542" s="1"/>
      <c r="M542" s="1"/>
      <c r="N542" s="1"/>
      <c r="O542" s="1"/>
      <c r="P542" s="1"/>
      <c r="Q542" s="1"/>
      <c r="R542" s="1"/>
      <c r="S542" s="1"/>
      <c r="T542" s="1"/>
      <c r="U542" s="1"/>
      <c r="V542" s="1"/>
      <c r="W542" s="1"/>
      <c r="X542" s="1"/>
      <c r="Y542" s="1"/>
      <c r="Z542" s="1"/>
      <c r="AA542" s="1"/>
    </row>
    <row r="543" spans="2:27" ht="13.2" x14ac:dyDescent="0.25">
      <c r="B543" s="1"/>
      <c r="C543" s="1"/>
      <c r="D543" s="1"/>
      <c r="E543" s="1"/>
      <c r="F543" s="1"/>
      <c r="G543" s="1"/>
      <c r="H543" s="1"/>
      <c r="K543" s="1"/>
      <c r="L543" s="1"/>
      <c r="M543" s="1"/>
      <c r="N543" s="1"/>
      <c r="O543" s="1"/>
      <c r="P543" s="1"/>
      <c r="Q543" s="1"/>
      <c r="R543" s="1"/>
      <c r="S543" s="1"/>
      <c r="T543" s="1"/>
      <c r="U543" s="1"/>
      <c r="V543" s="1"/>
      <c r="W543" s="1"/>
      <c r="X543" s="1"/>
      <c r="Y543" s="1"/>
      <c r="Z543" s="1"/>
      <c r="AA543" s="1"/>
    </row>
    <row r="544" spans="2:27" ht="13.2" x14ac:dyDescent="0.25">
      <c r="B544" s="1"/>
      <c r="C544" s="1"/>
      <c r="D544" s="1"/>
      <c r="E544" s="1"/>
      <c r="F544" s="1"/>
      <c r="G544" s="1"/>
      <c r="H544" s="1"/>
      <c r="K544" s="1"/>
      <c r="L544" s="1"/>
      <c r="M544" s="1"/>
      <c r="N544" s="1"/>
      <c r="O544" s="1"/>
      <c r="P544" s="1"/>
      <c r="Q544" s="1"/>
      <c r="R544" s="1"/>
      <c r="S544" s="1"/>
      <c r="T544" s="1"/>
      <c r="U544" s="1"/>
      <c r="V544" s="1"/>
      <c r="W544" s="1"/>
      <c r="X544" s="1"/>
      <c r="Y544" s="1"/>
      <c r="Z544" s="1"/>
      <c r="AA544" s="1"/>
    </row>
    <row r="545" spans="2:27" ht="13.2" x14ac:dyDescent="0.25">
      <c r="B545" s="1"/>
      <c r="C545" s="1"/>
      <c r="D545" s="1"/>
      <c r="E545" s="1"/>
      <c r="F545" s="1"/>
      <c r="G545" s="1"/>
      <c r="H545" s="1"/>
      <c r="K545" s="1"/>
      <c r="L545" s="1"/>
      <c r="M545" s="1"/>
      <c r="N545" s="1"/>
      <c r="O545" s="1"/>
      <c r="P545" s="1"/>
      <c r="Q545" s="1"/>
      <c r="R545" s="1"/>
      <c r="S545" s="1"/>
      <c r="T545" s="1"/>
      <c r="U545" s="1"/>
      <c r="V545" s="1"/>
      <c r="W545" s="1"/>
      <c r="X545" s="1"/>
      <c r="Y545" s="1"/>
      <c r="Z545" s="1"/>
      <c r="AA545" s="1"/>
    </row>
    <row r="546" spans="2:27" ht="13.2" x14ac:dyDescent="0.25">
      <c r="B546" s="1"/>
      <c r="C546" s="1"/>
      <c r="D546" s="1"/>
      <c r="E546" s="1"/>
      <c r="F546" s="1"/>
      <c r="G546" s="1"/>
      <c r="H546" s="1"/>
      <c r="K546" s="1"/>
      <c r="L546" s="1"/>
      <c r="M546" s="1"/>
      <c r="N546" s="1"/>
      <c r="O546" s="1"/>
      <c r="P546" s="1"/>
      <c r="Q546" s="1"/>
      <c r="R546" s="1"/>
      <c r="S546" s="1"/>
      <c r="T546" s="1"/>
      <c r="U546" s="1"/>
      <c r="V546" s="1"/>
      <c r="W546" s="1"/>
      <c r="X546" s="1"/>
      <c r="Y546" s="1"/>
      <c r="Z546" s="1"/>
      <c r="AA546" s="1"/>
    </row>
    <row r="547" spans="2:27" ht="13.2" x14ac:dyDescent="0.25">
      <c r="B547" s="1"/>
      <c r="C547" s="1"/>
      <c r="D547" s="1"/>
      <c r="E547" s="1"/>
      <c r="F547" s="1"/>
      <c r="G547" s="1"/>
      <c r="H547" s="1"/>
      <c r="K547" s="1"/>
      <c r="L547" s="1"/>
      <c r="M547" s="1"/>
      <c r="N547" s="1"/>
      <c r="O547" s="1"/>
      <c r="P547" s="1"/>
      <c r="Q547" s="1"/>
      <c r="R547" s="1"/>
      <c r="S547" s="1"/>
      <c r="T547" s="1"/>
      <c r="U547" s="1"/>
      <c r="V547" s="1"/>
      <c r="W547" s="1"/>
      <c r="X547" s="1"/>
      <c r="Y547" s="1"/>
      <c r="Z547" s="1"/>
      <c r="AA547" s="1"/>
    </row>
    <row r="548" spans="2:27" ht="13.2" x14ac:dyDescent="0.25">
      <c r="B548" s="1"/>
      <c r="C548" s="1"/>
      <c r="D548" s="1"/>
      <c r="E548" s="1"/>
      <c r="F548" s="1"/>
      <c r="G548" s="1"/>
      <c r="H548" s="1"/>
      <c r="K548" s="1"/>
      <c r="L548" s="1"/>
      <c r="M548" s="1"/>
      <c r="N548" s="1"/>
      <c r="O548" s="1"/>
      <c r="P548" s="1"/>
      <c r="Q548" s="1"/>
      <c r="R548" s="1"/>
      <c r="S548" s="1"/>
      <c r="T548" s="1"/>
      <c r="U548" s="1"/>
      <c r="V548" s="1"/>
      <c r="W548" s="1"/>
      <c r="X548" s="1"/>
      <c r="Y548" s="1"/>
      <c r="Z548" s="1"/>
      <c r="AA548" s="1"/>
    </row>
    <row r="549" spans="2:27" ht="13.2" x14ac:dyDescent="0.25">
      <c r="B549" s="1"/>
      <c r="C549" s="1"/>
      <c r="D549" s="1"/>
      <c r="E549" s="1"/>
      <c r="F549" s="1"/>
      <c r="G549" s="1"/>
      <c r="H549" s="1"/>
      <c r="K549" s="1"/>
      <c r="L549" s="1"/>
      <c r="M549" s="1"/>
      <c r="N549" s="1"/>
      <c r="O549" s="1"/>
      <c r="P549" s="1"/>
      <c r="Q549" s="1"/>
      <c r="R549" s="1"/>
      <c r="S549" s="1"/>
      <c r="T549" s="1"/>
      <c r="U549" s="1"/>
      <c r="V549" s="1"/>
      <c r="W549" s="1"/>
      <c r="X549" s="1"/>
      <c r="Y549" s="1"/>
      <c r="Z549" s="1"/>
      <c r="AA549" s="1"/>
    </row>
    <row r="550" spans="2:27" ht="13.2" x14ac:dyDescent="0.25">
      <c r="B550" s="1"/>
      <c r="C550" s="1"/>
      <c r="D550" s="1"/>
      <c r="E550" s="1"/>
      <c r="F550" s="1"/>
      <c r="G550" s="1"/>
      <c r="H550" s="1"/>
      <c r="K550" s="1"/>
      <c r="L550" s="1"/>
      <c r="M550" s="1"/>
      <c r="N550" s="1"/>
      <c r="O550" s="1"/>
      <c r="P550" s="1"/>
      <c r="Q550" s="1"/>
      <c r="R550" s="1"/>
      <c r="S550" s="1"/>
      <c r="T550" s="1"/>
      <c r="U550" s="1"/>
      <c r="V550" s="1"/>
      <c r="W550" s="1"/>
      <c r="X550" s="1"/>
      <c r="Y550" s="1"/>
      <c r="Z550" s="1"/>
      <c r="AA550" s="1"/>
    </row>
    <row r="551" spans="2:27" ht="13.2" x14ac:dyDescent="0.25">
      <c r="B551" s="1"/>
      <c r="C551" s="1"/>
      <c r="D551" s="1"/>
      <c r="E551" s="1"/>
      <c r="F551" s="1"/>
      <c r="G551" s="1"/>
      <c r="H551" s="1"/>
      <c r="K551" s="1"/>
      <c r="L551" s="1"/>
      <c r="M551" s="1"/>
      <c r="N551" s="1"/>
      <c r="O551" s="1"/>
      <c r="P551" s="1"/>
      <c r="Q551" s="1"/>
      <c r="R551" s="1"/>
      <c r="S551" s="1"/>
      <c r="T551" s="1"/>
      <c r="U551" s="1"/>
      <c r="V551" s="1"/>
      <c r="W551" s="1"/>
      <c r="X551" s="1"/>
      <c r="Y551" s="1"/>
      <c r="Z551" s="1"/>
      <c r="AA551" s="1"/>
    </row>
    <row r="552" spans="2:27" ht="13.2" x14ac:dyDescent="0.25">
      <c r="B552" s="1"/>
      <c r="C552" s="1"/>
      <c r="D552" s="1"/>
      <c r="E552" s="1"/>
      <c r="F552" s="1"/>
      <c r="G552" s="1"/>
      <c r="H552" s="1"/>
      <c r="K552" s="1"/>
      <c r="L552" s="1"/>
      <c r="M552" s="1"/>
      <c r="N552" s="1"/>
      <c r="O552" s="1"/>
      <c r="P552" s="1"/>
      <c r="Q552" s="1"/>
      <c r="R552" s="1"/>
      <c r="S552" s="1"/>
      <c r="T552" s="1"/>
      <c r="U552" s="1"/>
      <c r="V552" s="1"/>
      <c r="W552" s="1"/>
      <c r="X552" s="1"/>
      <c r="Y552" s="1"/>
      <c r="Z552" s="1"/>
      <c r="AA552" s="1"/>
    </row>
    <row r="553" spans="2:27" ht="13.2" x14ac:dyDescent="0.25">
      <c r="B553" s="1"/>
      <c r="C553" s="1"/>
      <c r="D553" s="1"/>
      <c r="E553" s="1"/>
      <c r="F553" s="1"/>
      <c r="G553" s="1"/>
      <c r="H553" s="1"/>
      <c r="K553" s="1"/>
      <c r="L553" s="1"/>
      <c r="M553" s="1"/>
      <c r="N553" s="1"/>
      <c r="O553" s="1"/>
      <c r="P553" s="1"/>
      <c r="Q553" s="1"/>
      <c r="R553" s="1"/>
      <c r="S553" s="1"/>
      <c r="T553" s="1"/>
      <c r="U553" s="1"/>
      <c r="V553" s="1"/>
      <c r="W553" s="1"/>
      <c r="X553" s="1"/>
      <c r="Y553" s="1"/>
      <c r="Z553" s="1"/>
      <c r="AA553" s="1"/>
    </row>
    <row r="554" spans="2:27" ht="13.2" x14ac:dyDescent="0.25">
      <c r="B554" s="1"/>
      <c r="C554" s="1"/>
      <c r="D554" s="1"/>
      <c r="E554" s="1"/>
      <c r="F554" s="1"/>
      <c r="G554" s="1"/>
      <c r="H554" s="1"/>
      <c r="K554" s="1"/>
      <c r="L554" s="1"/>
      <c r="M554" s="1"/>
      <c r="N554" s="1"/>
      <c r="O554" s="1"/>
      <c r="P554" s="1"/>
      <c r="Q554" s="1"/>
      <c r="R554" s="1"/>
      <c r="S554" s="1"/>
      <c r="T554" s="1"/>
      <c r="U554" s="1"/>
      <c r="V554" s="1"/>
      <c r="W554" s="1"/>
      <c r="X554" s="1"/>
      <c r="Y554" s="1"/>
      <c r="Z554" s="1"/>
      <c r="AA554" s="1"/>
    </row>
    <row r="555" spans="2:27" ht="13.2" x14ac:dyDescent="0.25">
      <c r="B555" s="1"/>
      <c r="C555" s="1"/>
      <c r="D555" s="1"/>
      <c r="E555" s="1"/>
      <c r="F555" s="1"/>
      <c r="G555" s="1"/>
      <c r="H555" s="1"/>
      <c r="K555" s="1"/>
      <c r="L555" s="1"/>
      <c r="M555" s="1"/>
      <c r="N555" s="1"/>
      <c r="O555" s="1"/>
      <c r="P555" s="1"/>
      <c r="Q555" s="1"/>
      <c r="R555" s="1"/>
      <c r="S555" s="1"/>
      <c r="T555" s="1"/>
      <c r="U555" s="1"/>
      <c r="V555" s="1"/>
      <c r="W555" s="1"/>
      <c r="X555" s="1"/>
      <c r="Y555" s="1"/>
      <c r="Z555" s="1"/>
      <c r="AA555" s="1"/>
    </row>
    <row r="556" spans="2:27" ht="13.2" x14ac:dyDescent="0.25">
      <c r="B556" s="1"/>
      <c r="C556" s="1"/>
      <c r="D556" s="1"/>
      <c r="E556" s="1"/>
      <c r="F556" s="1"/>
      <c r="G556" s="1"/>
      <c r="H556" s="1"/>
      <c r="K556" s="1"/>
      <c r="L556" s="1"/>
      <c r="M556" s="1"/>
      <c r="N556" s="1"/>
      <c r="O556" s="1"/>
      <c r="P556" s="1"/>
      <c r="Q556" s="1"/>
      <c r="R556" s="1"/>
      <c r="S556" s="1"/>
      <c r="T556" s="1"/>
      <c r="U556" s="1"/>
      <c r="V556" s="1"/>
      <c r="W556" s="1"/>
      <c r="X556" s="1"/>
      <c r="Y556" s="1"/>
      <c r="Z556" s="1"/>
      <c r="AA556" s="1"/>
    </row>
    <row r="557" spans="2:27" ht="13.2" x14ac:dyDescent="0.25">
      <c r="B557" s="1"/>
      <c r="C557" s="1"/>
      <c r="D557" s="1"/>
      <c r="E557" s="1"/>
      <c r="F557" s="1"/>
      <c r="G557" s="1"/>
      <c r="H557" s="1"/>
      <c r="K557" s="1"/>
      <c r="L557" s="1"/>
      <c r="M557" s="1"/>
      <c r="N557" s="1"/>
      <c r="O557" s="1"/>
      <c r="P557" s="1"/>
      <c r="Q557" s="1"/>
      <c r="R557" s="1"/>
      <c r="S557" s="1"/>
      <c r="T557" s="1"/>
      <c r="U557" s="1"/>
      <c r="V557" s="1"/>
      <c r="W557" s="1"/>
      <c r="X557" s="1"/>
      <c r="Y557" s="1"/>
      <c r="Z557" s="1"/>
      <c r="AA557" s="1"/>
    </row>
    <row r="558" spans="2:27" ht="13.2" x14ac:dyDescent="0.25">
      <c r="B558" s="1"/>
      <c r="C558" s="1"/>
      <c r="D558" s="1"/>
      <c r="E558" s="1"/>
      <c r="F558" s="1"/>
      <c r="G558" s="1"/>
      <c r="H558" s="1"/>
      <c r="K558" s="1"/>
      <c r="L558" s="1"/>
      <c r="M558" s="1"/>
      <c r="N558" s="1"/>
      <c r="O558" s="1"/>
      <c r="P558" s="1"/>
      <c r="Q558" s="1"/>
      <c r="R558" s="1"/>
      <c r="S558" s="1"/>
      <c r="T558" s="1"/>
      <c r="U558" s="1"/>
      <c r="V558" s="1"/>
      <c r="W558" s="1"/>
      <c r="X558" s="1"/>
      <c r="Y558" s="1"/>
      <c r="Z558" s="1"/>
      <c r="AA558" s="1"/>
    </row>
    <row r="559" spans="2:27" ht="13.2" x14ac:dyDescent="0.25">
      <c r="B559" s="1"/>
      <c r="C559" s="1"/>
      <c r="D559" s="1"/>
      <c r="E559" s="1"/>
      <c r="F559" s="1"/>
      <c r="G559" s="1"/>
      <c r="H559" s="1"/>
      <c r="K559" s="1"/>
      <c r="L559" s="1"/>
      <c r="M559" s="1"/>
      <c r="N559" s="1"/>
      <c r="O559" s="1"/>
      <c r="P559" s="1"/>
      <c r="Q559" s="1"/>
      <c r="R559" s="1"/>
      <c r="S559" s="1"/>
      <c r="T559" s="1"/>
      <c r="U559" s="1"/>
      <c r="V559" s="1"/>
      <c r="W559" s="1"/>
      <c r="X559" s="1"/>
      <c r="Y559" s="1"/>
      <c r="Z559" s="1"/>
      <c r="AA559" s="1"/>
    </row>
    <row r="560" spans="2:27" ht="13.2" x14ac:dyDescent="0.25">
      <c r="B560" s="1"/>
      <c r="C560" s="1"/>
      <c r="D560" s="1"/>
      <c r="E560" s="1"/>
      <c r="F560" s="1"/>
      <c r="G560" s="1"/>
      <c r="H560" s="1"/>
      <c r="K560" s="1"/>
      <c r="L560" s="1"/>
      <c r="M560" s="1"/>
      <c r="N560" s="1"/>
      <c r="O560" s="1"/>
      <c r="P560" s="1"/>
      <c r="Q560" s="1"/>
      <c r="R560" s="1"/>
      <c r="S560" s="1"/>
      <c r="T560" s="1"/>
      <c r="U560" s="1"/>
      <c r="V560" s="1"/>
      <c r="W560" s="1"/>
      <c r="X560" s="1"/>
      <c r="Y560" s="1"/>
      <c r="Z560" s="1"/>
      <c r="AA560" s="1"/>
    </row>
    <row r="561" spans="2:27" ht="13.2" x14ac:dyDescent="0.25">
      <c r="B561" s="1"/>
      <c r="C561" s="1"/>
      <c r="D561" s="1"/>
      <c r="E561" s="1"/>
      <c r="F561" s="1"/>
      <c r="G561" s="1"/>
      <c r="H561" s="1"/>
      <c r="K561" s="1"/>
      <c r="L561" s="1"/>
      <c r="M561" s="1"/>
      <c r="N561" s="1"/>
      <c r="O561" s="1"/>
      <c r="P561" s="1"/>
      <c r="Q561" s="1"/>
      <c r="R561" s="1"/>
      <c r="S561" s="1"/>
      <c r="T561" s="1"/>
      <c r="U561" s="1"/>
      <c r="V561" s="1"/>
      <c r="W561" s="1"/>
      <c r="X561" s="1"/>
      <c r="Y561" s="1"/>
      <c r="Z561" s="1"/>
      <c r="AA561" s="1"/>
    </row>
    <row r="562" spans="2:27" ht="13.2" x14ac:dyDescent="0.25">
      <c r="B562" s="1"/>
      <c r="C562" s="1"/>
      <c r="D562" s="1"/>
      <c r="E562" s="1"/>
      <c r="F562" s="1"/>
      <c r="G562" s="1"/>
      <c r="H562" s="1"/>
      <c r="K562" s="1"/>
      <c r="L562" s="1"/>
      <c r="M562" s="1"/>
      <c r="N562" s="1"/>
      <c r="O562" s="1"/>
      <c r="P562" s="1"/>
      <c r="Q562" s="1"/>
      <c r="R562" s="1"/>
      <c r="S562" s="1"/>
      <c r="T562" s="1"/>
      <c r="U562" s="1"/>
      <c r="V562" s="1"/>
      <c r="W562" s="1"/>
      <c r="X562" s="1"/>
      <c r="Y562" s="1"/>
      <c r="Z562" s="1"/>
      <c r="AA562" s="1"/>
    </row>
    <row r="563" spans="2:27" ht="13.2" x14ac:dyDescent="0.25">
      <c r="B563" s="1"/>
      <c r="C563" s="1"/>
      <c r="D563" s="1"/>
      <c r="E563" s="1"/>
      <c r="F563" s="1"/>
      <c r="G563" s="1"/>
      <c r="H563" s="1"/>
      <c r="K563" s="1"/>
      <c r="L563" s="1"/>
      <c r="M563" s="1"/>
      <c r="N563" s="1"/>
      <c r="O563" s="1"/>
      <c r="P563" s="1"/>
      <c r="Q563" s="1"/>
      <c r="R563" s="1"/>
      <c r="S563" s="1"/>
      <c r="T563" s="1"/>
      <c r="U563" s="1"/>
      <c r="V563" s="1"/>
      <c r="W563" s="1"/>
      <c r="X563" s="1"/>
      <c r="Y563" s="1"/>
      <c r="Z563" s="1"/>
      <c r="AA563" s="1"/>
    </row>
    <row r="564" spans="2:27" ht="13.2" x14ac:dyDescent="0.25">
      <c r="B564" s="1"/>
      <c r="C564" s="1"/>
      <c r="D564" s="1"/>
      <c r="E564" s="1"/>
      <c r="F564" s="1"/>
      <c r="G564" s="1"/>
      <c r="H564" s="1"/>
      <c r="K564" s="1"/>
      <c r="L564" s="1"/>
      <c r="M564" s="1"/>
      <c r="N564" s="1"/>
      <c r="O564" s="1"/>
      <c r="P564" s="1"/>
      <c r="Q564" s="1"/>
      <c r="R564" s="1"/>
      <c r="S564" s="1"/>
      <c r="T564" s="1"/>
      <c r="U564" s="1"/>
      <c r="V564" s="1"/>
      <c r="W564" s="1"/>
      <c r="X564" s="1"/>
      <c r="Y564" s="1"/>
      <c r="Z564" s="1"/>
      <c r="AA564" s="1"/>
    </row>
    <row r="565" spans="2:27" ht="13.2" x14ac:dyDescent="0.25">
      <c r="B565" s="1"/>
      <c r="C565" s="1"/>
      <c r="D565" s="1"/>
      <c r="E565" s="1"/>
      <c r="F565" s="1"/>
      <c r="G565" s="1"/>
      <c r="H565" s="1"/>
      <c r="K565" s="1"/>
      <c r="L565" s="1"/>
      <c r="M565" s="1"/>
      <c r="N565" s="1"/>
      <c r="O565" s="1"/>
      <c r="P565" s="1"/>
      <c r="Q565" s="1"/>
      <c r="R565" s="1"/>
      <c r="S565" s="1"/>
      <c r="T565" s="1"/>
      <c r="U565" s="1"/>
      <c r="V565" s="1"/>
      <c r="W565" s="1"/>
      <c r="X565" s="1"/>
      <c r="Y565" s="1"/>
      <c r="Z565" s="1"/>
      <c r="AA565" s="1"/>
    </row>
    <row r="566" spans="2:27" ht="13.2" x14ac:dyDescent="0.25">
      <c r="B566" s="1"/>
      <c r="C566" s="1"/>
      <c r="D566" s="1"/>
      <c r="E566" s="1"/>
      <c r="F566" s="1"/>
      <c r="G566" s="1"/>
      <c r="H566" s="1"/>
      <c r="K566" s="1"/>
      <c r="L566" s="1"/>
      <c r="M566" s="1"/>
      <c r="N566" s="1"/>
      <c r="O566" s="1"/>
      <c r="P566" s="1"/>
      <c r="Q566" s="1"/>
      <c r="R566" s="1"/>
      <c r="S566" s="1"/>
      <c r="T566" s="1"/>
      <c r="U566" s="1"/>
      <c r="V566" s="1"/>
      <c r="W566" s="1"/>
      <c r="X566" s="1"/>
      <c r="Y566" s="1"/>
      <c r="Z566" s="1"/>
      <c r="AA566" s="1"/>
    </row>
    <row r="567" spans="2:27" ht="13.2" x14ac:dyDescent="0.25">
      <c r="B567" s="1"/>
      <c r="C567" s="1"/>
      <c r="D567" s="1"/>
      <c r="E567" s="1"/>
      <c r="F567" s="1"/>
      <c r="G567" s="1"/>
      <c r="H567" s="1"/>
      <c r="K567" s="1"/>
      <c r="L567" s="1"/>
      <c r="M567" s="1"/>
      <c r="N567" s="1"/>
      <c r="O567" s="1"/>
      <c r="P567" s="1"/>
      <c r="Q567" s="1"/>
      <c r="R567" s="1"/>
      <c r="S567" s="1"/>
      <c r="T567" s="1"/>
      <c r="U567" s="1"/>
      <c r="V567" s="1"/>
      <c r="W567" s="1"/>
      <c r="X567" s="1"/>
      <c r="Y567" s="1"/>
      <c r="Z567" s="1"/>
      <c r="AA567" s="1"/>
    </row>
    <row r="568" spans="2:27" ht="13.2" x14ac:dyDescent="0.25">
      <c r="B568" s="1"/>
      <c r="C568" s="1"/>
      <c r="D568" s="1"/>
      <c r="E568" s="1"/>
      <c r="F568" s="1"/>
      <c r="G568" s="1"/>
      <c r="H568" s="1"/>
      <c r="K568" s="1"/>
      <c r="L568" s="1"/>
      <c r="M568" s="1"/>
      <c r="N568" s="1"/>
      <c r="O568" s="1"/>
      <c r="P568" s="1"/>
      <c r="Q568" s="1"/>
      <c r="R568" s="1"/>
      <c r="S568" s="1"/>
      <c r="T568" s="1"/>
      <c r="U568" s="1"/>
      <c r="V568" s="1"/>
      <c r="W568" s="1"/>
      <c r="X568" s="1"/>
      <c r="Y568" s="1"/>
      <c r="Z568" s="1"/>
      <c r="AA568" s="1"/>
    </row>
    <row r="569" spans="2:27" ht="13.2" x14ac:dyDescent="0.25">
      <c r="B569" s="1"/>
      <c r="C569" s="1"/>
      <c r="D569" s="1"/>
      <c r="E569" s="1"/>
      <c r="F569" s="1"/>
      <c r="G569" s="1"/>
      <c r="H569" s="1"/>
      <c r="K569" s="1"/>
      <c r="L569" s="1"/>
      <c r="M569" s="1"/>
      <c r="N569" s="1"/>
      <c r="O569" s="1"/>
      <c r="P569" s="1"/>
      <c r="Q569" s="1"/>
      <c r="R569" s="1"/>
      <c r="S569" s="1"/>
      <c r="T569" s="1"/>
      <c r="U569" s="1"/>
      <c r="V569" s="1"/>
      <c r="W569" s="1"/>
      <c r="X569" s="1"/>
      <c r="Y569" s="1"/>
      <c r="Z569" s="1"/>
      <c r="AA569" s="1"/>
    </row>
    <row r="570" spans="2:27" ht="13.2" x14ac:dyDescent="0.25">
      <c r="B570" s="1"/>
      <c r="C570" s="1"/>
      <c r="D570" s="1"/>
      <c r="E570" s="1"/>
      <c r="F570" s="1"/>
      <c r="G570" s="1"/>
      <c r="H570" s="1"/>
      <c r="K570" s="1"/>
      <c r="L570" s="1"/>
      <c r="M570" s="1"/>
      <c r="N570" s="1"/>
      <c r="O570" s="1"/>
      <c r="P570" s="1"/>
      <c r="Q570" s="1"/>
      <c r="R570" s="1"/>
      <c r="S570" s="1"/>
      <c r="T570" s="1"/>
      <c r="U570" s="1"/>
      <c r="V570" s="1"/>
      <c r="W570" s="1"/>
      <c r="X570" s="1"/>
      <c r="Y570" s="1"/>
      <c r="Z570" s="1"/>
      <c r="AA570" s="1"/>
    </row>
    <row r="571" spans="2:27" ht="13.2" x14ac:dyDescent="0.25">
      <c r="B571" s="1"/>
      <c r="C571" s="1"/>
      <c r="D571" s="1"/>
      <c r="E571" s="1"/>
      <c r="F571" s="1"/>
      <c r="G571" s="1"/>
      <c r="H571" s="1"/>
      <c r="K571" s="1"/>
      <c r="L571" s="1"/>
      <c r="M571" s="1"/>
      <c r="N571" s="1"/>
      <c r="O571" s="1"/>
      <c r="P571" s="1"/>
      <c r="Q571" s="1"/>
      <c r="R571" s="1"/>
      <c r="S571" s="1"/>
      <c r="T571" s="1"/>
      <c r="U571" s="1"/>
      <c r="V571" s="1"/>
      <c r="W571" s="1"/>
      <c r="X571" s="1"/>
      <c r="Y571" s="1"/>
      <c r="Z571" s="1"/>
      <c r="AA571" s="1"/>
    </row>
    <row r="572" spans="2:27" ht="13.2" x14ac:dyDescent="0.25">
      <c r="B572" s="1"/>
      <c r="C572" s="1"/>
      <c r="D572" s="1"/>
      <c r="E572" s="1"/>
      <c r="F572" s="1"/>
      <c r="G572" s="1"/>
      <c r="H572" s="1"/>
      <c r="K572" s="1"/>
      <c r="L572" s="1"/>
      <c r="M572" s="1"/>
      <c r="N572" s="1"/>
      <c r="O572" s="1"/>
      <c r="P572" s="1"/>
      <c r="Q572" s="1"/>
      <c r="R572" s="1"/>
      <c r="S572" s="1"/>
      <c r="T572" s="1"/>
      <c r="U572" s="1"/>
      <c r="V572" s="1"/>
      <c r="W572" s="1"/>
      <c r="X572" s="1"/>
      <c r="Y572" s="1"/>
      <c r="Z572" s="1"/>
      <c r="AA572" s="1"/>
    </row>
    <row r="573" spans="2:27" ht="13.2" x14ac:dyDescent="0.25">
      <c r="B573" s="1"/>
      <c r="C573" s="1"/>
      <c r="D573" s="1"/>
      <c r="E573" s="1"/>
      <c r="F573" s="1"/>
      <c r="G573" s="1"/>
      <c r="H573" s="1"/>
      <c r="K573" s="1"/>
      <c r="L573" s="1"/>
      <c r="M573" s="1"/>
      <c r="N573" s="1"/>
      <c r="O573" s="1"/>
      <c r="P573" s="1"/>
      <c r="Q573" s="1"/>
      <c r="R573" s="1"/>
      <c r="S573" s="1"/>
      <c r="T573" s="1"/>
      <c r="U573" s="1"/>
      <c r="V573" s="1"/>
      <c r="W573" s="1"/>
      <c r="X573" s="1"/>
      <c r="Y573" s="1"/>
      <c r="Z573" s="1"/>
      <c r="AA573" s="1"/>
    </row>
    <row r="574" spans="2:27" ht="13.2" x14ac:dyDescent="0.25">
      <c r="B574" s="1"/>
      <c r="C574" s="1"/>
      <c r="D574" s="1"/>
      <c r="E574" s="1"/>
      <c r="F574" s="1"/>
      <c r="G574" s="1"/>
      <c r="H574" s="1"/>
      <c r="K574" s="1"/>
      <c r="L574" s="1"/>
      <c r="M574" s="1"/>
      <c r="N574" s="1"/>
      <c r="O574" s="1"/>
      <c r="P574" s="1"/>
      <c r="Q574" s="1"/>
      <c r="R574" s="1"/>
      <c r="S574" s="1"/>
      <c r="T574" s="1"/>
      <c r="U574" s="1"/>
      <c r="V574" s="1"/>
      <c r="W574" s="1"/>
      <c r="X574" s="1"/>
      <c r="Y574" s="1"/>
      <c r="Z574" s="1"/>
      <c r="AA574" s="1"/>
    </row>
    <row r="575" spans="2:27" ht="13.2" x14ac:dyDescent="0.25">
      <c r="B575" s="1"/>
      <c r="C575" s="1"/>
      <c r="D575" s="1"/>
      <c r="E575" s="1"/>
      <c r="F575" s="1"/>
      <c r="G575" s="1"/>
      <c r="H575" s="1"/>
      <c r="K575" s="1"/>
      <c r="L575" s="1"/>
      <c r="M575" s="1"/>
      <c r="N575" s="1"/>
      <c r="O575" s="1"/>
      <c r="P575" s="1"/>
      <c r="Q575" s="1"/>
      <c r="R575" s="1"/>
      <c r="S575" s="1"/>
      <c r="T575" s="1"/>
      <c r="U575" s="1"/>
      <c r="V575" s="1"/>
      <c r="W575" s="1"/>
      <c r="X575" s="1"/>
      <c r="Y575" s="1"/>
      <c r="Z575" s="1"/>
      <c r="AA575" s="1"/>
    </row>
    <row r="576" spans="2:27" ht="13.2" x14ac:dyDescent="0.25">
      <c r="B576" s="1"/>
      <c r="C576" s="1"/>
      <c r="D576" s="1"/>
      <c r="E576" s="1"/>
      <c r="F576" s="1"/>
      <c r="G576" s="1"/>
      <c r="H576" s="1"/>
      <c r="K576" s="1"/>
      <c r="L576" s="1"/>
      <c r="M576" s="1"/>
      <c r="N576" s="1"/>
      <c r="O576" s="1"/>
      <c r="P576" s="1"/>
      <c r="Q576" s="1"/>
      <c r="R576" s="1"/>
      <c r="S576" s="1"/>
      <c r="T576" s="1"/>
      <c r="U576" s="1"/>
      <c r="V576" s="1"/>
      <c r="W576" s="1"/>
      <c r="X576" s="1"/>
      <c r="Y576" s="1"/>
      <c r="Z576" s="1"/>
      <c r="AA576" s="1"/>
    </row>
    <row r="577" spans="2:27" ht="13.2" x14ac:dyDescent="0.25">
      <c r="B577" s="1"/>
      <c r="C577" s="1"/>
      <c r="D577" s="1"/>
      <c r="E577" s="1"/>
      <c r="F577" s="1"/>
      <c r="G577" s="1"/>
      <c r="H577" s="1"/>
      <c r="K577" s="1"/>
      <c r="L577" s="1"/>
      <c r="M577" s="1"/>
      <c r="N577" s="1"/>
      <c r="O577" s="1"/>
      <c r="P577" s="1"/>
      <c r="Q577" s="1"/>
      <c r="R577" s="1"/>
      <c r="S577" s="1"/>
      <c r="T577" s="1"/>
      <c r="U577" s="1"/>
      <c r="V577" s="1"/>
      <c r="W577" s="1"/>
      <c r="X577" s="1"/>
      <c r="Y577" s="1"/>
      <c r="Z577" s="1"/>
      <c r="AA577" s="1"/>
    </row>
    <row r="578" spans="2:27" ht="13.2" x14ac:dyDescent="0.25">
      <c r="B578" s="1"/>
      <c r="C578" s="1"/>
      <c r="D578" s="1"/>
      <c r="E578" s="1"/>
      <c r="F578" s="1"/>
      <c r="G578" s="1"/>
      <c r="H578" s="1"/>
      <c r="K578" s="1"/>
      <c r="L578" s="1"/>
      <c r="M578" s="1"/>
      <c r="N578" s="1"/>
      <c r="O578" s="1"/>
      <c r="P578" s="1"/>
      <c r="Q578" s="1"/>
      <c r="R578" s="1"/>
      <c r="S578" s="1"/>
      <c r="T578" s="1"/>
      <c r="U578" s="1"/>
      <c r="V578" s="1"/>
      <c r="W578" s="1"/>
      <c r="X578" s="1"/>
      <c r="Y578" s="1"/>
      <c r="Z578" s="1"/>
      <c r="AA578" s="1"/>
    </row>
    <row r="579" spans="2:27" ht="13.2" x14ac:dyDescent="0.25">
      <c r="B579" s="1"/>
      <c r="C579" s="1"/>
      <c r="D579" s="1"/>
      <c r="E579" s="1"/>
      <c r="F579" s="1"/>
      <c r="G579" s="1"/>
      <c r="H579" s="1"/>
      <c r="K579" s="1"/>
      <c r="L579" s="1"/>
      <c r="M579" s="1"/>
      <c r="N579" s="1"/>
      <c r="O579" s="1"/>
      <c r="P579" s="1"/>
      <c r="Q579" s="1"/>
      <c r="R579" s="1"/>
      <c r="S579" s="1"/>
      <c r="T579" s="1"/>
      <c r="U579" s="1"/>
      <c r="V579" s="1"/>
      <c r="W579" s="1"/>
      <c r="X579" s="1"/>
      <c r="Y579" s="1"/>
      <c r="Z579" s="1"/>
      <c r="AA579" s="1"/>
    </row>
    <row r="580" spans="2:27" ht="13.2" x14ac:dyDescent="0.25">
      <c r="B580" s="1"/>
      <c r="C580" s="1"/>
      <c r="D580" s="1"/>
      <c r="E580" s="1"/>
      <c r="F580" s="1"/>
      <c r="G580" s="1"/>
      <c r="H580" s="1"/>
      <c r="K580" s="1"/>
      <c r="L580" s="1"/>
      <c r="M580" s="1"/>
      <c r="N580" s="1"/>
      <c r="O580" s="1"/>
      <c r="P580" s="1"/>
      <c r="Q580" s="1"/>
      <c r="R580" s="1"/>
      <c r="S580" s="1"/>
      <c r="T580" s="1"/>
      <c r="U580" s="1"/>
      <c r="V580" s="1"/>
      <c r="W580" s="1"/>
      <c r="X580" s="1"/>
      <c r="Y580" s="1"/>
      <c r="Z580" s="1"/>
      <c r="AA580" s="1"/>
    </row>
    <row r="581" spans="2:27" ht="13.2" x14ac:dyDescent="0.25">
      <c r="B581" s="1"/>
      <c r="C581" s="1"/>
      <c r="D581" s="1"/>
      <c r="E581" s="1"/>
      <c r="F581" s="1"/>
      <c r="G581" s="1"/>
      <c r="H581" s="1"/>
      <c r="K581" s="1"/>
      <c r="L581" s="1"/>
      <c r="M581" s="1"/>
      <c r="N581" s="1"/>
      <c r="O581" s="1"/>
      <c r="P581" s="1"/>
      <c r="Q581" s="1"/>
      <c r="R581" s="1"/>
      <c r="S581" s="1"/>
      <c r="T581" s="1"/>
      <c r="U581" s="1"/>
      <c r="V581" s="1"/>
      <c r="W581" s="1"/>
      <c r="X581" s="1"/>
      <c r="Y581" s="1"/>
      <c r="Z581" s="1"/>
      <c r="AA581" s="1"/>
    </row>
    <row r="582" spans="2:27" ht="13.2" x14ac:dyDescent="0.25">
      <c r="B582" s="1"/>
      <c r="C582" s="1"/>
      <c r="D582" s="1"/>
      <c r="E582" s="1"/>
      <c r="F582" s="1"/>
      <c r="G582" s="1"/>
      <c r="H582" s="1"/>
      <c r="K582" s="1"/>
      <c r="L582" s="1"/>
      <c r="M582" s="1"/>
      <c r="N582" s="1"/>
      <c r="O582" s="1"/>
      <c r="P582" s="1"/>
      <c r="Q582" s="1"/>
      <c r="R582" s="1"/>
      <c r="S582" s="1"/>
      <c r="T582" s="1"/>
      <c r="U582" s="1"/>
      <c r="V582" s="1"/>
      <c r="W582" s="1"/>
      <c r="X582" s="1"/>
      <c r="Y582" s="1"/>
      <c r="Z582" s="1"/>
      <c r="AA582" s="1"/>
    </row>
    <row r="583" spans="2:27" ht="13.2" x14ac:dyDescent="0.25">
      <c r="B583" s="1"/>
      <c r="C583" s="1"/>
      <c r="D583" s="1"/>
      <c r="E583" s="1"/>
      <c r="F583" s="1"/>
      <c r="G583" s="1"/>
      <c r="H583" s="1"/>
      <c r="K583" s="1"/>
      <c r="L583" s="1"/>
      <c r="M583" s="1"/>
      <c r="N583" s="1"/>
      <c r="O583" s="1"/>
      <c r="P583" s="1"/>
      <c r="Q583" s="1"/>
      <c r="R583" s="1"/>
      <c r="S583" s="1"/>
      <c r="T583" s="1"/>
      <c r="U583" s="1"/>
      <c r="V583" s="1"/>
      <c r="W583" s="1"/>
      <c r="X583" s="1"/>
      <c r="Y583" s="1"/>
      <c r="Z583" s="1"/>
      <c r="AA583" s="1"/>
    </row>
    <row r="584" spans="2:27" ht="13.2" x14ac:dyDescent="0.25">
      <c r="B584" s="1"/>
      <c r="C584" s="1"/>
      <c r="D584" s="1"/>
      <c r="E584" s="1"/>
      <c r="F584" s="1"/>
      <c r="G584" s="1"/>
      <c r="H584" s="1"/>
      <c r="K584" s="1"/>
      <c r="L584" s="1"/>
      <c r="M584" s="1"/>
      <c r="N584" s="1"/>
      <c r="O584" s="1"/>
      <c r="P584" s="1"/>
      <c r="Q584" s="1"/>
      <c r="R584" s="1"/>
      <c r="S584" s="1"/>
      <c r="T584" s="1"/>
      <c r="U584" s="1"/>
      <c r="V584" s="1"/>
      <c r="W584" s="1"/>
      <c r="X584" s="1"/>
      <c r="Y584" s="1"/>
      <c r="Z584" s="1"/>
      <c r="AA584" s="1"/>
    </row>
    <row r="585" spans="2:27" ht="13.2" x14ac:dyDescent="0.25">
      <c r="B585" s="1"/>
      <c r="C585" s="1"/>
      <c r="D585" s="1"/>
      <c r="E585" s="1"/>
      <c r="F585" s="1"/>
      <c r="G585" s="1"/>
      <c r="H585" s="1"/>
      <c r="K585" s="1"/>
      <c r="L585" s="1"/>
      <c r="M585" s="1"/>
      <c r="N585" s="1"/>
      <c r="O585" s="1"/>
      <c r="P585" s="1"/>
      <c r="Q585" s="1"/>
      <c r="R585" s="1"/>
      <c r="S585" s="1"/>
      <c r="T585" s="1"/>
      <c r="U585" s="1"/>
      <c r="V585" s="1"/>
      <c r="W585" s="1"/>
      <c r="X585" s="1"/>
      <c r="Y585" s="1"/>
      <c r="Z585" s="1"/>
      <c r="AA585" s="1"/>
    </row>
    <row r="586" spans="2:27" ht="13.2" x14ac:dyDescent="0.25">
      <c r="B586" s="1"/>
      <c r="C586" s="1"/>
      <c r="D586" s="1"/>
      <c r="E586" s="1"/>
      <c r="F586" s="1"/>
      <c r="G586" s="1"/>
      <c r="H586" s="1"/>
      <c r="K586" s="1"/>
      <c r="L586" s="1"/>
      <c r="M586" s="1"/>
      <c r="N586" s="1"/>
      <c r="O586" s="1"/>
      <c r="P586" s="1"/>
      <c r="Q586" s="1"/>
      <c r="R586" s="1"/>
      <c r="S586" s="1"/>
      <c r="T586" s="1"/>
      <c r="U586" s="1"/>
      <c r="V586" s="1"/>
      <c r="W586" s="1"/>
      <c r="X586" s="1"/>
      <c r="Y586" s="1"/>
      <c r="Z586" s="1"/>
      <c r="AA586" s="1"/>
    </row>
    <row r="587" spans="2:27" ht="13.2" x14ac:dyDescent="0.25">
      <c r="B587" s="1"/>
      <c r="C587" s="1"/>
      <c r="D587" s="1"/>
      <c r="E587" s="1"/>
      <c r="F587" s="1"/>
      <c r="G587" s="1"/>
      <c r="H587" s="1"/>
      <c r="K587" s="1"/>
      <c r="L587" s="1"/>
      <c r="M587" s="1"/>
      <c r="N587" s="1"/>
      <c r="O587" s="1"/>
      <c r="P587" s="1"/>
      <c r="Q587" s="1"/>
      <c r="R587" s="1"/>
      <c r="S587" s="1"/>
      <c r="T587" s="1"/>
      <c r="U587" s="1"/>
      <c r="V587" s="1"/>
      <c r="W587" s="1"/>
      <c r="X587" s="1"/>
      <c r="Y587" s="1"/>
      <c r="Z587" s="1"/>
      <c r="AA587" s="1"/>
    </row>
    <row r="588" spans="2:27" ht="13.2" x14ac:dyDescent="0.25">
      <c r="B588" s="1"/>
      <c r="C588" s="1"/>
      <c r="D588" s="1"/>
      <c r="E588" s="1"/>
      <c r="F588" s="1"/>
      <c r="G588" s="1"/>
      <c r="H588" s="1"/>
      <c r="K588" s="1"/>
      <c r="L588" s="1"/>
      <c r="M588" s="1"/>
      <c r="N588" s="1"/>
      <c r="O588" s="1"/>
      <c r="P588" s="1"/>
      <c r="Q588" s="1"/>
      <c r="R588" s="1"/>
      <c r="S588" s="1"/>
      <c r="T588" s="1"/>
      <c r="U588" s="1"/>
      <c r="V588" s="1"/>
      <c r="W588" s="1"/>
      <c r="X588" s="1"/>
      <c r="Y588" s="1"/>
      <c r="Z588" s="1"/>
      <c r="AA588" s="1"/>
    </row>
    <row r="589" spans="2:27" ht="13.2" x14ac:dyDescent="0.25">
      <c r="B589" s="1"/>
      <c r="C589" s="1"/>
      <c r="D589" s="1"/>
      <c r="E589" s="1"/>
      <c r="F589" s="1"/>
      <c r="G589" s="1"/>
      <c r="H589" s="1"/>
      <c r="K589" s="1"/>
      <c r="L589" s="1"/>
      <c r="M589" s="1"/>
      <c r="N589" s="1"/>
      <c r="O589" s="1"/>
      <c r="P589" s="1"/>
      <c r="Q589" s="1"/>
      <c r="R589" s="1"/>
      <c r="S589" s="1"/>
      <c r="T589" s="1"/>
      <c r="U589" s="1"/>
      <c r="V589" s="1"/>
      <c r="W589" s="1"/>
      <c r="X589" s="1"/>
      <c r="Y589" s="1"/>
      <c r="Z589" s="1"/>
      <c r="AA589" s="1"/>
    </row>
    <row r="590" spans="2:27" ht="13.2" x14ac:dyDescent="0.25">
      <c r="B590" s="1"/>
      <c r="C590" s="1"/>
      <c r="D590" s="1"/>
      <c r="E590" s="1"/>
      <c r="F590" s="1"/>
      <c r="G590" s="1"/>
      <c r="H590" s="1"/>
      <c r="K590" s="1"/>
      <c r="L590" s="1"/>
      <c r="M590" s="1"/>
      <c r="N590" s="1"/>
      <c r="O590" s="1"/>
      <c r="P590" s="1"/>
      <c r="Q590" s="1"/>
      <c r="R590" s="1"/>
      <c r="S590" s="1"/>
      <c r="T590" s="1"/>
      <c r="U590" s="1"/>
      <c r="V590" s="1"/>
      <c r="W590" s="1"/>
      <c r="X590" s="1"/>
      <c r="Y590" s="1"/>
      <c r="Z590" s="1"/>
      <c r="AA590" s="1"/>
    </row>
    <row r="591" spans="2:27" ht="13.2" x14ac:dyDescent="0.25">
      <c r="B591" s="1"/>
      <c r="C591" s="1"/>
      <c r="D591" s="1"/>
      <c r="E591" s="1"/>
      <c r="F591" s="1"/>
      <c r="G591" s="1"/>
      <c r="H591" s="1"/>
      <c r="K591" s="1"/>
      <c r="L591" s="1"/>
      <c r="M591" s="1"/>
      <c r="N591" s="1"/>
      <c r="O591" s="1"/>
      <c r="P591" s="1"/>
      <c r="Q591" s="1"/>
      <c r="R591" s="1"/>
      <c r="S591" s="1"/>
      <c r="T591" s="1"/>
      <c r="U591" s="1"/>
      <c r="V591" s="1"/>
      <c r="W591" s="1"/>
      <c r="X591" s="1"/>
      <c r="Y591" s="1"/>
      <c r="Z591" s="1"/>
      <c r="AA591" s="1"/>
    </row>
    <row r="592" spans="2:27" ht="13.2" x14ac:dyDescent="0.25">
      <c r="B592" s="1"/>
      <c r="C592" s="1"/>
      <c r="D592" s="1"/>
      <c r="E592" s="1"/>
      <c r="F592" s="1"/>
      <c r="G592" s="1"/>
      <c r="H592" s="1"/>
      <c r="K592" s="1"/>
      <c r="L592" s="1"/>
      <c r="M592" s="1"/>
      <c r="N592" s="1"/>
      <c r="O592" s="1"/>
      <c r="P592" s="1"/>
      <c r="Q592" s="1"/>
      <c r="R592" s="1"/>
      <c r="S592" s="1"/>
      <c r="T592" s="1"/>
      <c r="U592" s="1"/>
      <c r="V592" s="1"/>
      <c r="W592" s="1"/>
      <c r="X592" s="1"/>
      <c r="Y592" s="1"/>
      <c r="Z592" s="1"/>
      <c r="AA592" s="1"/>
    </row>
    <row r="593" spans="2:27" ht="13.2" x14ac:dyDescent="0.25">
      <c r="B593" s="1"/>
      <c r="C593" s="1"/>
      <c r="D593" s="1"/>
      <c r="E593" s="1"/>
      <c r="F593" s="1"/>
      <c r="G593" s="1"/>
      <c r="H593" s="1"/>
      <c r="K593" s="1"/>
      <c r="L593" s="1"/>
      <c r="M593" s="1"/>
      <c r="N593" s="1"/>
      <c r="O593" s="1"/>
      <c r="P593" s="1"/>
      <c r="Q593" s="1"/>
      <c r="R593" s="1"/>
      <c r="S593" s="1"/>
      <c r="T593" s="1"/>
      <c r="U593" s="1"/>
      <c r="V593" s="1"/>
      <c r="W593" s="1"/>
      <c r="X593" s="1"/>
      <c r="Y593" s="1"/>
      <c r="Z593" s="1"/>
      <c r="AA593" s="1"/>
    </row>
    <row r="594" spans="2:27" ht="13.2" x14ac:dyDescent="0.25">
      <c r="B594" s="1"/>
      <c r="C594" s="1"/>
      <c r="D594" s="1"/>
      <c r="E594" s="1"/>
      <c r="F594" s="1"/>
      <c r="G594" s="1"/>
      <c r="H594" s="1"/>
      <c r="K594" s="1"/>
      <c r="L594" s="1"/>
      <c r="M594" s="1"/>
      <c r="N594" s="1"/>
      <c r="O594" s="1"/>
      <c r="P594" s="1"/>
      <c r="Q594" s="1"/>
      <c r="R594" s="1"/>
      <c r="S594" s="1"/>
      <c r="T594" s="1"/>
      <c r="U594" s="1"/>
      <c r="V594" s="1"/>
      <c r="W594" s="1"/>
      <c r="X594" s="1"/>
      <c r="Y594" s="1"/>
      <c r="Z594" s="1"/>
      <c r="AA594" s="1"/>
    </row>
    <row r="595" spans="2:27" ht="13.2" x14ac:dyDescent="0.25">
      <c r="B595" s="1"/>
      <c r="C595" s="1"/>
      <c r="D595" s="1"/>
      <c r="E595" s="1"/>
      <c r="F595" s="1"/>
      <c r="G595" s="1"/>
      <c r="H595" s="1"/>
      <c r="K595" s="1"/>
      <c r="L595" s="1"/>
      <c r="M595" s="1"/>
      <c r="N595" s="1"/>
      <c r="O595" s="1"/>
      <c r="P595" s="1"/>
      <c r="Q595" s="1"/>
      <c r="R595" s="1"/>
      <c r="S595" s="1"/>
      <c r="T595" s="1"/>
      <c r="U595" s="1"/>
      <c r="V595" s="1"/>
      <c r="W595" s="1"/>
      <c r="X595" s="1"/>
      <c r="Y595" s="1"/>
      <c r="Z595" s="1"/>
      <c r="AA595" s="1"/>
    </row>
    <row r="596" spans="2:27" ht="13.2" x14ac:dyDescent="0.25">
      <c r="B596" s="1"/>
      <c r="C596" s="1"/>
      <c r="D596" s="1"/>
      <c r="E596" s="1"/>
      <c r="F596" s="1"/>
      <c r="G596" s="1"/>
      <c r="H596" s="1"/>
      <c r="K596" s="1"/>
      <c r="L596" s="1"/>
      <c r="M596" s="1"/>
      <c r="N596" s="1"/>
      <c r="O596" s="1"/>
      <c r="P596" s="1"/>
      <c r="Q596" s="1"/>
      <c r="R596" s="1"/>
      <c r="S596" s="1"/>
      <c r="T596" s="1"/>
      <c r="U596" s="1"/>
      <c r="V596" s="1"/>
      <c r="W596" s="1"/>
      <c r="X596" s="1"/>
      <c r="Y596" s="1"/>
      <c r="Z596" s="1"/>
      <c r="AA596" s="1"/>
    </row>
    <row r="597" spans="2:27" ht="13.2" x14ac:dyDescent="0.25">
      <c r="B597" s="1"/>
      <c r="C597" s="1"/>
      <c r="D597" s="1"/>
      <c r="E597" s="1"/>
      <c r="F597" s="1"/>
      <c r="G597" s="1"/>
      <c r="H597" s="1"/>
      <c r="K597" s="1"/>
      <c r="L597" s="1"/>
      <c r="M597" s="1"/>
      <c r="N597" s="1"/>
      <c r="O597" s="1"/>
      <c r="P597" s="1"/>
      <c r="Q597" s="1"/>
      <c r="R597" s="1"/>
      <c r="S597" s="1"/>
      <c r="T597" s="1"/>
      <c r="U597" s="1"/>
      <c r="V597" s="1"/>
      <c r="W597" s="1"/>
      <c r="X597" s="1"/>
      <c r="Y597" s="1"/>
      <c r="Z597" s="1"/>
      <c r="AA597" s="1"/>
    </row>
    <row r="598" spans="2:27" ht="13.2" x14ac:dyDescent="0.25">
      <c r="B598" s="1"/>
      <c r="C598" s="1"/>
      <c r="D598" s="1"/>
      <c r="E598" s="1"/>
      <c r="F598" s="1"/>
      <c r="G598" s="1"/>
      <c r="H598" s="1"/>
      <c r="K598" s="1"/>
      <c r="L598" s="1"/>
      <c r="M598" s="1"/>
      <c r="N598" s="1"/>
      <c r="O598" s="1"/>
      <c r="P598" s="1"/>
      <c r="Q598" s="1"/>
      <c r="R598" s="1"/>
      <c r="S598" s="1"/>
      <c r="T598" s="1"/>
      <c r="U598" s="1"/>
      <c r="V598" s="1"/>
      <c r="W598" s="1"/>
      <c r="X598" s="1"/>
      <c r="Y598" s="1"/>
      <c r="Z598" s="1"/>
      <c r="AA598" s="1"/>
    </row>
    <row r="599" spans="2:27" ht="13.2" x14ac:dyDescent="0.25">
      <c r="B599" s="1"/>
      <c r="C599" s="1"/>
      <c r="D599" s="1"/>
      <c r="E599" s="1"/>
      <c r="F599" s="1"/>
      <c r="G599" s="1"/>
      <c r="H599" s="1"/>
      <c r="K599" s="1"/>
      <c r="L599" s="1"/>
      <c r="M599" s="1"/>
      <c r="N599" s="1"/>
      <c r="O599" s="1"/>
      <c r="P599" s="1"/>
      <c r="Q599" s="1"/>
      <c r="R599" s="1"/>
      <c r="S599" s="1"/>
      <c r="T599" s="1"/>
      <c r="U599" s="1"/>
      <c r="V599" s="1"/>
      <c r="W599" s="1"/>
      <c r="X599" s="1"/>
      <c r="Y599" s="1"/>
      <c r="Z599" s="1"/>
      <c r="AA599" s="1"/>
    </row>
    <row r="600" spans="2:27" ht="13.2" x14ac:dyDescent="0.25">
      <c r="B600" s="1"/>
      <c r="C600" s="1"/>
      <c r="D600" s="1"/>
      <c r="E600" s="1"/>
      <c r="F600" s="1"/>
      <c r="G600" s="1"/>
      <c r="H600" s="1"/>
      <c r="K600" s="1"/>
      <c r="L600" s="1"/>
      <c r="M600" s="1"/>
      <c r="N600" s="1"/>
      <c r="O600" s="1"/>
      <c r="P600" s="1"/>
      <c r="Q600" s="1"/>
      <c r="R600" s="1"/>
      <c r="S600" s="1"/>
      <c r="T600" s="1"/>
      <c r="U600" s="1"/>
      <c r="V600" s="1"/>
      <c r="W600" s="1"/>
      <c r="X600" s="1"/>
      <c r="Y600" s="1"/>
      <c r="Z600" s="1"/>
      <c r="AA600" s="1"/>
    </row>
    <row r="601" spans="2:27" ht="13.2" x14ac:dyDescent="0.25">
      <c r="B601" s="1"/>
      <c r="C601" s="1"/>
      <c r="D601" s="1"/>
      <c r="E601" s="1"/>
      <c r="F601" s="1"/>
      <c r="G601" s="1"/>
      <c r="H601" s="1"/>
      <c r="K601" s="1"/>
      <c r="L601" s="1"/>
      <c r="M601" s="1"/>
      <c r="N601" s="1"/>
      <c r="O601" s="1"/>
      <c r="P601" s="1"/>
      <c r="Q601" s="1"/>
      <c r="R601" s="1"/>
      <c r="S601" s="1"/>
      <c r="T601" s="1"/>
      <c r="U601" s="1"/>
      <c r="V601" s="1"/>
      <c r="W601" s="1"/>
      <c r="X601" s="1"/>
      <c r="Y601" s="1"/>
      <c r="Z601" s="1"/>
      <c r="AA601" s="1"/>
    </row>
    <row r="602" spans="2:27" ht="13.2" x14ac:dyDescent="0.25">
      <c r="B602" s="1"/>
      <c r="C602" s="1"/>
      <c r="D602" s="1"/>
      <c r="E602" s="1"/>
      <c r="F602" s="1"/>
      <c r="G602" s="1"/>
      <c r="H602" s="1"/>
      <c r="K602" s="1"/>
      <c r="L602" s="1"/>
      <c r="M602" s="1"/>
      <c r="N602" s="1"/>
      <c r="O602" s="1"/>
      <c r="P602" s="1"/>
      <c r="Q602" s="1"/>
      <c r="R602" s="1"/>
      <c r="S602" s="1"/>
      <c r="T602" s="1"/>
      <c r="U602" s="1"/>
      <c r="V602" s="1"/>
      <c r="W602" s="1"/>
      <c r="X602" s="1"/>
      <c r="Y602" s="1"/>
      <c r="Z602" s="1"/>
      <c r="AA602" s="1"/>
    </row>
    <row r="603" spans="2:27" ht="13.2" x14ac:dyDescent="0.25">
      <c r="B603" s="1"/>
      <c r="C603" s="1"/>
      <c r="D603" s="1"/>
      <c r="E603" s="1"/>
      <c r="F603" s="1"/>
      <c r="G603" s="1"/>
      <c r="H603" s="1"/>
      <c r="K603" s="1"/>
      <c r="L603" s="1"/>
      <c r="M603" s="1"/>
      <c r="N603" s="1"/>
      <c r="O603" s="1"/>
      <c r="P603" s="1"/>
      <c r="Q603" s="1"/>
      <c r="R603" s="1"/>
      <c r="S603" s="1"/>
      <c r="T603" s="1"/>
      <c r="U603" s="1"/>
      <c r="V603" s="1"/>
      <c r="W603" s="1"/>
      <c r="X603" s="1"/>
      <c r="Y603" s="1"/>
      <c r="Z603" s="1"/>
      <c r="AA603" s="1"/>
    </row>
    <row r="604" spans="2:27" ht="13.2" x14ac:dyDescent="0.25">
      <c r="B604" s="1"/>
      <c r="C604" s="1"/>
      <c r="D604" s="1"/>
      <c r="E604" s="1"/>
      <c r="F604" s="1"/>
      <c r="G604" s="1"/>
      <c r="H604" s="1"/>
      <c r="K604" s="1"/>
      <c r="L604" s="1"/>
      <c r="M604" s="1"/>
      <c r="N604" s="1"/>
      <c r="O604" s="1"/>
      <c r="P604" s="1"/>
      <c r="Q604" s="1"/>
      <c r="R604" s="1"/>
      <c r="S604" s="1"/>
      <c r="T604" s="1"/>
      <c r="U604" s="1"/>
      <c r="V604" s="1"/>
      <c r="W604" s="1"/>
      <c r="X604" s="1"/>
      <c r="Y604" s="1"/>
      <c r="Z604" s="1"/>
      <c r="AA604" s="1"/>
    </row>
    <row r="605" spans="2:27" ht="13.2" x14ac:dyDescent="0.25">
      <c r="B605" s="1"/>
      <c r="C605" s="1"/>
      <c r="D605" s="1"/>
      <c r="E605" s="1"/>
      <c r="F605" s="1"/>
      <c r="G605" s="1"/>
      <c r="H605" s="1"/>
      <c r="K605" s="1"/>
      <c r="L605" s="1"/>
      <c r="M605" s="1"/>
      <c r="N605" s="1"/>
      <c r="O605" s="1"/>
      <c r="P605" s="1"/>
      <c r="Q605" s="1"/>
      <c r="R605" s="1"/>
      <c r="S605" s="1"/>
      <c r="T605" s="1"/>
      <c r="U605" s="1"/>
      <c r="V605" s="1"/>
      <c r="W605" s="1"/>
      <c r="X605" s="1"/>
      <c r="Y605" s="1"/>
      <c r="Z605" s="1"/>
      <c r="AA605" s="1"/>
    </row>
    <row r="606" spans="2:27" ht="13.2" x14ac:dyDescent="0.25">
      <c r="B606" s="1"/>
      <c r="C606" s="1"/>
      <c r="D606" s="1"/>
      <c r="E606" s="1"/>
      <c r="F606" s="1"/>
      <c r="G606" s="1"/>
      <c r="H606" s="1"/>
      <c r="K606" s="1"/>
      <c r="L606" s="1"/>
      <c r="M606" s="1"/>
      <c r="N606" s="1"/>
      <c r="O606" s="1"/>
      <c r="P606" s="1"/>
      <c r="Q606" s="1"/>
      <c r="R606" s="1"/>
      <c r="S606" s="1"/>
      <c r="T606" s="1"/>
      <c r="U606" s="1"/>
      <c r="V606" s="1"/>
      <c r="W606" s="1"/>
      <c r="X606" s="1"/>
      <c r="Y606" s="1"/>
      <c r="Z606" s="1"/>
      <c r="AA606" s="1"/>
    </row>
    <row r="607" spans="2:27" ht="13.2" x14ac:dyDescent="0.25">
      <c r="B607" s="1"/>
      <c r="C607" s="1"/>
      <c r="D607" s="1"/>
      <c r="E607" s="1"/>
      <c r="F607" s="1"/>
      <c r="G607" s="1"/>
      <c r="H607" s="1"/>
      <c r="K607" s="1"/>
      <c r="L607" s="1"/>
      <c r="M607" s="1"/>
      <c r="N607" s="1"/>
      <c r="O607" s="1"/>
      <c r="P607" s="1"/>
      <c r="Q607" s="1"/>
      <c r="R607" s="1"/>
      <c r="S607" s="1"/>
      <c r="T607" s="1"/>
      <c r="U607" s="1"/>
      <c r="V607" s="1"/>
      <c r="W607" s="1"/>
      <c r="X607" s="1"/>
      <c r="Y607" s="1"/>
      <c r="Z607" s="1"/>
      <c r="AA607" s="1"/>
    </row>
    <row r="608" spans="2:27" ht="13.2" x14ac:dyDescent="0.25">
      <c r="B608" s="1"/>
      <c r="C608" s="1"/>
      <c r="D608" s="1"/>
      <c r="E608" s="1"/>
      <c r="F608" s="1"/>
      <c r="G608" s="1"/>
      <c r="H608" s="1"/>
      <c r="K608" s="1"/>
      <c r="L608" s="1"/>
      <c r="M608" s="1"/>
      <c r="N608" s="1"/>
      <c r="O608" s="1"/>
      <c r="P608" s="1"/>
      <c r="Q608" s="1"/>
      <c r="R608" s="1"/>
      <c r="S608" s="1"/>
      <c r="T608" s="1"/>
      <c r="U608" s="1"/>
      <c r="V608" s="1"/>
      <c r="W608" s="1"/>
      <c r="X608" s="1"/>
      <c r="Y608" s="1"/>
      <c r="Z608" s="1"/>
      <c r="AA608" s="1"/>
    </row>
    <row r="609" spans="2:27" ht="13.2" x14ac:dyDescent="0.25">
      <c r="B609" s="1"/>
      <c r="C609" s="1"/>
      <c r="D609" s="1"/>
      <c r="E609" s="1"/>
      <c r="F609" s="1"/>
      <c r="G609" s="1"/>
      <c r="H609" s="1"/>
      <c r="K609" s="1"/>
      <c r="L609" s="1"/>
      <c r="M609" s="1"/>
      <c r="N609" s="1"/>
      <c r="O609" s="1"/>
      <c r="P609" s="1"/>
      <c r="Q609" s="1"/>
      <c r="R609" s="1"/>
      <c r="S609" s="1"/>
      <c r="T609" s="1"/>
      <c r="U609" s="1"/>
      <c r="V609" s="1"/>
      <c r="W609" s="1"/>
      <c r="X609" s="1"/>
      <c r="Y609" s="1"/>
      <c r="Z609" s="1"/>
      <c r="AA609" s="1"/>
    </row>
    <row r="610" spans="2:27" ht="13.2" x14ac:dyDescent="0.25">
      <c r="B610" s="1"/>
      <c r="C610" s="1"/>
      <c r="D610" s="1"/>
      <c r="E610" s="1"/>
      <c r="F610" s="1"/>
      <c r="G610" s="1"/>
      <c r="H610" s="1"/>
      <c r="K610" s="1"/>
      <c r="L610" s="1"/>
      <c r="M610" s="1"/>
      <c r="N610" s="1"/>
      <c r="O610" s="1"/>
      <c r="P610" s="1"/>
      <c r="Q610" s="1"/>
      <c r="R610" s="1"/>
      <c r="S610" s="1"/>
      <c r="T610" s="1"/>
      <c r="U610" s="1"/>
      <c r="V610" s="1"/>
      <c r="W610" s="1"/>
      <c r="X610" s="1"/>
      <c r="Y610" s="1"/>
      <c r="Z610" s="1"/>
      <c r="AA610" s="1"/>
    </row>
    <row r="611" spans="2:27" ht="13.2" x14ac:dyDescent="0.25">
      <c r="B611" s="1"/>
      <c r="C611" s="1"/>
      <c r="D611" s="1"/>
      <c r="E611" s="1"/>
      <c r="F611" s="1"/>
      <c r="G611" s="1"/>
      <c r="H611" s="1"/>
      <c r="K611" s="1"/>
      <c r="L611" s="1"/>
      <c r="M611" s="1"/>
      <c r="N611" s="1"/>
      <c r="O611" s="1"/>
      <c r="P611" s="1"/>
      <c r="Q611" s="1"/>
      <c r="R611" s="1"/>
      <c r="S611" s="1"/>
      <c r="T611" s="1"/>
      <c r="U611" s="1"/>
      <c r="V611" s="1"/>
      <c r="W611" s="1"/>
      <c r="X611" s="1"/>
      <c r="Y611" s="1"/>
      <c r="Z611" s="1"/>
      <c r="AA611" s="1"/>
    </row>
    <row r="612" spans="2:27" ht="13.2" x14ac:dyDescent="0.25">
      <c r="B612" s="1"/>
      <c r="C612" s="1"/>
      <c r="D612" s="1"/>
      <c r="E612" s="1"/>
      <c r="F612" s="1"/>
      <c r="G612" s="1"/>
      <c r="H612" s="1"/>
      <c r="K612" s="1"/>
      <c r="L612" s="1"/>
      <c r="M612" s="1"/>
      <c r="N612" s="1"/>
      <c r="O612" s="1"/>
      <c r="P612" s="1"/>
      <c r="Q612" s="1"/>
      <c r="R612" s="1"/>
      <c r="S612" s="1"/>
      <c r="T612" s="1"/>
      <c r="U612" s="1"/>
      <c r="V612" s="1"/>
      <c r="W612" s="1"/>
      <c r="X612" s="1"/>
      <c r="Y612" s="1"/>
      <c r="Z612" s="1"/>
      <c r="AA612" s="1"/>
    </row>
    <row r="613" spans="2:27" ht="13.2" x14ac:dyDescent="0.25">
      <c r="B613" s="1"/>
      <c r="C613" s="1"/>
      <c r="D613" s="1"/>
      <c r="E613" s="1"/>
      <c r="F613" s="1"/>
      <c r="G613" s="1"/>
      <c r="H613" s="1"/>
      <c r="K613" s="1"/>
      <c r="L613" s="1"/>
      <c r="M613" s="1"/>
      <c r="N613" s="1"/>
      <c r="O613" s="1"/>
      <c r="P613" s="1"/>
      <c r="Q613" s="1"/>
      <c r="R613" s="1"/>
      <c r="S613" s="1"/>
      <c r="T613" s="1"/>
      <c r="U613" s="1"/>
      <c r="V613" s="1"/>
      <c r="W613" s="1"/>
      <c r="X613" s="1"/>
      <c r="Y613" s="1"/>
      <c r="Z613" s="1"/>
      <c r="AA613" s="1"/>
    </row>
    <row r="614" spans="2:27" ht="13.2" x14ac:dyDescent="0.25">
      <c r="B614" s="1"/>
      <c r="C614" s="1"/>
      <c r="D614" s="1"/>
      <c r="E614" s="1"/>
      <c r="F614" s="1"/>
      <c r="G614" s="1"/>
      <c r="H614" s="1"/>
      <c r="K614" s="1"/>
      <c r="L614" s="1"/>
      <c r="M614" s="1"/>
      <c r="N614" s="1"/>
      <c r="O614" s="1"/>
      <c r="P614" s="1"/>
      <c r="Q614" s="1"/>
      <c r="R614" s="1"/>
      <c r="S614" s="1"/>
      <c r="T614" s="1"/>
      <c r="U614" s="1"/>
      <c r="V614" s="1"/>
      <c r="W614" s="1"/>
      <c r="X614" s="1"/>
      <c r="Y614" s="1"/>
      <c r="Z614" s="1"/>
      <c r="AA614" s="1"/>
    </row>
    <row r="615" spans="2:27" ht="13.2" x14ac:dyDescent="0.25">
      <c r="B615" s="1"/>
      <c r="C615" s="1"/>
      <c r="D615" s="1"/>
      <c r="E615" s="1"/>
      <c r="F615" s="1"/>
      <c r="G615" s="1"/>
      <c r="H615" s="1"/>
      <c r="K615" s="1"/>
      <c r="L615" s="1"/>
      <c r="M615" s="1"/>
      <c r="N615" s="1"/>
      <c r="O615" s="1"/>
      <c r="P615" s="1"/>
      <c r="Q615" s="1"/>
      <c r="R615" s="1"/>
      <c r="S615" s="1"/>
      <c r="T615" s="1"/>
      <c r="U615" s="1"/>
      <c r="V615" s="1"/>
      <c r="W615" s="1"/>
      <c r="X615" s="1"/>
      <c r="Y615" s="1"/>
      <c r="Z615" s="1"/>
      <c r="AA615" s="1"/>
    </row>
    <row r="616" spans="2:27" ht="13.2" x14ac:dyDescent="0.25">
      <c r="B616" s="1"/>
      <c r="C616" s="1"/>
      <c r="D616" s="1"/>
      <c r="E616" s="1"/>
      <c r="F616" s="1"/>
      <c r="G616" s="1"/>
      <c r="H616" s="1"/>
      <c r="K616" s="1"/>
      <c r="L616" s="1"/>
      <c r="M616" s="1"/>
      <c r="N616" s="1"/>
      <c r="O616" s="1"/>
      <c r="P616" s="1"/>
      <c r="Q616" s="1"/>
      <c r="R616" s="1"/>
      <c r="S616" s="1"/>
      <c r="T616" s="1"/>
      <c r="U616" s="1"/>
      <c r="V616" s="1"/>
      <c r="W616" s="1"/>
      <c r="X616" s="1"/>
      <c r="Y616" s="1"/>
      <c r="Z616" s="1"/>
      <c r="AA616" s="1"/>
    </row>
    <row r="617" spans="2:27" ht="13.2" x14ac:dyDescent="0.25">
      <c r="B617" s="1"/>
      <c r="C617" s="1"/>
      <c r="D617" s="1"/>
      <c r="E617" s="1"/>
      <c r="F617" s="1"/>
      <c r="G617" s="1"/>
      <c r="H617" s="1"/>
      <c r="K617" s="1"/>
      <c r="L617" s="1"/>
      <c r="M617" s="1"/>
      <c r="N617" s="1"/>
      <c r="O617" s="1"/>
      <c r="P617" s="1"/>
      <c r="Q617" s="1"/>
      <c r="R617" s="1"/>
      <c r="S617" s="1"/>
      <c r="T617" s="1"/>
      <c r="U617" s="1"/>
      <c r="V617" s="1"/>
      <c r="W617" s="1"/>
      <c r="X617" s="1"/>
      <c r="Y617" s="1"/>
      <c r="Z617" s="1"/>
      <c r="AA617" s="1"/>
    </row>
    <row r="618" spans="2:27" ht="13.2" x14ac:dyDescent="0.25">
      <c r="B618" s="1"/>
      <c r="C618" s="1"/>
      <c r="D618" s="1"/>
      <c r="E618" s="1"/>
      <c r="F618" s="1"/>
      <c r="G618" s="1"/>
      <c r="H618" s="1"/>
      <c r="K618" s="1"/>
      <c r="L618" s="1"/>
      <c r="M618" s="1"/>
      <c r="N618" s="1"/>
      <c r="O618" s="1"/>
      <c r="P618" s="1"/>
      <c r="Q618" s="1"/>
      <c r="R618" s="1"/>
      <c r="S618" s="1"/>
      <c r="T618" s="1"/>
      <c r="U618" s="1"/>
      <c r="V618" s="1"/>
      <c r="W618" s="1"/>
      <c r="X618" s="1"/>
      <c r="Y618" s="1"/>
      <c r="Z618" s="1"/>
      <c r="AA618" s="1"/>
    </row>
    <row r="619" spans="2:27" ht="13.2" x14ac:dyDescent="0.25">
      <c r="B619" s="1"/>
      <c r="C619" s="1"/>
      <c r="D619" s="1"/>
      <c r="E619" s="1"/>
      <c r="F619" s="1"/>
      <c r="G619" s="1"/>
      <c r="H619" s="1"/>
      <c r="K619" s="1"/>
      <c r="L619" s="1"/>
      <c r="M619" s="1"/>
      <c r="N619" s="1"/>
      <c r="O619" s="1"/>
      <c r="P619" s="1"/>
      <c r="Q619" s="1"/>
      <c r="R619" s="1"/>
      <c r="S619" s="1"/>
      <c r="T619" s="1"/>
      <c r="U619" s="1"/>
      <c r="V619" s="1"/>
      <c r="W619" s="1"/>
      <c r="X619" s="1"/>
      <c r="Y619" s="1"/>
      <c r="Z619" s="1"/>
      <c r="AA619" s="1"/>
    </row>
    <row r="620" spans="2:27" ht="13.2" x14ac:dyDescent="0.25">
      <c r="B620" s="1"/>
      <c r="C620" s="1"/>
      <c r="D620" s="1"/>
      <c r="E620" s="1"/>
      <c r="F620" s="1"/>
      <c r="G620" s="1"/>
      <c r="H620" s="1"/>
      <c r="K620" s="1"/>
      <c r="L620" s="1"/>
      <c r="M620" s="1"/>
      <c r="N620" s="1"/>
      <c r="O620" s="1"/>
      <c r="P620" s="1"/>
      <c r="Q620" s="1"/>
      <c r="R620" s="1"/>
      <c r="S620" s="1"/>
      <c r="T620" s="1"/>
      <c r="U620" s="1"/>
      <c r="V620" s="1"/>
      <c r="W620" s="1"/>
      <c r="X620" s="1"/>
      <c r="Y620" s="1"/>
      <c r="Z620" s="1"/>
      <c r="AA620" s="1"/>
    </row>
    <row r="621" spans="2:27" ht="13.2" x14ac:dyDescent="0.25">
      <c r="B621" s="1"/>
      <c r="C621" s="1"/>
      <c r="D621" s="1"/>
      <c r="E621" s="1"/>
      <c r="F621" s="1"/>
      <c r="G621" s="1"/>
      <c r="H621" s="1"/>
      <c r="K621" s="1"/>
      <c r="L621" s="1"/>
      <c r="M621" s="1"/>
      <c r="N621" s="1"/>
      <c r="O621" s="1"/>
      <c r="P621" s="1"/>
      <c r="Q621" s="1"/>
      <c r="R621" s="1"/>
      <c r="S621" s="1"/>
      <c r="T621" s="1"/>
      <c r="U621" s="1"/>
      <c r="V621" s="1"/>
      <c r="W621" s="1"/>
      <c r="X621" s="1"/>
      <c r="Y621" s="1"/>
      <c r="Z621" s="1"/>
      <c r="AA621" s="1"/>
    </row>
    <row r="622" spans="2:27" ht="13.2" x14ac:dyDescent="0.25">
      <c r="B622" s="1"/>
      <c r="C622" s="1"/>
      <c r="D622" s="1"/>
      <c r="E622" s="1"/>
      <c r="F622" s="1"/>
      <c r="G622" s="1"/>
      <c r="H622" s="1"/>
      <c r="K622" s="1"/>
      <c r="L622" s="1"/>
      <c r="M622" s="1"/>
      <c r="N622" s="1"/>
      <c r="O622" s="1"/>
      <c r="P622" s="1"/>
      <c r="Q622" s="1"/>
      <c r="R622" s="1"/>
      <c r="S622" s="1"/>
      <c r="T622" s="1"/>
      <c r="U622" s="1"/>
      <c r="V622" s="1"/>
      <c r="W622" s="1"/>
      <c r="X622" s="1"/>
      <c r="Y622" s="1"/>
      <c r="Z622" s="1"/>
      <c r="AA622" s="1"/>
    </row>
    <row r="623" spans="2:27" ht="13.2" x14ac:dyDescent="0.25">
      <c r="B623" s="1"/>
      <c r="C623" s="1"/>
      <c r="D623" s="1"/>
      <c r="E623" s="1"/>
      <c r="F623" s="1"/>
      <c r="G623" s="1"/>
      <c r="H623" s="1"/>
      <c r="K623" s="1"/>
      <c r="L623" s="1"/>
      <c r="M623" s="1"/>
      <c r="N623" s="1"/>
      <c r="O623" s="1"/>
      <c r="P623" s="1"/>
      <c r="Q623" s="1"/>
      <c r="R623" s="1"/>
      <c r="S623" s="1"/>
      <c r="T623" s="1"/>
      <c r="U623" s="1"/>
      <c r="V623" s="1"/>
      <c r="W623" s="1"/>
      <c r="X623" s="1"/>
      <c r="Y623" s="1"/>
      <c r="Z623" s="1"/>
      <c r="AA623" s="1"/>
    </row>
    <row r="624" spans="2:27" ht="13.2" x14ac:dyDescent="0.25">
      <c r="B624" s="1"/>
      <c r="C624" s="1"/>
      <c r="D624" s="1"/>
      <c r="E624" s="1"/>
      <c r="F624" s="1"/>
      <c r="G624" s="1"/>
      <c r="H624" s="1"/>
      <c r="K624" s="1"/>
      <c r="L624" s="1"/>
      <c r="M624" s="1"/>
      <c r="N624" s="1"/>
      <c r="O624" s="1"/>
      <c r="P624" s="1"/>
      <c r="Q624" s="1"/>
      <c r="R624" s="1"/>
      <c r="S624" s="1"/>
      <c r="T624" s="1"/>
      <c r="U624" s="1"/>
      <c r="V624" s="1"/>
      <c r="W624" s="1"/>
      <c r="X624" s="1"/>
      <c r="Y624" s="1"/>
      <c r="Z624" s="1"/>
      <c r="AA624" s="1"/>
    </row>
    <row r="625" spans="2:27" ht="13.2" x14ac:dyDescent="0.25">
      <c r="B625" s="1"/>
      <c r="C625" s="1"/>
      <c r="D625" s="1"/>
      <c r="E625" s="1"/>
      <c r="F625" s="1"/>
      <c r="G625" s="1"/>
      <c r="H625" s="1"/>
      <c r="K625" s="1"/>
      <c r="L625" s="1"/>
      <c r="M625" s="1"/>
      <c r="N625" s="1"/>
      <c r="O625" s="1"/>
      <c r="P625" s="1"/>
      <c r="Q625" s="1"/>
      <c r="R625" s="1"/>
      <c r="S625" s="1"/>
      <c r="T625" s="1"/>
      <c r="U625" s="1"/>
      <c r="V625" s="1"/>
      <c r="W625" s="1"/>
      <c r="X625" s="1"/>
      <c r="Y625" s="1"/>
      <c r="Z625" s="1"/>
      <c r="AA625" s="1"/>
    </row>
    <row r="626" spans="2:27" ht="13.2" x14ac:dyDescent="0.25">
      <c r="B626" s="1"/>
      <c r="C626" s="1"/>
      <c r="D626" s="1"/>
      <c r="E626" s="1"/>
      <c r="F626" s="1"/>
      <c r="G626" s="1"/>
      <c r="H626" s="1"/>
      <c r="K626" s="1"/>
      <c r="L626" s="1"/>
      <c r="M626" s="1"/>
      <c r="N626" s="1"/>
      <c r="O626" s="1"/>
      <c r="P626" s="1"/>
      <c r="Q626" s="1"/>
      <c r="R626" s="1"/>
      <c r="S626" s="1"/>
      <c r="T626" s="1"/>
      <c r="U626" s="1"/>
      <c r="V626" s="1"/>
      <c r="W626" s="1"/>
      <c r="X626" s="1"/>
      <c r="Y626" s="1"/>
      <c r="Z626" s="1"/>
      <c r="AA626" s="1"/>
    </row>
    <row r="627" spans="2:27" ht="13.2" x14ac:dyDescent="0.25">
      <c r="B627" s="1"/>
      <c r="C627" s="1"/>
      <c r="D627" s="1"/>
      <c r="E627" s="1"/>
      <c r="F627" s="1"/>
      <c r="G627" s="1"/>
      <c r="H627" s="1"/>
      <c r="K627" s="1"/>
      <c r="L627" s="1"/>
      <c r="M627" s="1"/>
      <c r="N627" s="1"/>
      <c r="O627" s="1"/>
      <c r="P627" s="1"/>
      <c r="Q627" s="1"/>
      <c r="R627" s="1"/>
      <c r="S627" s="1"/>
      <c r="T627" s="1"/>
      <c r="U627" s="1"/>
      <c r="V627" s="1"/>
      <c r="W627" s="1"/>
      <c r="X627" s="1"/>
      <c r="Y627" s="1"/>
      <c r="Z627" s="1"/>
      <c r="AA627" s="1"/>
    </row>
    <row r="628" spans="2:27" ht="13.2" x14ac:dyDescent="0.25">
      <c r="B628" s="1"/>
      <c r="C628" s="1"/>
      <c r="D628" s="1"/>
      <c r="E628" s="1"/>
      <c r="F628" s="1"/>
      <c r="G628" s="1"/>
      <c r="H628" s="1"/>
      <c r="K628" s="1"/>
      <c r="L628" s="1"/>
      <c r="M628" s="1"/>
      <c r="N628" s="1"/>
      <c r="O628" s="1"/>
      <c r="P628" s="1"/>
      <c r="Q628" s="1"/>
      <c r="R628" s="1"/>
      <c r="S628" s="1"/>
      <c r="T628" s="1"/>
      <c r="U628" s="1"/>
      <c r="V628" s="1"/>
      <c r="W628" s="1"/>
      <c r="X628" s="1"/>
      <c r="Y628" s="1"/>
      <c r="Z628" s="1"/>
      <c r="AA628" s="1"/>
    </row>
    <row r="629" spans="2:27" ht="13.2" x14ac:dyDescent="0.25">
      <c r="B629" s="1"/>
      <c r="C629" s="1"/>
      <c r="D629" s="1"/>
      <c r="E629" s="1"/>
      <c r="F629" s="1"/>
      <c r="G629" s="1"/>
      <c r="H629" s="1"/>
      <c r="K629" s="1"/>
      <c r="L629" s="1"/>
      <c r="M629" s="1"/>
      <c r="N629" s="1"/>
      <c r="O629" s="1"/>
      <c r="P629" s="1"/>
      <c r="Q629" s="1"/>
      <c r="R629" s="1"/>
      <c r="S629" s="1"/>
      <c r="T629" s="1"/>
      <c r="U629" s="1"/>
      <c r="V629" s="1"/>
      <c r="W629" s="1"/>
      <c r="X629" s="1"/>
      <c r="Y629" s="1"/>
      <c r="Z629" s="1"/>
      <c r="AA629" s="1"/>
    </row>
    <row r="630" spans="2:27" ht="13.2" x14ac:dyDescent="0.25">
      <c r="B630" s="1"/>
      <c r="C630" s="1"/>
      <c r="D630" s="1"/>
      <c r="E630" s="1"/>
      <c r="F630" s="1"/>
      <c r="G630" s="1"/>
      <c r="H630" s="1"/>
      <c r="K630" s="1"/>
      <c r="L630" s="1"/>
      <c r="M630" s="1"/>
      <c r="N630" s="1"/>
      <c r="O630" s="1"/>
      <c r="P630" s="1"/>
      <c r="Q630" s="1"/>
      <c r="R630" s="1"/>
      <c r="S630" s="1"/>
      <c r="T630" s="1"/>
      <c r="U630" s="1"/>
      <c r="V630" s="1"/>
      <c r="W630" s="1"/>
      <c r="X630" s="1"/>
      <c r="Y630" s="1"/>
      <c r="Z630" s="1"/>
      <c r="AA630" s="1"/>
    </row>
    <row r="631" spans="2:27" ht="13.2" x14ac:dyDescent="0.25">
      <c r="B631" s="1"/>
      <c r="C631" s="1"/>
      <c r="D631" s="1"/>
      <c r="E631" s="1"/>
      <c r="F631" s="1"/>
      <c r="G631" s="1"/>
      <c r="H631" s="1"/>
      <c r="K631" s="1"/>
      <c r="L631" s="1"/>
      <c r="M631" s="1"/>
      <c r="N631" s="1"/>
      <c r="O631" s="1"/>
      <c r="P631" s="1"/>
      <c r="Q631" s="1"/>
      <c r="R631" s="1"/>
      <c r="S631" s="1"/>
      <c r="T631" s="1"/>
      <c r="U631" s="1"/>
      <c r="V631" s="1"/>
      <c r="W631" s="1"/>
      <c r="X631" s="1"/>
      <c r="Y631" s="1"/>
      <c r="Z631" s="1"/>
      <c r="AA631" s="1"/>
    </row>
    <row r="632" spans="2:27" ht="13.2" x14ac:dyDescent="0.25">
      <c r="B632" s="1"/>
      <c r="C632" s="1"/>
      <c r="D632" s="1"/>
      <c r="E632" s="1"/>
      <c r="F632" s="1"/>
      <c r="G632" s="1"/>
      <c r="H632" s="1"/>
      <c r="K632" s="1"/>
      <c r="L632" s="1"/>
      <c r="M632" s="1"/>
      <c r="N632" s="1"/>
      <c r="O632" s="1"/>
      <c r="P632" s="1"/>
      <c r="Q632" s="1"/>
      <c r="R632" s="1"/>
      <c r="S632" s="1"/>
      <c r="T632" s="1"/>
      <c r="U632" s="1"/>
      <c r="V632" s="1"/>
      <c r="W632" s="1"/>
      <c r="X632" s="1"/>
      <c r="Y632" s="1"/>
      <c r="Z632" s="1"/>
      <c r="AA632" s="1"/>
    </row>
    <row r="633" spans="2:27" ht="13.2" x14ac:dyDescent="0.25">
      <c r="B633" s="1"/>
      <c r="C633" s="1"/>
      <c r="D633" s="1"/>
      <c r="E633" s="1"/>
      <c r="F633" s="1"/>
      <c r="G633" s="1"/>
      <c r="H633" s="1"/>
      <c r="K633" s="1"/>
      <c r="L633" s="1"/>
      <c r="M633" s="1"/>
      <c r="N633" s="1"/>
      <c r="O633" s="1"/>
      <c r="P633" s="1"/>
      <c r="Q633" s="1"/>
      <c r="R633" s="1"/>
      <c r="S633" s="1"/>
      <c r="T633" s="1"/>
      <c r="U633" s="1"/>
      <c r="V633" s="1"/>
      <c r="W633" s="1"/>
      <c r="X633" s="1"/>
      <c r="Y633" s="1"/>
      <c r="Z633" s="1"/>
      <c r="AA633" s="1"/>
    </row>
    <row r="634" spans="2:27" ht="13.2" x14ac:dyDescent="0.25">
      <c r="B634" s="1"/>
      <c r="C634" s="1"/>
      <c r="D634" s="1"/>
      <c r="E634" s="1"/>
      <c r="F634" s="1"/>
      <c r="G634" s="1"/>
      <c r="H634" s="1"/>
      <c r="K634" s="1"/>
      <c r="L634" s="1"/>
      <c r="M634" s="1"/>
      <c r="N634" s="1"/>
      <c r="O634" s="1"/>
      <c r="P634" s="1"/>
      <c r="Q634" s="1"/>
      <c r="R634" s="1"/>
      <c r="S634" s="1"/>
      <c r="T634" s="1"/>
      <c r="U634" s="1"/>
      <c r="V634" s="1"/>
      <c r="W634" s="1"/>
      <c r="X634" s="1"/>
      <c r="Y634" s="1"/>
      <c r="Z634" s="1"/>
      <c r="AA634" s="1"/>
    </row>
    <row r="635" spans="2:27" ht="13.2" x14ac:dyDescent="0.25">
      <c r="B635" s="1"/>
      <c r="C635" s="1"/>
      <c r="D635" s="1"/>
      <c r="E635" s="1"/>
      <c r="F635" s="1"/>
      <c r="G635" s="1"/>
      <c r="H635" s="1"/>
      <c r="K635" s="1"/>
      <c r="L635" s="1"/>
      <c r="M635" s="1"/>
      <c r="N635" s="1"/>
      <c r="O635" s="1"/>
      <c r="P635" s="1"/>
      <c r="Q635" s="1"/>
      <c r="R635" s="1"/>
      <c r="S635" s="1"/>
      <c r="T635" s="1"/>
      <c r="U635" s="1"/>
      <c r="V635" s="1"/>
      <c r="W635" s="1"/>
      <c r="X635" s="1"/>
      <c r="Y635" s="1"/>
      <c r="Z635" s="1"/>
      <c r="AA635" s="1"/>
    </row>
    <row r="636" spans="2:27" ht="13.2" x14ac:dyDescent="0.25">
      <c r="B636" s="1"/>
      <c r="C636" s="1"/>
      <c r="D636" s="1"/>
      <c r="E636" s="1"/>
      <c r="F636" s="1"/>
      <c r="G636" s="1"/>
      <c r="H636" s="1"/>
      <c r="K636" s="1"/>
      <c r="L636" s="1"/>
      <c r="M636" s="1"/>
      <c r="N636" s="1"/>
      <c r="O636" s="1"/>
      <c r="P636" s="1"/>
      <c r="Q636" s="1"/>
      <c r="R636" s="1"/>
      <c r="S636" s="1"/>
      <c r="T636" s="1"/>
      <c r="U636" s="1"/>
      <c r="V636" s="1"/>
      <c r="W636" s="1"/>
      <c r="X636" s="1"/>
      <c r="Y636" s="1"/>
      <c r="Z636" s="1"/>
      <c r="AA636" s="1"/>
    </row>
    <row r="637" spans="2:27" ht="13.2" x14ac:dyDescent="0.25">
      <c r="B637" s="1"/>
      <c r="C637" s="1"/>
      <c r="D637" s="1"/>
      <c r="E637" s="1"/>
      <c r="F637" s="1"/>
      <c r="G637" s="1"/>
      <c r="H637" s="1"/>
      <c r="K637" s="1"/>
      <c r="L637" s="1"/>
      <c r="M637" s="1"/>
      <c r="N637" s="1"/>
      <c r="O637" s="1"/>
      <c r="P637" s="1"/>
      <c r="Q637" s="1"/>
      <c r="R637" s="1"/>
      <c r="S637" s="1"/>
      <c r="T637" s="1"/>
      <c r="U637" s="1"/>
      <c r="V637" s="1"/>
      <c r="W637" s="1"/>
      <c r="X637" s="1"/>
      <c r="Y637" s="1"/>
      <c r="Z637" s="1"/>
      <c r="AA637" s="1"/>
    </row>
    <row r="638" spans="2:27" ht="13.2" x14ac:dyDescent="0.25">
      <c r="B638" s="1"/>
      <c r="C638" s="1"/>
      <c r="D638" s="1"/>
      <c r="E638" s="1"/>
      <c r="F638" s="1"/>
      <c r="G638" s="1"/>
      <c r="H638" s="1"/>
      <c r="K638" s="1"/>
      <c r="L638" s="1"/>
      <c r="M638" s="1"/>
      <c r="N638" s="1"/>
      <c r="O638" s="1"/>
      <c r="P638" s="1"/>
      <c r="Q638" s="1"/>
      <c r="R638" s="1"/>
      <c r="S638" s="1"/>
      <c r="T638" s="1"/>
      <c r="U638" s="1"/>
      <c r="V638" s="1"/>
      <c r="W638" s="1"/>
      <c r="X638" s="1"/>
      <c r="Y638" s="1"/>
      <c r="Z638" s="1"/>
      <c r="AA638" s="1"/>
    </row>
    <row r="639" spans="2:27" ht="13.2" x14ac:dyDescent="0.25">
      <c r="B639" s="1"/>
      <c r="C639" s="1"/>
      <c r="D639" s="1"/>
      <c r="E639" s="1"/>
      <c r="F639" s="1"/>
      <c r="G639" s="1"/>
      <c r="H639" s="1"/>
      <c r="K639" s="1"/>
      <c r="L639" s="1"/>
      <c r="M639" s="1"/>
      <c r="N639" s="1"/>
      <c r="O639" s="1"/>
      <c r="P639" s="1"/>
      <c r="Q639" s="1"/>
      <c r="R639" s="1"/>
      <c r="S639" s="1"/>
      <c r="T639" s="1"/>
      <c r="U639" s="1"/>
      <c r="V639" s="1"/>
      <c r="W639" s="1"/>
      <c r="X639" s="1"/>
      <c r="Y639" s="1"/>
      <c r="Z639" s="1"/>
      <c r="AA639" s="1"/>
    </row>
    <row r="640" spans="2:27" ht="13.2" x14ac:dyDescent="0.25">
      <c r="B640" s="1"/>
      <c r="C640" s="1"/>
      <c r="D640" s="1"/>
      <c r="E640" s="1"/>
      <c r="F640" s="1"/>
      <c r="G640" s="1"/>
      <c r="H640" s="1"/>
      <c r="K640" s="1"/>
      <c r="L640" s="1"/>
      <c r="M640" s="1"/>
      <c r="N640" s="1"/>
      <c r="O640" s="1"/>
      <c r="P640" s="1"/>
      <c r="Q640" s="1"/>
      <c r="R640" s="1"/>
      <c r="S640" s="1"/>
      <c r="T640" s="1"/>
      <c r="U640" s="1"/>
      <c r="V640" s="1"/>
      <c r="W640" s="1"/>
      <c r="X640" s="1"/>
      <c r="Y640" s="1"/>
      <c r="Z640" s="1"/>
      <c r="AA640" s="1"/>
    </row>
    <row r="641" spans="2:27" ht="13.2" x14ac:dyDescent="0.25">
      <c r="B641" s="1"/>
      <c r="C641" s="1"/>
      <c r="D641" s="1"/>
      <c r="E641" s="1"/>
      <c r="F641" s="1"/>
      <c r="G641" s="1"/>
      <c r="H641" s="1"/>
      <c r="K641" s="1"/>
      <c r="L641" s="1"/>
      <c r="M641" s="1"/>
      <c r="N641" s="1"/>
      <c r="O641" s="1"/>
      <c r="P641" s="1"/>
      <c r="Q641" s="1"/>
      <c r="R641" s="1"/>
      <c r="S641" s="1"/>
      <c r="T641" s="1"/>
      <c r="U641" s="1"/>
      <c r="V641" s="1"/>
      <c r="W641" s="1"/>
      <c r="X641" s="1"/>
      <c r="Y641" s="1"/>
      <c r="Z641" s="1"/>
      <c r="AA641" s="1"/>
    </row>
    <row r="642" spans="2:27" ht="13.2" x14ac:dyDescent="0.25">
      <c r="B642" s="1"/>
      <c r="C642" s="1"/>
      <c r="D642" s="1"/>
      <c r="E642" s="1"/>
      <c r="F642" s="1"/>
      <c r="G642" s="1"/>
      <c r="H642" s="1"/>
      <c r="K642" s="1"/>
      <c r="L642" s="1"/>
      <c r="M642" s="1"/>
      <c r="N642" s="1"/>
      <c r="O642" s="1"/>
      <c r="P642" s="1"/>
      <c r="Q642" s="1"/>
      <c r="R642" s="1"/>
      <c r="S642" s="1"/>
      <c r="T642" s="1"/>
      <c r="U642" s="1"/>
      <c r="V642" s="1"/>
      <c r="W642" s="1"/>
      <c r="X642" s="1"/>
      <c r="Y642" s="1"/>
      <c r="Z642" s="1"/>
      <c r="AA642" s="1"/>
    </row>
    <row r="643" spans="2:27" ht="13.2" x14ac:dyDescent="0.25">
      <c r="B643" s="1"/>
      <c r="C643" s="1"/>
      <c r="D643" s="1"/>
      <c r="E643" s="1"/>
      <c r="F643" s="1"/>
      <c r="G643" s="1"/>
      <c r="H643" s="1"/>
      <c r="K643" s="1"/>
      <c r="L643" s="1"/>
      <c r="M643" s="1"/>
      <c r="N643" s="1"/>
      <c r="O643" s="1"/>
      <c r="P643" s="1"/>
      <c r="Q643" s="1"/>
      <c r="R643" s="1"/>
      <c r="S643" s="1"/>
      <c r="T643" s="1"/>
      <c r="U643" s="1"/>
      <c r="V643" s="1"/>
      <c r="W643" s="1"/>
      <c r="X643" s="1"/>
      <c r="Y643" s="1"/>
      <c r="Z643" s="1"/>
      <c r="AA643" s="1"/>
    </row>
    <row r="644" spans="2:27" ht="13.2" x14ac:dyDescent="0.25">
      <c r="B644" s="1"/>
      <c r="C644" s="1"/>
      <c r="D644" s="1"/>
      <c r="E644" s="1"/>
      <c r="F644" s="1"/>
      <c r="G644" s="1"/>
      <c r="H644" s="1"/>
      <c r="K644" s="1"/>
      <c r="L644" s="1"/>
      <c r="M644" s="1"/>
      <c r="N644" s="1"/>
      <c r="O644" s="1"/>
      <c r="P644" s="1"/>
      <c r="Q644" s="1"/>
      <c r="R644" s="1"/>
      <c r="S644" s="1"/>
      <c r="T644" s="1"/>
      <c r="U644" s="1"/>
      <c r="V644" s="1"/>
      <c r="W644" s="1"/>
      <c r="X644" s="1"/>
      <c r="Y644" s="1"/>
      <c r="Z644" s="1"/>
      <c r="AA644" s="1"/>
    </row>
    <row r="645" spans="2:27" ht="13.2" x14ac:dyDescent="0.25">
      <c r="B645" s="1"/>
      <c r="C645" s="1"/>
      <c r="D645" s="1"/>
      <c r="E645" s="1"/>
      <c r="F645" s="1"/>
      <c r="G645" s="1"/>
      <c r="H645" s="1"/>
      <c r="K645" s="1"/>
      <c r="L645" s="1"/>
      <c r="M645" s="1"/>
      <c r="N645" s="1"/>
      <c r="O645" s="1"/>
      <c r="P645" s="1"/>
      <c r="Q645" s="1"/>
      <c r="R645" s="1"/>
      <c r="S645" s="1"/>
      <c r="T645" s="1"/>
      <c r="U645" s="1"/>
      <c r="V645" s="1"/>
      <c r="W645" s="1"/>
      <c r="X645" s="1"/>
      <c r="Y645" s="1"/>
      <c r="Z645" s="1"/>
      <c r="AA645" s="1"/>
    </row>
    <row r="646" spans="2:27" ht="13.2" x14ac:dyDescent="0.25">
      <c r="B646" s="1"/>
      <c r="C646" s="1"/>
      <c r="D646" s="1"/>
      <c r="E646" s="1"/>
      <c r="F646" s="1"/>
      <c r="G646" s="1"/>
      <c r="H646" s="1"/>
      <c r="K646" s="1"/>
      <c r="L646" s="1"/>
      <c r="M646" s="1"/>
      <c r="N646" s="1"/>
      <c r="O646" s="1"/>
      <c r="P646" s="1"/>
      <c r="Q646" s="1"/>
      <c r="R646" s="1"/>
      <c r="S646" s="1"/>
      <c r="T646" s="1"/>
      <c r="U646" s="1"/>
      <c r="V646" s="1"/>
      <c r="W646" s="1"/>
      <c r="X646" s="1"/>
      <c r="Y646" s="1"/>
      <c r="Z646" s="1"/>
      <c r="AA646" s="1"/>
    </row>
    <row r="647" spans="2:27" ht="13.2" x14ac:dyDescent="0.25">
      <c r="B647" s="1"/>
      <c r="C647" s="1"/>
      <c r="D647" s="1"/>
      <c r="E647" s="1"/>
      <c r="F647" s="1"/>
      <c r="G647" s="1"/>
      <c r="H647" s="1"/>
      <c r="K647" s="1"/>
      <c r="L647" s="1"/>
      <c r="M647" s="1"/>
      <c r="N647" s="1"/>
      <c r="O647" s="1"/>
      <c r="P647" s="1"/>
      <c r="Q647" s="1"/>
      <c r="R647" s="1"/>
      <c r="S647" s="1"/>
      <c r="T647" s="1"/>
      <c r="U647" s="1"/>
      <c r="V647" s="1"/>
      <c r="W647" s="1"/>
      <c r="X647" s="1"/>
      <c r="Y647" s="1"/>
      <c r="Z647" s="1"/>
      <c r="AA647" s="1"/>
    </row>
    <row r="648" spans="2:27" ht="13.2" x14ac:dyDescent="0.25">
      <c r="B648" s="1"/>
      <c r="C648" s="1"/>
      <c r="D648" s="1"/>
      <c r="E648" s="1"/>
      <c r="F648" s="1"/>
      <c r="G648" s="1"/>
      <c r="H648" s="1"/>
      <c r="K648" s="1"/>
      <c r="L648" s="1"/>
      <c r="M648" s="1"/>
      <c r="N648" s="1"/>
      <c r="O648" s="1"/>
      <c r="P648" s="1"/>
      <c r="Q648" s="1"/>
      <c r="R648" s="1"/>
      <c r="S648" s="1"/>
      <c r="T648" s="1"/>
      <c r="U648" s="1"/>
      <c r="V648" s="1"/>
      <c r="W648" s="1"/>
      <c r="X648" s="1"/>
      <c r="Y648" s="1"/>
      <c r="Z648" s="1"/>
      <c r="AA648" s="1"/>
    </row>
    <row r="649" spans="2:27" ht="13.2" x14ac:dyDescent="0.25">
      <c r="B649" s="1"/>
      <c r="C649" s="1"/>
      <c r="D649" s="1"/>
      <c r="E649" s="1"/>
      <c r="F649" s="1"/>
      <c r="G649" s="1"/>
      <c r="H649" s="1"/>
      <c r="K649" s="1"/>
      <c r="L649" s="1"/>
      <c r="M649" s="1"/>
      <c r="N649" s="1"/>
      <c r="O649" s="1"/>
      <c r="P649" s="1"/>
      <c r="Q649" s="1"/>
      <c r="R649" s="1"/>
      <c r="S649" s="1"/>
      <c r="T649" s="1"/>
      <c r="U649" s="1"/>
      <c r="V649" s="1"/>
      <c r="W649" s="1"/>
      <c r="X649" s="1"/>
      <c r="Y649" s="1"/>
      <c r="Z649" s="1"/>
      <c r="AA649" s="1"/>
    </row>
    <row r="650" spans="2:27" ht="13.2" x14ac:dyDescent="0.25">
      <c r="B650" s="1"/>
      <c r="C650" s="1"/>
      <c r="D650" s="1"/>
      <c r="E650" s="1"/>
      <c r="F650" s="1"/>
      <c r="G650" s="1"/>
      <c r="H650" s="1"/>
      <c r="K650" s="1"/>
      <c r="L650" s="1"/>
      <c r="M650" s="1"/>
      <c r="N650" s="1"/>
      <c r="O650" s="1"/>
      <c r="P650" s="1"/>
      <c r="Q650" s="1"/>
      <c r="R650" s="1"/>
      <c r="S650" s="1"/>
      <c r="T650" s="1"/>
      <c r="U650" s="1"/>
      <c r="V650" s="1"/>
      <c r="W650" s="1"/>
      <c r="X650" s="1"/>
      <c r="Y650" s="1"/>
      <c r="Z650" s="1"/>
      <c r="AA650" s="1"/>
    </row>
    <row r="651" spans="2:27" ht="13.2" x14ac:dyDescent="0.25">
      <c r="B651" s="1"/>
      <c r="C651" s="1"/>
      <c r="D651" s="1"/>
      <c r="E651" s="1"/>
      <c r="F651" s="1"/>
      <c r="G651" s="1"/>
      <c r="H651" s="1"/>
      <c r="K651" s="1"/>
      <c r="L651" s="1"/>
      <c r="M651" s="1"/>
      <c r="N651" s="1"/>
      <c r="O651" s="1"/>
      <c r="P651" s="1"/>
      <c r="Q651" s="1"/>
      <c r="R651" s="1"/>
      <c r="S651" s="1"/>
      <c r="T651" s="1"/>
      <c r="U651" s="1"/>
      <c r="V651" s="1"/>
      <c r="W651" s="1"/>
      <c r="X651" s="1"/>
      <c r="Y651" s="1"/>
      <c r="Z651" s="1"/>
      <c r="AA651" s="1"/>
    </row>
    <row r="652" spans="2:27" ht="13.2" x14ac:dyDescent="0.25">
      <c r="B652" s="1"/>
      <c r="C652" s="1"/>
      <c r="D652" s="1"/>
      <c r="E652" s="1"/>
      <c r="F652" s="1"/>
      <c r="G652" s="1"/>
      <c r="H652" s="1"/>
      <c r="K652" s="1"/>
      <c r="L652" s="1"/>
      <c r="M652" s="1"/>
      <c r="N652" s="1"/>
      <c r="O652" s="1"/>
      <c r="P652" s="1"/>
      <c r="Q652" s="1"/>
      <c r="R652" s="1"/>
      <c r="S652" s="1"/>
      <c r="T652" s="1"/>
      <c r="U652" s="1"/>
      <c r="V652" s="1"/>
      <c r="W652" s="1"/>
      <c r="X652" s="1"/>
      <c r="Y652" s="1"/>
      <c r="Z652" s="1"/>
      <c r="AA652" s="1"/>
    </row>
    <row r="653" spans="2:27" ht="13.2" x14ac:dyDescent="0.25">
      <c r="B653" s="1"/>
      <c r="C653" s="1"/>
      <c r="D653" s="1"/>
      <c r="E653" s="1"/>
      <c r="F653" s="1"/>
      <c r="G653" s="1"/>
      <c r="H653" s="1"/>
      <c r="K653" s="1"/>
      <c r="L653" s="1"/>
      <c r="M653" s="1"/>
      <c r="N653" s="1"/>
      <c r="O653" s="1"/>
      <c r="P653" s="1"/>
      <c r="Q653" s="1"/>
      <c r="R653" s="1"/>
      <c r="S653" s="1"/>
      <c r="T653" s="1"/>
      <c r="U653" s="1"/>
      <c r="V653" s="1"/>
      <c r="W653" s="1"/>
      <c r="X653" s="1"/>
      <c r="Y653" s="1"/>
      <c r="Z653" s="1"/>
      <c r="AA653" s="1"/>
    </row>
    <row r="654" spans="2:27" ht="13.2" x14ac:dyDescent="0.25">
      <c r="B654" s="1"/>
      <c r="C654" s="1"/>
      <c r="D654" s="1"/>
      <c r="E654" s="1"/>
      <c r="F654" s="1"/>
      <c r="G654" s="1"/>
      <c r="H654" s="1"/>
      <c r="K654" s="1"/>
      <c r="L654" s="1"/>
      <c r="M654" s="1"/>
      <c r="N654" s="1"/>
      <c r="O654" s="1"/>
      <c r="P654" s="1"/>
      <c r="Q654" s="1"/>
      <c r="R654" s="1"/>
      <c r="S654" s="1"/>
      <c r="T654" s="1"/>
      <c r="U654" s="1"/>
      <c r="V654" s="1"/>
      <c r="W654" s="1"/>
      <c r="X654" s="1"/>
      <c r="Y654" s="1"/>
      <c r="Z654" s="1"/>
      <c r="AA654" s="1"/>
    </row>
    <row r="655" spans="2:27" ht="13.2" x14ac:dyDescent="0.25">
      <c r="B655" s="1"/>
      <c r="C655" s="1"/>
      <c r="D655" s="1"/>
      <c r="E655" s="1"/>
      <c r="F655" s="1"/>
      <c r="G655" s="1"/>
      <c r="H655" s="1"/>
      <c r="K655" s="1"/>
      <c r="L655" s="1"/>
      <c r="M655" s="1"/>
      <c r="N655" s="1"/>
      <c r="O655" s="1"/>
      <c r="P655" s="1"/>
      <c r="Q655" s="1"/>
      <c r="R655" s="1"/>
      <c r="S655" s="1"/>
      <c r="T655" s="1"/>
      <c r="U655" s="1"/>
      <c r="V655" s="1"/>
      <c r="W655" s="1"/>
      <c r="X655" s="1"/>
      <c r="Y655" s="1"/>
      <c r="Z655" s="1"/>
      <c r="AA655" s="1"/>
    </row>
    <row r="656" spans="2:27" ht="13.2" x14ac:dyDescent="0.25">
      <c r="B656" s="1"/>
      <c r="C656" s="1"/>
      <c r="D656" s="1"/>
      <c r="E656" s="1"/>
      <c r="F656" s="1"/>
      <c r="G656" s="1"/>
      <c r="H656" s="1"/>
      <c r="K656" s="1"/>
      <c r="L656" s="1"/>
      <c r="M656" s="1"/>
      <c r="N656" s="1"/>
      <c r="O656" s="1"/>
      <c r="P656" s="1"/>
      <c r="Q656" s="1"/>
      <c r="R656" s="1"/>
      <c r="S656" s="1"/>
      <c r="T656" s="1"/>
      <c r="U656" s="1"/>
      <c r="V656" s="1"/>
      <c r="W656" s="1"/>
      <c r="X656" s="1"/>
      <c r="Y656" s="1"/>
      <c r="Z656" s="1"/>
      <c r="AA656" s="1"/>
    </row>
    <row r="657" spans="2:27" ht="13.2" x14ac:dyDescent="0.25">
      <c r="B657" s="1"/>
      <c r="C657" s="1"/>
      <c r="D657" s="1"/>
      <c r="E657" s="1"/>
      <c r="F657" s="1"/>
      <c r="G657" s="1"/>
      <c r="H657" s="1"/>
      <c r="K657" s="1"/>
      <c r="L657" s="1"/>
      <c r="M657" s="1"/>
      <c r="N657" s="1"/>
      <c r="O657" s="1"/>
      <c r="P657" s="1"/>
      <c r="Q657" s="1"/>
      <c r="R657" s="1"/>
      <c r="S657" s="1"/>
      <c r="T657" s="1"/>
      <c r="U657" s="1"/>
      <c r="V657" s="1"/>
      <c r="W657" s="1"/>
      <c r="X657" s="1"/>
      <c r="Y657" s="1"/>
      <c r="Z657" s="1"/>
      <c r="AA657" s="1"/>
    </row>
    <row r="658" spans="2:27" ht="13.2" x14ac:dyDescent="0.25">
      <c r="B658" s="1"/>
      <c r="C658" s="1"/>
      <c r="D658" s="1"/>
      <c r="E658" s="1"/>
      <c r="F658" s="1"/>
      <c r="G658" s="1"/>
      <c r="H658" s="1"/>
      <c r="K658" s="1"/>
      <c r="L658" s="1"/>
      <c r="M658" s="1"/>
      <c r="N658" s="1"/>
      <c r="O658" s="1"/>
      <c r="P658" s="1"/>
      <c r="Q658" s="1"/>
      <c r="R658" s="1"/>
      <c r="S658" s="1"/>
      <c r="T658" s="1"/>
      <c r="U658" s="1"/>
      <c r="V658" s="1"/>
      <c r="W658" s="1"/>
      <c r="X658" s="1"/>
      <c r="Y658" s="1"/>
      <c r="Z658" s="1"/>
      <c r="AA658" s="1"/>
    </row>
    <row r="659" spans="2:27" ht="13.2" x14ac:dyDescent="0.25">
      <c r="B659" s="1"/>
      <c r="C659" s="1"/>
      <c r="D659" s="1"/>
      <c r="E659" s="1"/>
      <c r="F659" s="1"/>
      <c r="G659" s="1"/>
      <c r="H659" s="1"/>
      <c r="K659" s="1"/>
      <c r="L659" s="1"/>
      <c r="M659" s="1"/>
      <c r="N659" s="1"/>
      <c r="O659" s="1"/>
      <c r="P659" s="1"/>
      <c r="Q659" s="1"/>
      <c r="R659" s="1"/>
      <c r="S659" s="1"/>
      <c r="T659" s="1"/>
      <c r="U659" s="1"/>
      <c r="V659" s="1"/>
      <c r="W659" s="1"/>
      <c r="X659" s="1"/>
      <c r="Y659" s="1"/>
      <c r="Z659" s="1"/>
      <c r="AA659" s="1"/>
    </row>
    <row r="660" spans="2:27" ht="13.2" x14ac:dyDescent="0.25">
      <c r="B660" s="1"/>
      <c r="C660" s="1"/>
      <c r="D660" s="1"/>
      <c r="E660" s="1"/>
      <c r="F660" s="1"/>
      <c r="G660" s="1"/>
      <c r="H660" s="1"/>
      <c r="K660" s="1"/>
      <c r="L660" s="1"/>
      <c r="M660" s="1"/>
      <c r="N660" s="1"/>
      <c r="O660" s="1"/>
      <c r="P660" s="1"/>
      <c r="Q660" s="1"/>
      <c r="R660" s="1"/>
      <c r="S660" s="1"/>
      <c r="T660" s="1"/>
      <c r="U660" s="1"/>
      <c r="V660" s="1"/>
      <c r="W660" s="1"/>
      <c r="X660" s="1"/>
      <c r="Y660" s="1"/>
      <c r="Z660" s="1"/>
      <c r="AA660" s="1"/>
    </row>
    <row r="661" spans="2:27" ht="13.2" x14ac:dyDescent="0.25">
      <c r="B661" s="1"/>
      <c r="C661" s="1"/>
      <c r="D661" s="1"/>
      <c r="E661" s="1"/>
      <c r="F661" s="1"/>
      <c r="G661" s="1"/>
      <c r="H661" s="1"/>
      <c r="K661" s="1"/>
      <c r="L661" s="1"/>
      <c r="M661" s="1"/>
      <c r="N661" s="1"/>
      <c r="O661" s="1"/>
      <c r="P661" s="1"/>
      <c r="Q661" s="1"/>
      <c r="R661" s="1"/>
      <c r="S661" s="1"/>
      <c r="T661" s="1"/>
      <c r="U661" s="1"/>
      <c r="V661" s="1"/>
      <c r="W661" s="1"/>
      <c r="X661" s="1"/>
      <c r="Y661" s="1"/>
      <c r="Z661" s="1"/>
      <c r="AA661" s="1"/>
    </row>
    <row r="662" spans="2:27" ht="13.2" x14ac:dyDescent="0.25">
      <c r="B662" s="1"/>
      <c r="C662" s="1"/>
      <c r="D662" s="1"/>
      <c r="E662" s="1"/>
      <c r="F662" s="1"/>
      <c r="G662" s="1"/>
      <c r="H662" s="1"/>
      <c r="K662" s="1"/>
      <c r="L662" s="1"/>
      <c r="M662" s="1"/>
      <c r="N662" s="1"/>
      <c r="O662" s="1"/>
      <c r="P662" s="1"/>
      <c r="Q662" s="1"/>
      <c r="R662" s="1"/>
      <c r="S662" s="1"/>
      <c r="T662" s="1"/>
      <c r="U662" s="1"/>
      <c r="V662" s="1"/>
      <c r="W662" s="1"/>
      <c r="X662" s="1"/>
      <c r="Y662" s="1"/>
      <c r="Z662" s="1"/>
      <c r="AA662" s="1"/>
    </row>
    <row r="663" spans="2:27" ht="13.2" x14ac:dyDescent="0.25">
      <c r="B663" s="1"/>
      <c r="C663" s="1"/>
      <c r="D663" s="1"/>
      <c r="E663" s="1"/>
      <c r="F663" s="1"/>
      <c r="G663" s="1"/>
      <c r="H663" s="1"/>
      <c r="K663" s="1"/>
      <c r="L663" s="1"/>
      <c r="M663" s="1"/>
      <c r="N663" s="1"/>
      <c r="O663" s="1"/>
      <c r="P663" s="1"/>
      <c r="Q663" s="1"/>
      <c r="R663" s="1"/>
      <c r="S663" s="1"/>
      <c r="T663" s="1"/>
      <c r="U663" s="1"/>
      <c r="V663" s="1"/>
      <c r="W663" s="1"/>
      <c r="X663" s="1"/>
      <c r="Y663" s="1"/>
      <c r="Z663" s="1"/>
      <c r="AA663" s="1"/>
    </row>
    <row r="664" spans="2:27" ht="13.2" x14ac:dyDescent="0.25">
      <c r="B664" s="1"/>
      <c r="C664" s="1"/>
      <c r="D664" s="1"/>
      <c r="E664" s="1"/>
      <c r="F664" s="1"/>
      <c r="G664" s="1"/>
      <c r="H664" s="1"/>
      <c r="K664" s="1"/>
      <c r="L664" s="1"/>
      <c r="M664" s="1"/>
      <c r="N664" s="1"/>
      <c r="O664" s="1"/>
      <c r="P664" s="1"/>
      <c r="Q664" s="1"/>
      <c r="R664" s="1"/>
      <c r="S664" s="1"/>
      <c r="T664" s="1"/>
      <c r="U664" s="1"/>
      <c r="V664" s="1"/>
      <c r="W664" s="1"/>
      <c r="X664" s="1"/>
      <c r="Y664" s="1"/>
      <c r="Z664" s="1"/>
      <c r="AA664" s="1"/>
    </row>
    <row r="665" spans="2:27" ht="13.2" x14ac:dyDescent="0.25">
      <c r="B665" s="1"/>
      <c r="C665" s="1"/>
      <c r="D665" s="1"/>
      <c r="E665" s="1"/>
      <c r="F665" s="1"/>
      <c r="G665" s="1"/>
      <c r="H665" s="1"/>
      <c r="K665" s="1"/>
      <c r="L665" s="1"/>
      <c r="M665" s="1"/>
      <c r="N665" s="1"/>
      <c r="O665" s="1"/>
      <c r="P665" s="1"/>
      <c r="Q665" s="1"/>
      <c r="R665" s="1"/>
      <c r="S665" s="1"/>
      <c r="T665" s="1"/>
      <c r="U665" s="1"/>
      <c r="V665" s="1"/>
      <c r="W665" s="1"/>
      <c r="X665" s="1"/>
      <c r="Y665" s="1"/>
      <c r="Z665" s="1"/>
      <c r="AA665" s="1"/>
    </row>
    <row r="666" spans="2:27" ht="13.2" x14ac:dyDescent="0.25">
      <c r="B666" s="1"/>
      <c r="C666" s="1"/>
      <c r="D666" s="1"/>
      <c r="E666" s="1"/>
      <c r="F666" s="1"/>
      <c r="G666" s="1"/>
      <c r="H666" s="1"/>
      <c r="K666" s="1"/>
      <c r="L666" s="1"/>
      <c r="M666" s="1"/>
      <c r="N666" s="1"/>
      <c r="O666" s="1"/>
      <c r="P666" s="1"/>
      <c r="Q666" s="1"/>
      <c r="R666" s="1"/>
      <c r="S666" s="1"/>
      <c r="T666" s="1"/>
      <c r="U666" s="1"/>
      <c r="V666" s="1"/>
      <c r="W666" s="1"/>
      <c r="X666" s="1"/>
      <c r="Y666" s="1"/>
      <c r="Z666" s="1"/>
      <c r="AA666" s="1"/>
    </row>
    <row r="667" spans="2:27" ht="13.2" x14ac:dyDescent="0.25">
      <c r="B667" s="1"/>
      <c r="C667" s="1"/>
      <c r="D667" s="1"/>
      <c r="E667" s="1"/>
      <c r="F667" s="1"/>
      <c r="G667" s="1"/>
      <c r="H667" s="1"/>
      <c r="K667" s="1"/>
      <c r="L667" s="1"/>
      <c r="M667" s="1"/>
      <c r="N667" s="1"/>
      <c r="O667" s="1"/>
      <c r="P667" s="1"/>
      <c r="Q667" s="1"/>
      <c r="R667" s="1"/>
      <c r="S667" s="1"/>
      <c r="T667" s="1"/>
      <c r="U667" s="1"/>
      <c r="V667" s="1"/>
      <c r="W667" s="1"/>
      <c r="X667" s="1"/>
      <c r="Y667" s="1"/>
      <c r="Z667" s="1"/>
      <c r="AA667" s="1"/>
    </row>
    <row r="668" spans="2:27" ht="13.2" x14ac:dyDescent="0.25">
      <c r="B668" s="1"/>
      <c r="C668" s="1"/>
      <c r="D668" s="1"/>
      <c r="E668" s="1"/>
      <c r="F668" s="1"/>
      <c r="G668" s="1"/>
      <c r="H668" s="1"/>
      <c r="K668" s="1"/>
      <c r="L668" s="1"/>
      <c r="M668" s="1"/>
      <c r="N668" s="1"/>
      <c r="O668" s="1"/>
      <c r="P668" s="1"/>
      <c r="Q668" s="1"/>
      <c r="R668" s="1"/>
      <c r="S668" s="1"/>
      <c r="T668" s="1"/>
      <c r="U668" s="1"/>
      <c r="V668" s="1"/>
      <c r="W668" s="1"/>
      <c r="X668" s="1"/>
      <c r="Y668" s="1"/>
      <c r="Z668" s="1"/>
      <c r="AA668" s="1"/>
    </row>
    <row r="669" spans="2:27" ht="13.2" x14ac:dyDescent="0.25">
      <c r="B669" s="1"/>
      <c r="C669" s="1"/>
      <c r="D669" s="1"/>
      <c r="E669" s="1"/>
      <c r="F669" s="1"/>
      <c r="G669" s="1"/>
      <c r="H669" s="1"/>
      <c r="K669" s="1"/>
      <c r="L669" s="1"/>
      <c r="M669" s="1"/>
      <c r="N669" s="1"/>
      <c r="O669" s="1"/>
      <c r="P669" s="1"/>
      <c r="Q669" s="1"/>
      <c r="R669" s="1"/>
      <c r="S669" s="1"/>
      <c r="T669" s="1"/>
      <c r="U669" s="1"/>
      <c r="V669" s="1"/>
      <c r="W669" s="1"/>
      <c r="X669" s="1"/>
      <c r="Y669" s="1"/>
      <c r="Z669" s="1"/>
      <c r="AA669" s="1"/>
    </row>
    <row r="670" spans="2:27" ht="13.2" x14ac:dyDescent="0.25">
      <c r="B670" s="1"/>
      <c r="C670" s="1"/>
      <c r="D670" s="1"/>
      <c r="E670" s="1"/>
      <c r="F670" s="1"/>
      <c r="G670" s="1"/>
      <c r="H670" s="1"/>
      <c r="K670" s="1"/>
      <c r="L670" s="1"/>
      <c r="M670" s="1"/>
      <c r="N670" s="1"/>
      <c r="O670" s="1"/>
      <c r="P670" s="1"/>
      <c r="Q670" s="1"/>
      <c r="R670" s="1"/>
      <c r="S670" s="1"/>
      <c r="T670" s="1"/>
      <c r="U670" s="1"/>
      <c r="V670" s="1"/>
      <c r="W670" s="1"/>
      <c r="X670" s="1"/>
      <c r="Y670" s="1"/>
      <c r="Z670" s="1"/>
      <c r="AA670" s="1"/>
    </row>
    <row r="671" spans="2:27" ht="13.2" x14ac:dyDescent="0.25">
      <c r="B671" s="1"/>
      <c r="C671" s="1"/>
      <c r="D671" s="1"/>
      <c r="E671" s="1"/>
      <c r="F671" s="1"/>
      <c r="G671" s="1"/>
      <c r="H671" s="1"/>
      <c r="K671" s="1"/>
      <c r="L671" s="1"/>
      <c r="M671" s="1"/>
      <c r="N671" s="1"/>
      <c r="O671" s="1"/>
      <c r="P671" s="1"/>
      <c r="Q671" s="1"/>
      <c r="R671" s="1"/>
      <c r="S671" s="1"/>
      <c r="T671" s="1"/>
      <c r="U671" s="1"/>
      <c r="V671" s="1"/>
      <c r="W671" s="1"/>
      <c r="X671" s="1"/>
      <c r="Y671" s="1"/>
      <c r="Z671" s="1"/>
      <c r="AA671" s="1"/>
    </row>
    <row r="672" spans="2:27" ht="13.2" x14ac:dyDescent="0.25">
      <c r="B672" s="1"/>
      <c r="C672" s="1"/>
      <c r="D672" s="1"/>
      <c r="E672" s="1"/>
      <c r="F672" s="1"/>
      <c r="G672" s="1"/>
      <c r="H672" s="1"/>
      <c r="K672" s="1"/>
      <c r="L672" s="1"/>
      <c r="M672" s="1"/>
      <c r="N672" s="1"/>
      <c r="O672" s="1"/>
      <c r="P672" s="1"/>
      <c r="Q672" s="1"/>
      <c r="R672" s="1"/>
      <c r="S672" s="1"/>
      <c r="T672" s="1"/>
      <c r="U672" s="1"/>
      <c r="V672" s="1"/>
      <c r="W672" s="1"/>
      <c r="X672" s="1"/>
      <c r="Y672" s="1"/>
      <c r="Z672" s="1"/>
      <c r="AA672" s="1"/>
    </row>
    <row r="673" spans="2:27" ht="13.2" x14ac:dyDescent="0.25">
      <c r="B673" s="1"/>
      <c r="C673" s="1"/>
      <c r="D673" s="1"/>
      <c r="E673" s="1"/>
      <c r="F673" s="1"/>
      <c r="G673" s="1"/>
      <c r="H673" s="1"/>
      <c r="K673" s="1"/>
      <c r="L673" s="1"/>
      <c r="M673" s="1"/>
      <c r="N673" s="1"/>
      <c r="O673" s="1"/>
      <c r="P673" s="1"/>
      <c r="Q673" s="1"/>
      <c r="R673" s="1"/>
      <c r="S673" s="1"/>
      <c r="T673" s="1"/>
      <c r="U673" s="1"/>
      <c r="V673" s="1"/>
      <c r="W673" s="1"/>
      <c r="X673" s="1"/>
      <c r="Y673" s="1"/>
      <c r="Z673" s="1"/>
      <c r="AA673" s="1"/>
    </row>
    <row r="674" spans="2:27" ht="13.2" x14ac:dyDescent="0.25">
      <c r="B674" s="1"/>
      <c r="C674" s="1"/>
      <c r="D674" s="1"/>
      <c r="E674" s="1"/>
      <c r="F674" s="1"/>
      <c r="G674" s="1"/>
      <c r="H674" s="1"/>
      <c r="K674" s="1"/>
      <c r="L674" s="1"/>
      <c r="M674" s="1"/>
      <c r="N674" s="1"/>
      <c r="O674" s="1"/>
      <c r="P674" s="1"/>
      <c r="Q674" s="1"/>
      <c r="R674" s="1"/>
      <c r="S674" s="1"/>
      <c r="T674" s="1"/>
      <c r="U674" s="1"/>
      <c r="V674" s="1"/>
      <c r="W674" s="1"/>
      <c r="X674" s="1"/>
      <c r="Y674" s="1"/>
      <c r="Z674" s="1"/>
      <c r="AA674" s="1"/>
    </row>
    <row r="675" spans="2:27" ht="13.2" x14ac:dyDescent="0.25">
      <c r="B675" s="1"/>
      <c r="C675" s="1"/>
      <c r="D675" s="1"/>
      <c r="E675" s="1"/>
      <c r="F675" s="1"/>
      <c r="G675" s="1"/>
      <c r="H675" s="1"/>
      <c r="K675" s="1"/>
      <c r="L675" s="1"/>
      <c r="M675" s="1"/>
      <c r="N675" s="1"/>
      <c r="O675" s="1"/>
      <c r="P675" s="1"/>
      <c r="Q675" s="1"/>
      <c r="R675" s="1"/>
      <c r="S675" s="1"/>
      <c r="T675" s="1"/>
      <c r="U675" s="1"/>
      <c r="V675" s="1"/>
      <c r="W675" s="1"/>
      <c r="X675" s="1"/>
      <c r="Y675" s="1"/>
      <c r="Z675" s="1"/>
      <c r="AA675" s="1"/>
    </row>
    <row r="676" spans="2:27" ht="13.2" x14ac:dyDescent="0.25">
      <c r="B676" s="1"/>
      <c r="C676" s="1"/>
      <c r="D676" s="1"/>
      <c r="E676" s="1"/>
      <c r="F676" s="1"/>
      <c r="G676" s="1"/>
      <c r="H676" s="1"/>
      <c r="K676" s="1"/>
      <c r="L676" s="1"/>
      <c r="M676" s="1"/>
      <c r="N676" s="1"/>
      <c r="O676" s="1"/>
      <c r="P676" s="1"/>
      <c r="Q676" s="1"/>
      <c r="R676" s="1"/>
      <c r="S676" s="1"/>
      <c r="T676" s="1"/>
      <c r="U676" s="1"/>
      <c r="V676" s="1"/>
      <c r="W676" s="1"/>
      <c r="X676" s="1"/>
      <c r="Y676" s="1"/>
      <c r="Z676" s="1"/>
      <c r="AA676" s="1"/>
    </row>
    <row r="677" spans="2:27" ht="13.2" x14ac:dyDescent="0.25">
      <c r="B677" s="1"/>
      <c r="C677" s="1"/>
      <c r="D677" s="1"/>
      <c r="E677" s="1"/>
      <c r="F677" s="1"/>
      <c r="G677" s="1"/>
      <c r="H677" s="1"/>
      <c r="K677" s="1"/>
      <c r="L677" s="1"/>
      <c r="M677" s="1"/>
      <c r="N677" s="1"/>
      <c r="O677" s="1"/>
      <c r="P677" s="1"/>
      <c r="Q677" s="1"/>
      <c r="R677" s="1"/>
      <c r="S677" s="1"/>
      <c r="T677" s="1"/>
      <c r="U677" s="1"/>
      <c r="V677" s="1"/>
      <c r="W677" s="1"/>
      <c r="X677" s="1"/>
      <c r="Y677" s="1"/>
      <c r="Z677" s="1"/>
      <c r="AA677" s="1"/>
    </row>
    <row r="678" spans="2:27" ht="13.2" x14ac:dyDescent="0.25">
      <c r="B678" s="1"/>
      <c r="C678" s="1"/>
      <c r="D678" s="1"/>
      <c r="E678" s="1"/>
      <c r="F678" s="1"/>
      <c r="G678" s="1"/>
      <c r="H678" s="1"/>
      <c r="K678" s="1"/>
      <c r="L678" s="1"/>
      <c r="M678" s="1"/>
      <c r="N678" s="1"/>
      <c r="O678" s="1"/>
      <c r="P678" s="1"/>
      <c r="Q678" s="1"/>
      <c r="R678" s="1"/>
      <c r="S678" s="1"/>
      <c r="T678" s="1"/>
      <c r="U678" s="1"/>
      <c r="V678" s="1"/>
      <c r="W678" s="1"/>
      <c r="X678" s="1"/>
      <c r="Y678" s="1"/>
      <c r="Z678" s="1"/>
      <c r="AA678" s="1"/>
    </row>
    <row r="679" spans="2:27" ht="13.2" x14ac:dyDescent="0.25">
      <c r="B679" s="1"/>
      <c r="C679" s="1"/>
      <c r="D679" s="1"/>
      <c r="E679" s="1"/>
      <c r="F679" s="1"/>
      <c r="G679" s="1"/>
      <c r="H679" s="1"/>
      <c r="K679" s="1"/>
      <c r="L679" s="1"/>
      <c r="M679" s="1"/>
      <c r="N679" s="1"/>
      <c r="O679" s="1"/>
      <c r="P679" s="1"/>
      <c r="Q679" s="1"/>
      <c r="R679" s="1"/>
      <c r="S679" s="1"/>
      <c r="T679" s="1"/>
      <c r="U679" s="1"/>
      <c r="V679" s="1"/>
      <c r="W679" s="1"/>
      <c r="X679" s="1"/>
      <c r="Y679" s="1"/>
      <c r="Z679" s="1"/>
      <c r="AA679" s="1"/>
    </row>
    <row r="680" spans="2:27" ht="13.2" x14ac:dyDescent="0.25">
      <c r="B680" s="1"/>
      <c r="C680" s="1"/>
      <c r="D680" s="1"/>
      <c r="E680" s="1"/>
      <c r="F680" s="1"/>
      <c r="G680" s="1"/>
      <c r="H680" s="1"/>
      <c r="K680" s="1"/>
      <c r="L680" s="1"/>
      <c r="M680" s="1"/>
      <c r="N680" s="1"/>
      <c r="O680" s="1"/>
      <c r="P680" s="1"/>
      <c r="Q680" s="1"/>
      <c r="R680" s="1"/>
      <c r="S680" s="1"/>
      <c r="T680" s="1"/>
      <c r="U680" s="1"/>
      <c r="V680" s="1"/>
      <c r="W680" s="1"/>
      <c r="X680" s="1"/>
      <c r="Y680" s="1"/>
      <c r="Z680" s="1"/>
      <c r="AA680" s="1"/>
    </row>
    <row r="681" spans="2:27" ht="13.2" x14ac:dyDescent="0.25">
      <c r="B681" s="1"/>
      <c r="C681" s="1"/>
      <c r="D681" s="1"/>
      <c r="E681" s="1"/>
      <c r="F681" s="1"/>
      <c r="G681" s="1"/>
      <c r="H681" s="1"/>
      <c r="K681" s="1"/>
      <c r="L681" s="1"/>
      <c r="M681" s="1"/>
      <c r="N681" s="1"/>
      <c r="O681" s="1"/>
      <c r="P681" s="1"/>
      <c r="Q681" s="1"/>
      <c r="R681" s="1"/>
      <c r="S681" s="1"/>
      <c r="T681" s="1"/>
      <c r="U681" s="1"/>
      <c r="V681" s="1"/>
      <c r="W681" s="1"/>
      <c r="X681" s="1"/>
      <c r="Y681" s="1"/>
      <c r="Z681" s="1"/>
      <c r="AA681" s="1"/>
    </row>
    <row r="682" spans="2:27" ht="13.2" x14ac:dyDescent="0.25">
      <c r="B682" s="1"/>
      <c r="C682" s="1"/>
      <c r="D682" s="1"/>
      <c r="E682" s="1"/>
      <c r="F682" s="1"/>
      <c r="G682" s="1"/>
      <c r="H682" s="1"/>
      <c r="K682" s="1"/>
      <c r="L682" s="1"/>
      <c r="M682" s="1"/>
      <c r="N682" s="1"/>
      <c r="O682" s="1"/>
      <c r="P682" s="1"/>
      <c r="Q682" s="1"/>
      <c r="R682" s="1"/>
      <c r="S682" s="1"/>
      <c r="T682" s="1"/>
      <c r="U682" s="1"/>
      <c r="V682" s="1"/>
      <c r="W682" s="1"/>
      <c r="X682" s="1"/>
      <c r="Y682" s="1"/>
      <c r="Z682" s="1"/>
      <c r="AA682" s="1"/>
    </row>
    <row r="683" spans="2:27" ht="13.2" x14ac:dyDescent="0.25">
      <c r="B683" s="1"/>
      <c r="C683" s="1"/>
      <c r="D683" s="1"/>
      <c r="E683" s="1"/>
      <c r="F683" s="1"/>
      <c r="G683" s="1"/>
      <c r="H683" s="1"/>
      <c r="K683" s="1"/>
      <c r="L683" s="1"/>
      <c r="M683" s="1"/>
      <c r="N683" s="1"/>
      <c r="O683" s="1"/>
      <c r="P683" s="1"/>
      <c r="Q683" s="1"/>
      <c r="R683" s="1"/>
      <c r="S683" s="1"/>
      <c r="T683" s="1"/>
      <c r="U683" s="1"/>
      <c r="V683" s="1"/>
      <c r="W683" s="1"/>
      <c r="X683" s="1"/>
      <c r="Y683" s="1"/>
      <c r="Z683" s="1"/>
      <c r="AA683" s="1"/>
    </row>
    <row r="684" spans="2:27" ht="13.2" x14ac:dyDescent="0.25">
      <c r="B684" s="1"/>
      <c r="C684" s="1"/>
      <c r="D684" s="1"/>
      <c r="E684" s="1"/>
      <c r="F684" s="1"/>
      <c r="G684" s="1"/>
      <c r="H684" s="1"/>
      <c r="K684" s="1"/>
      <c r="L684" s="1"/>
      <c r="M684" s="1"/>
      <c r="N684" s="1"/>
      <c r="O684" s="1"/>
      <c r="P684" s="1"/>
      <c r="Q684" s="1"/>
      <c r="R684" s="1"/>
      <c r="S684" s="1"/>
      <c r="T684" s="1"/>
      <c r="U684" s="1"/>
      <c r="V684" s="1"/>
      <c r="W684" s="1"/>
      <c r="X684" s="1"/>
      <c r="Y684" s="1"/>
      <c r="Z684" s="1"/>
      <c r="AA684" s="1"/>
    </row>
    <row r="685" spans="2:27" ht="13.2" x14ac:dyDescent="0.25">
      <c r="B685" s="1"/>
      <c r="C685" s="1"/>
      <c r="D685" s="1"/>
      <c r="E685" s="1"/>
      <c r="F685" s="1"/>
      <c r="G685" s="1"/>
      <c r="H685" s="1"/>
      <c r="K685" s="1"/>
      <c r="L685" s="1"/>
      <c r="M685" s="1"/>
      <c r="N685" s="1"/>
      <c r="O685" s="1"/>
      <c r="P685" s="1"/>
      <c r="Q685" s="1"/>
      <c r="R685" s="1"/>
      <c r="S685" s="1"/>
      <c r="T685" s="1"/>
      <c r="U685" s="1"/>
      <c r="V685" s="1"/>
      <c r="W685" s="1"/>
      <c r="X685" s="1"/>
      <c r="Y685" s="1"/>
      <c r="Z685" s="1"/>
      <c r="AA685" s="1"/>
    </row>
    <row r="686" spans="2:27" ht="13.2" x14ac:dyDescent="0.25">
      <c r="B686" s="1"/>
      <c r="C686" s="1"/>
      <c r="D686" s="1"/>
      <c r="E686" s="1"/>
      <c r="F686" s="1"/>
      <c r="G686" s="1"/>
      <c r="H686" s="1"/>
      <c r="K686" s="1"/>
      <c r="L686" s="1"/>
      <c r="M686" s="1"/>
      <c r="N686" s="1"/>
      <c r="O686" s="1"/>
      <c r="P686" s="1"/>
      <c r="Q686" s="1"/>
      <c r="R686" s="1"/>
      <c r="S686" s="1"/>
      <c r="T686" s="1"/>
      <c r="U686" s="1"/>
      <c r="V686" s="1"/>
      <c r="W686" s="1"/>
      <c r="X686" s="1"/>
      <c r="Y686" s="1"/>
      <c r="Z686" s="1"/>
      <c r="AA686" s="1"/>
    </row>
    <row r="687" spans="2:27" ht="13.2" x14ac:dyDescent="0.25">
      <c r="B687" s="1"/>
      <c r="C687" s="1"/>
      <c r="D687" s="1"/>
      <c r="E687" s="1"/>
      <c r="F687" s="1"/>
      <c r="G687" s="1"/>
      <c r="H687" s="1"/>
      <c r="K687" s="1"/>
      <c r="L687" s="1"/>
      <c r="M687" s="1"/>
      <c r="N687" s="1"/>
      <c r="O687" s="1"/>
      <c r="P687" s="1"/>
      <c r="Q687" s="1"/>
      <c r="R687" s="1"/>
      <c r="S687" s="1"/>
      <c r="T687" s="1"/>
      <c r="U687" s="1"/>
      <c r="V687" s="1"/>
      <c r="W687" s="1"/>
      <c r="X687" s="1"/>
      <c r="Y687" s="1"/>
      <c r="Z687" s="1"/>
      <c r="AA687" s="1"/>
    </row>
    <row r="688" spans="2:27" ht="13.2" x14ac:dyDescent="0.25">
      <c r="B688" s="1"/>
      <c r="C688" s="1"/>
      <c r="D688" s="1"/>
      <c r="E688" s="1"/>
      <c r="F688" s="1"/>
      <c r="G688" s="1"/>
      <c r="H688" s="1"/>
      <c r="K688" s="1"/>
      <c r="L688" s="1"/>
      <c r="M688" s="1"/>
      <c r="N688" s="1"/>
      <c r="O688" s="1"/>
      <c r="P688" s="1"/>
      <c r="Q688" s="1"/>
      <c r="R688" s="1"/>
      <c r="S688" s="1"/>
      <c r="T688" s="1"/>
      <c r="U688" s="1"/>
      <c r="V688" s="1"/>
      <c r="W688" s="1"/>
      <c r="X688" s="1"/>
      <c r="Y688" s="1"/>
      <c r="Z688" s="1"/>
      <c r="AA688" s="1"/>
    </row>
    <row r="689" spans="2:27" ht="13.2" x14ac:dyDescent="0.25">
      <c r="B689" s="1"/>
      <c r="C689" s="1"/>
      <c r="D689" s="1"/>
      <c r="E689" s="1"/>
      <c r="F689" s="1"/>
      <c r="G689" s="1"/>
      <c r="H689" s="1"/>
      <c r="K689" s="1"/>
      <c r="L689" s="1"/>
      <c r="M689" s="1"/>
      <c r="N689" s="1"/>
      <c r="O689" s="1"/>
      <c r="P689" s="1"/>
      <c r="Q689" s="1"/>
      <c r="R689" s="1"/>
      <c r="S689" s="1"/>
      <c r="T689" s="1"/>
      <c r="U689" s="1"/>
      <c r="V689" s="1"/>
      <c r="W689" s="1"/>
      <c r="X689" s="1"/>
      <c r="Y689" s="1"/>
      <c r="Z689" s="1"/>
      <c r="AA689" s="1"/>
    </row>
    <row r="690" spans="2:27" ht="13.2" x14ac:dyDescent="0.25">
      <c r="B690" s="1"/>
      <c r="C690" s="1"/>
      <c r="D690" s="1"/>
      <c r="E690" s="1"/>
      <c r="F690" s="1"/>
      <c r="G690" s="1"/>
      <c r="H690" s="1"/>
      <c r="K690" s="1"/>
      <c r="L690" s="1"/>
      <c r="M690" s="1"/>
      <c r="N690" s="1"/>
      <c r="O690" s="1"/>
      <c r="P690" s="1"/>
      <c r="Q690" s="1"/>
      <c r="R690" s="1"/>
      <c r="S690" s="1"/>
      <c r="T690" s="1"/>
      <c r="U690" s="1"/>
      <c r="V690" s="1"/>
      <c r="W690" s="1"/>
      <c r="X690" s="1"/>
      <c r="Y690" s="1"/>
      <c r="Z690" s="1"/>
      <c r="AA690" s="1"/>
    </row>
    <row r="691" spans="2:27" ht="13.2" x14ac:dyDescent="0.25">
      <c r="B691" s="1"/>
      <c r="C691" s="1"/>
      <c r="D691" s="1"/>
      <c r="E691" s="1"/>
      <c r="F691" s="1"/>
      <c r="G691" s="1"/>
      <c r="H691" s="1"/>
      <c r="K691" s="1"/>
      <c r="L691" s="1"/>
      <c r="M691" s="1"/>
      <c r="N691" s="1"/>
      <c r="O691" s="1"/>
      <c r="P691" s="1"/>
      <c r="Q691" s="1"/>
      <c r="R691" s="1"/>
      <c r="S691" s="1"/>
      <c r="T691" s="1"/>
      <c r="U691" s="1"/>
      <c r="V691" s="1"/>
      <c r="W691" s="1"/>
      <c r="X691" s="1"/>
      <c r="Y691" s="1"/>
      <c r="Z691" s="1"/>
      <c r="AA691" s="1"/>
    </row>
    <row r="692" spans="2:27" ht="13.2" x14ac:dyDescent="0.25">
      <c r="B692" s="1"/>
      <c r="C692" s="1"/>
      <c r="D692" s="1"/>
      <c r="E692" s="1"/>
      <c r="F692" s="1"/>
      <c r="G692" s="1"/>
      <c r="H692" s="1"/>
      <c r="K692" s="1"/>
      <c r="L692" s="1"/>
      <c r="M692" s="1"/>
      <c r="N692" s="1"/>
      <c r="O692" s="1"/>
      <c r="P692" s="1"/>
      <c r="Q692" s="1"/>
      <c r="R692" s="1"/>
      <c r="S692" s="1"/>
      <c r="T692" s="1"/>
      <c r="U692" s="1"/>
      <c r="V692" s="1"/>
      <c r="W692" s="1"/>
      <c r="X692" s="1"/>
      <c r="Y692" s="1"/>
      <c r="Z692" s="1"/>
      <c r="AA692" s="1"/>
    </row>
    <row r="693" spans="2:27" ht="13.2" x14ac:dyDescent="0.25">
      <c r="B693" s="1"/>
      <c r="C693" s="1"/>
      <c r="D693" s="1"/>
      <c r="E693" s="1"/>
      <c r="F693" s="1"/>
      <c r="G693" s="1"/>
      <c r="H693" s="1"/>
      <c r="K693" s="1"/>
      <c r="L693" s="1"/>
      <c r="M693" s="1"/>
      <c r="N693" s="1"/>
      <c r="O693" s="1"/>
      <c r="P693" s="1"/>
      <c r="Q693" s="1"/>
      <c r="R693" s="1"/>
      <c r="S693" s="1"/>
      <c r="T693" s="1"/>
      <c r="U693" s="1"/>
      <c r="V693" s="1"/>
      <c r="W693" s="1"/>
      <c r="X693" s="1"/>
      <c r="Y693" s="1"/>
      <c r="Z693" s="1"/>
      <c r="AA693" s="1"/>
    </row>
    <row r="694" spans="2:27" ht="13.2" x14ac:dyDescent="0.25">
      <c r="B694" s="1"/>
      <c r="C694" s="1"/>
      <c r="D694" s="1"/>
      <c r="E694" s="1"/>
      <c r="F694" s="1"/>
      <c r="G694" s="1"/>
      <c r="H694" s="1"/>
      <c r="K694" s="1"/>
      <c r="L694" s="1"/>
      <c r="M694" s="1"/>
      <c r="N694" s="1"/>
      <c r="O694" s="1"/>
      <c r="P694" s="1"/>
      <c r="Q694" s="1"/>
      <c r="R694" s="1"/>
      <c r="S694" s="1"/>
      <c r="T694" s="1"/>
      <c r="U694" s="1"/>
      <c r="V694" s="1"/>
      <c r="W694" s="1"/>
      <c r="X694" s="1"/>
      <c r="Y694" s="1"/>
      <c r="Z694" s="1"/>
      <c r="AA694" s="1"/>
    </row>
    <row r="695" spans="2:27" ht="13.2" x14ac:dyDescent="0.25">
      <c r="B695" s="1"/>
      <c r="C695" s="1"/>
      <c r="D695" s="1"/>
      <c r="E695" s="1"/>
      <c r="F695" s="1"/>
      <c r="G695" s="1"/>
      <c r="H695" s="1"/>
      <c r="K695" s="1"/>
      <c r="L695" s="1"/>
      <c r="M695" s="1"/>
      <c r="N695" s="1"/>
      <c r="O695" s="1"/>
      <c r="P695" s="1"/>
      <c r="Q695" s="1"/>
      <c r="R695" s="1"/>
      <c r="S695" s="1"/>
      <c r="T695" s="1"/>
      <c r="U695" s="1"/>
      <c r="V695" s="1"/>
      <c r="W695" s="1"/>
      <c r="X695" s="1"/>
      <c r="Y695" s="1"/>
      <c r="Z695" s="1"/>
      <c r="AA695" s="1"/>
    </row>
    <row r="696" spans="2:27" ht="13.2" x14ac:dyDescent="0.25">
      <c r="B696" s="1"/>
      <c r="C696" s="1"/>
      <c r="D696" s="1"/>
      <c r="E696" s="1"/>
      <c r="F696" s="1"/>
      <c r="G696" s="1"/>
      <c r="H696" s="1"/>
      <c r="K696" s="1"/>
      <c r="L696" s="1"/>
      <c r="M696" s="1"/>
      <c r="N696" s="1"/>
      <c r="O696" s="1"/>
      <c r="P696" s="1"/>
      <c r="Q696" s="1"/>
      <c r="R696" s="1"/>
      <c r="S696" s="1"/>
      <c r="T696" s="1"/>
      <c r="U696" s="1"/>
      <c r="V696" s="1"/>
      <c r="W696" s="1"/>
      <c r="X696" s="1"/>
      <c r="Y696" s="1"/>
      <c r="Z696" s="1"/>
      <c r="AA696" s="1"/>
    </row>
    <row r="697" spans="2:27" ht="13.2" x14ac:dyDescent="0.25">
      <c r="B697" s="1"/>
      <c r="C697" s="1"/>
      <c r="D697" s="1"/>
      <c r="E697" s="1"/>
      <c r="F697" s="1"/>
      <c r="G697" s="1"/>
      <c r="H697" s="1"/>
      <c r="K697" s="1"/>
      <c r="L697" s="1"/>
      <c r="M697" s="1"/>
      <c r="N697" s="1"/>
      <c r="O697" s="1"/>
      <c r="P697" s="1"/>
      <c r="Q697" s="1"/>
      <c r="R697" s="1"/>
      <c r="S697" s="1"/>
      <c r="T697" s="1"/>
      <c r="U697" s="1"/>
      <c r="V697" s="1"/>
      <c r="W697" s="1"/>
      <c r="X697" s="1"/>
      <c r="Y697" s="1"/>
      <c r="Z697" s="1"/>
      <c r="AA697" s="1"/>
    </row>
    <row r="698" spans="2:27" ht="13.2" x14ac:dyDescent="0.25">
      <c r="B698" s="1"/>
      <c r="C698" s="1"/>
      <c r="D698" s="1"/>
      <c r="E698" s="1"/>
      <c r="F698" s="1"/>
      <c r="G698" s="1"/>
      <c r="H698" s="1"/>
      <c r="K698" s="1"/>
      <c r="L698" s="1"/>
      <c r="M698" s="1"/>
      <c r="N698" s="1"/>
      <c r="O698" s="1"/>
      <c r="P698" s="1"/>
      <c r="Q698" s="1"/>
      <c r="R698" s="1"/>
      <c r="S698" s="1"/>
      <c r="T698" s="1"/>
      <c r="U698" s="1"/>
      <c r="V698" s="1"/>
      <c r="W698" s="1"/>
      <c r="X698" s="1"/>
      <c r="Y698" s="1"/>
      <c r="Z698" s="1"/>
      <c r="AA698" s="1"/>
    </row>
    <row r="699" spans="2:27" ht="13.2" x14ac:dyDescent="0.25">
      <c r="B699" s="1"/>
      <c r="C699" s="1"/>
      <c r="D699" s="1"/>
      <c r="E699" s="1"/>
      <c r="F699" s="1"/>
      <c r="G699" s="1"/>
      <c r="H699" s="1"/>
      <c r="K699" s="1"/>
      <c r="L699" s="1"/>
      <c r="M699" s="1"/>
      <c r="N699" s="1"/>
      <c r="O699" s="1"/>
      <c r="P699" s="1"/>
      <c r="Q699" s="1"/>
      <c r="R699" s="1"/>
      <c r="S699" s="1"/>
      <c r="T699" s="1"/>
      <c r="U699" s="1"/>
      <c r="V699" s="1"/>
      <c r="W699" s="1"/>
      <c r="X699" s="1"/>
      <c r="Y699" s="1"/>
      <c r="Z699" s="1"/>
      <c r="AA699" s="1"/>
    </row>
    <row r="700" spans="2:27" ht="13.2" x14ac:dyDescent="0.25">
      <c r="B700" s="1"/>
      <c r="C700" s="1"/>
      <c r="D700" s="1"/>
      <c r="E700" s="1"/>
      <c r="F700" s="1"/>
      <c r="G700" s="1"/>
      <c r="H700" s="1"/>
      <c r="K700" s="1"/>
      <c r="L700" s="1"/>
      <c r="M700" s="1"/>
      <c r="N700" s="1"/>
      <c r="O700" s="1"/>
      <c r="P700" s="1"/>
      <c r="Q700" s="1"/>
      <c r="R700" s="1"/>
      <c r="S700" s="1"/>
      <c r="T700" s="1"/>
      <c r="U700" s="1"/>
      <c r="V700" s="1"/>
      <c r="W700" s="1"/>
      <c r="X700" s="1"/>
      <c r="Y700" s="1"/>
      <c r="Z700" s="1"/>
      <c r="AA700" s="1"/>
    </row>
    <row r="701" spans="2:27" ht="13.2" x14ac:dyDescent="0.25">
      <c r="B701" s="1"/>
      <c r="C701" s="1"/>
      <c r="D701" s="1"/>
      <c r="E701" s="1"/>
      <c r="F701" s="1"/>
      <c r="G701" s="1"/>
      <c r="H701" s="1"/>
      <c r="K701" s="1"/>
      <c r="L701" s="1"/>
      <c r="M701" s="1"/>
      <c r="N701" s="1"/>
      <c r="O701" s="1"/>
      <c r="P701" s="1"/>
      <c r="Q701" s="1"/>
      <c r="R701" s="1"/>
      <c r="S701" s="1"/>
      <c r="T701" s="1"/>
      <c r="U701" s="1"/>
      <c r="V701" s="1"/>
      <c r="W701" s="1"/>
      <c r="X701" s="1"/>
      <c r="Y701" s="1"/>
      <c r="Z701" s="1"/>
      <c r="AA701" s="1"/>
    </row>
    <row r="702" spans="2:27" ht="13.2" x14ac:dyDescent="0.25">
      <c r="B702" s="1"/>
      <c r="C702" s="1"/>
      <c r="D702" s="1"/>
      <c r="E702" s="1"/>
      <c r="F702" s="1"/>
      <c r="G702" s="1"/>
      <c r="H702" s="1"/>
      <c r="K702" s="1"/>
      <c r="L702" s="1"/>
      <c r="M702" s="1"/>
      <c r="N702" s="1"/>
      <c r="O702" s="1"/>
      <c r="P702" s="1"/>
      <c r="Q702" s="1"/>
      <c r="R702" s="1"/>
      <c r="S702" s="1"/>
      <c r="T702" s="1"/>
      <c r="U702" s="1"/>
      <c r="V702" s="1"/>
      <c r="W702" s="1"/>
      <c r="X702" s="1"/>
      <c r="Y702" s="1"/>
      <c r="Z702" s="1"/>
      <c r="AA702" s="1"/>
    </row>
    <row r="703" spans="2:27" ht="13.2" x14ac:dyDescent="0.25">
      <c r="B703" s="1"/>
      <c r="C703" s="1"/>
      <c r="D703" s="1"/>
      <c r="E703" s="1"/>
      <c r="F703" s="1"/>
      <c r="G703" s="1"/>
      <c r="H703" s="1"/>
      <c r="K703" s="1"/>
      <c r="L703" s="1"/>
      <c r="M703" s="1"/>
      <c r="N703" s="1"/>
      <c r="O703" s="1"/>
      <c r="P703" s="1"/>
      <c r="Q703" s="1"/>
      <c r="R703" s="1"/>
      <c r="S703" s="1"/>
      <c r="T703" s="1"/>
      <c r="U703" s="1"/>
      <c r="V703" s="1"/>
      <c r="W703" s="1"/>
      <c r="X703" s="1"/>
      <c r="Y703" s="1"/>
      <c r="Z703" s="1"/>
      <c r="AA703" s="1"/>
    </row>
    <row r="704" spans="2:27" ht="13.2" x14ac:dyDescent="0.25">
      <c r="B704" s="1"/>
      <c r="C704" s="1"/>
      <c r="D704" s="1"/>
      <c r="E704" s="1"/>
      <c r="F704" s="1"/>
      <c r="G704" s="1"/>
      <c r="H704" s="1"/>
      <c r="K704" s="1"/>
      <c r="L704" s="1"/>
      <c r="M704" s="1"/>
      <c r="N704" s="1"/>
      <c r="O704" s="1"/>
      <c r="P704" s="1"/>
      <c r="Q704" s="1"/>
      <c r="R704" s="1"/>
      <c r="S704" s="1"/>
      <c r="T704" s="1"/>
      <c r="U704" s="1"/>
      <c r="V704" s="1"/>
      <c r="W704" s="1"/>
      <c r="X704" s="1"/>
      <c r="Y704" s="1"/>
      <c r="Z704" s="1"/>
      <c r="AA704" s="1"/>
    </row>
    <row r="705" spans="2:27" ht="13.2" x14ac:dyDescent="0.25">
      <c r="B705" s="1"/>
      <c r="C705" s="1"/>
      <c r="D705" s="1"/>
      <c r="E705" s="1"/>
      <c r="F705" s="1"/>
      <c r="G705" s="1"/>
      <c r="H705" s="1"/>
      <c r="K705" s="1"/>
      <c r="L705" s="1"/>
      <c r="M705" s="1"/>
      <c r="N705" s="1"/>
      <c r="O705" s="1"/>
      <c r="P705" s="1"/>
      <c r="Q705" s="1"/>
      <c r="R705" s="1"/>
      <c r="S705" s="1"/>
      <c r="T705" s="1"/>
      <c r="U705" s="1"/>
      <c r="V705" s="1"/>
      <c r="W705" s="1"/>
      <c r="X705" s="1"/>
      <c r="Y705" s="1"/>
      <c r="Z705" s="1"/>
      <c r="AA705" s="1"/>
    </row>
    <row r="706" spans="2:27" ht="13.2" x14ac:dyDescent="0.25">
      <c r="B706" s="1"/>
      <c r="C706" s="1"/>
      <c r="D706" s="1"/>
      <c r="E706" s="1"/>
      <c r="F706" s="1"/>
      <c r="G706" s="1"/>
      <c r="H706" s="1"/>
      <c r="K706" s="1"/>
      <c r="L706" s="1"/>
      <c r="M706" s="1"/>
      <c r="N706" s="1"/>
      <c r="O706" s="1"/>
      <c r="P706" s="1"/>
      <c r="Q706" s="1"/>
      <c r="R706" s="1"/>
      <c r="S706" s="1"/>
      <c r="T706" s="1"/>
      <c r="U706" s="1"/>
      <c r="V706" s="1"/>
      <c r="W706" s="1"/>
      <c r="X706" s="1"/>
      <c r="Y706" s="1"/>
      <c r="Z706" s="1"/>
      <c r="AA706" s="1"/>
    </row>
    <row r="707" spans="2:27" ht="13.2" x14ac:dyDescent="0.25">
      <c r="B707" s="1"/>
      <c r="C707" s="1"/>
      <c r="D707" s="1"/>
      <c r="E707" s="1"/>
      <c r="F707" s="1"/>
      <c r="G707" s="1"/>
      <c r="H707" s="1"/>
      <c r="K707" s="1"/>
      <c r="L707" s="1"/>
      <c r="M707" s="1"/>
      <c r="N707" s="1"/>
      <c r="O707" s="1"/>
      <c r="P707" s="1"/>
      <c r="Q707" s="1"/>
      <c r="R707" s="1"/>
      <c r="S707" s="1"/>
      <c r="T707" s="1"/>
      <c r="U707" s="1"/>
      <c r="V707" s="1"/>
      <c r="W707" s="1"/>
      <c r="X707" s="1"/>
      <c r="Y707" s="1"/>
      <c r="Z707" s="1"/>
      <c r="AA707" s="1"/>
    </row>
    <row r="708" spans="2:27" ht="13.2" x14ac:dyDescent="0.25">
      <c r="B708" s="1"/>
      <c r="C708" s="1"/>
      <c r="D708" s="1"/>
      <c r="E708" s="1"/>
      <c r="F708" s="1"/>
      <c r="G708" s="1"/>
      <c r="H708" s="1"/>
      <c r="K708" s="1"/>
      <c r="L708" s="1"/>
      <c r="M708" s="1"/>
      <c r="N708" s="1"/>
      <c r="O708" s="1"/>
      <c r="P708" s="1"/>
      <c r="Q708" s="1"/>
      <c r="R708" s="1"/>
      <c r="S708" s="1"/>
      <c r="T708" s="1"/>
      <c r="U708" s="1"/>
      <c r="V708" s="1"/>
      <c r="W708" s="1"/>
      <c r="X708" s="1"/>
      <c r="Y708" s="1"/>
      <c r="Z708" s="1"/>
      <c r="AA708" s="1"/>
    </row>
    <row r="709" spans="2:27" ht="13.2" x14ac:dyDescent="0.25">
      <c r="B709" s="1"/>
      <c r="C709" s="1"/>
      <c r="D709" s="1"/>
      <c r="E709" s="1"/>
      <c r="F709" s="1"/>
      <c r="G709" s="1"/>
      <c r="H709" s="1"/>
      <c r="K709" s="1"/>
      <c r="L709" s="1"/>
      <c r="M709" s="1"/>
      <c r="N709" s="1"/>
      <c r="O709" s="1"/>
      <c r="P709" s="1"/>
      <c r="Q709" s="1"/>
      <c r="R709" s="1"/>
      <c r="S709" s="1"/>
      <c r="T709" s="1"/>
      <c r="U709" s="1"/>
      <c r="V709" s="1"/>
      <c r="W709" s="1"/>
      <c r="X709" s="1"/>
      <c r="Y709" s="1"/>
      <c r="Z709" s="1"/>
      <c r="AA709" s="1"/>
    </row>
    <row r="710" spans="2:27" ht="13.2" x14ac:dyDescent="0.25">
      <c r="B710" s="1"/>
      <c r="C710" s="1"/>
      <c r="D710" s="1"/>
      <c r="E710" s="1"/>
      <c r="F710" s="1"/>
      <c r="G710" s="1"/>
      <c r="H710" s="1"/>
      <c r="K710" s="1"/>
      <c r="L710" s="1"/>
      <c r="M710" s="1"/>
      <c r="N710" s="1"/>
      <c r="O710" s="1"/>
      <c r="P710" s="1"/>
      <c r="Q710" s="1"/>
      <c r="R710" s="1"/>
      <c r="S710" s="1"/>
      <c r="T710" s="1"/>
      <c r="U710" s="1"/>
      <c r="V710" s="1"/>
      <c r="W710" s="1"/>
      <c r="X710" s="1"/>
      <c r="Y710" s="1"/>
      <c r="Z710" s="1"/>
      <c r="AA710" s="1"/>
    </row>
    <row r="711" spans="2:27" ht="13.2" x14ac:dyDescent="0.25">
      <c r="B711" s="1"/>
      <c r="C711" s="1"/>
      <c r="D711" s="1"/>
      <c r="E711" s="1"/>
      <c r="F711" s="1"/>
      <c r="G711" s="1"/>
      <c r="H711" s="1"/>
      <c r="K711" s="1"/>
      <c r="L711" s="1"/>
      <c r="M711" s="1"/>
      <c r="N711" s="1"/>
      <c r="O711" s="1"/>
      <c r="P711" s="1"/>
      <c r="Q711" s="1"/>
      <c r="R711" s="1"/>
      <c r="S711" s="1"/>
      <c r="T711" s="1"/>
      <c r="U711" s="1"/>
      <c r="V711" s="1"/>
      <c r="W711" s="1"/>
      <c r="X711" s="1"/>
      <c r="Y711" s="1"/>
      <c r="Z711" s="1"/>
      <c r="AA711" s="1"/>
    </row>
    <row r="712" spans="2:27" ht="13.2" x14ac:dyDescent="0.25">
      <c r="B712" s="1"/>
      <c r="C712" s="1"/>
      <c r="D712" s="1"/>
      <c r="E712" s="1"/>
      <c r="F712" s="1"/>
      <c r="G712" s="1"/>
      <c r="H712" s="1"/>
      <c r="K712" s="1"/>
      <c r="L712" s="1"/>
      <c r="M712" s="1"/>
      <c r="N712" s="1"/>
      <c r="O712" s="1"/>
      <c r="P712" s="1"/>
      <c r="Q712" s="1"/>
      <c r="R712" s="1"/>
      <c r="S712" s="1"/>
      <c r="T712" s="1"/>
      <c r="U712" s="1"/>
      <c r="V712" s="1"/>
      <c r="W712" s="1"/>
      <c r="X712" s="1"/>
      <c r="Y712" s="1"/>
      <c r="Z712" s="1"/>
      <c r="AA712" s="1"/>
    </row>
    <row r="713" spans="2:27" ht="13.2" x14ac:dyDescent="0.25">
      <c r="B713" s="1"/>
      <c r="C713" s="1"/>
      <c r="D713" s="1"/>
      <c r="E713" s="1"/>
      <c r="F713" s="1"/>
      <c r="G713" s="1"/>
      <c r="H713" s="1"/>
      <c r="K713" s="1"/>
      <c r="L713" s="1"/>
      <c r="M713" s="1"/>
      <c r="N713" s="1"/>
      <c r="O713" s="1"/>
      <c r="P713" s="1"/>
      <c r="Q713" s="1"/>
      <c r="R713" s="1"/>
      <c r="S713" s="1"/>
      <c r="T713" s="1"/>
      <c r="U713" s="1"/>
      <c r="V713" s="1"/>
      <c r="W713" s="1"/>
      <c r="X713" s="1"/>
      <c r="Y713" s="1"/>
      <c r="Z713" s="1"/>
      <c r="AA713" s="1"/>
    </row>
    <row r="714" spans="2:27" ht="13.2" x14ac:dyDescent="0.25">
      <c r="B714" s="1"/>
      <c r="C714" s="1"/>
      <c r="D714" s="1"/>
      <c r="E714" s="1"/>
      <c r="F714" s="1"/>
      <c r="G714" s="1"/>
      <c r="H714" s="1"/>
      <c r="K714" s="1"/>
      <c r="L714" s="1"/>
      <c r="M714" s="1"/>
      <c r="N714" s="1"/>
      <c r="O714" s="1"/>
      <c r="P714" s="1"/>
      <c r="Q714" s="1"/>
      <c r="R714" s="1"/>
      <c r="S714" s="1"/>
      <c r="T714" s="1"/>
      <c r="U714" s="1"/>
      <c r="V714" s="1"/>
      <c r="W714" s="1"/>
      <c r="X714" s="1"/>
      <c r="Y714" s="1"/>
      <c r="Z714" s="1"/>
      <c r="AA714" s="1"/>
    </row>
    <row r="715" spans="2:27" ht="13.2" x14ac:dyDescent="0.25">
      <c r="B715" s="1"/>
      <c r="C715" s="1"/>
      <c r="D715" s="1"/>
      <c r="E715" s="1"/>
      <c r="F715" s="1"/>
      <c r="G715" s="1"/>
      <c r="H715" s="1"/>
      <c r="K715" s="1"/>
      <c r="L715" s="1"/>
      <c r="M715" s="1"/>
      <c r="N715" s="1"/>
      <c r="O715" s="1"/>
      <c r="P715" s="1"/>
      <c r="Q715" s="1"/>
      <c r="R715" s="1"/>
      <c r="S715" s="1"/>
      <c r="T715" s="1"/>
      <c r="U715" s="1"/>
      <c r="V715" s="1"/>
      <c r="W715" s="1"/>
      <c r="X715" s="1"/>
      <c r="Y715" s="1"/>
      <c r="Z715" s="1"/>
      <c r="AA715" s="1"/>
    </row>
    <row r="716" spans="2:27" ht="13.2" x14ac:dyDescent="0.25">
      <c r="B716" s="1"/>
      <c r="C716" s="1"/>
      <c r="D716" s="1"/>
      <c r="E716" s="1"/>
      <c r="F716" s="1"/>
      <c r="G716" s="1"/>
      <c r="H716" s="1"/>
      <c r="K716" s="1"/>
      <c r="L716" s="1"/>
      <c r="M716" s="1"/>
      <c r="N716" s="1"/>
      <c r="O716" s="1"/>
      <c r="P716" s="1"/>
      <c r="Q716" s="1"/>
      <c r="R716" s="1"/>
      <c r="S716" s="1"/>
      <c r="T716" s="1"/>
      <c r="U716" s="1"/>
      <c r="V716" s="1"/>
      <c r="W716" s="1"/>
      <c r="X716" s="1"/>
      <c r="Y716" s="1"/>
      <c r="Z716" s="1"/>
      <c r="AA716" s="1"/>
    </row>
    <row r="717" spans="2:27" ht="13.2" x14ac:dyDescent="0.25">
      <c r="B717" s="1"/>
      <c r="C717" s="1"/>
      <c r="D717" s="1"/>
      <c r="E717" s="1"/>
      <c r="F717" s="1"/>
      <c r="G717" s="1"/>
      <c r="H717" s="1"/>
      <c r="K717" s="1"/>
      <c r="L717" s="1"/>
      <c r="M717" s="1"/>
      <c r="N717" s="1"/>
      <c r="O717" s="1"/>
      <c r="P717" s="1"/>
      <c r="Q717" s="1"/>
      <c r="R717" s="1"/>
      <c r="S717" s="1"/>
      <c r="T717" s="1"/>
      <c r="U717" s="1"/>
      <c r="V717" s="1"/>
      <c r="W717" s="1"/>
      <c r="X717" s="1"/>
      <c r="Y717" s="1"/>
      <c r="Z717" s="1"/>
      <c r="AA717" s="1"/>
    </row>
    <row r="718" spans="2:27" ht="13.2" x14ac:dyDescent="0.25">
      <c r="B718" s="1"/>
      <c r="C718" s="1"/>
      <c r="D718" s="1"/>
      <c r="E718" s="1"/>
      <c r="F718" s="1"/>
      <c r="G718" s="1"/>
      <c r="H718" s="1"/>
      <c r="K718" s="1"/>
      <c r="L718" s="1"/>
      <c r="M718" s="1"/>
      <c r="N718" s="1"/>
      <c r="O718" s="1"/>
      <c r="P718" s="1"/>
      <c r="Q718" s="1"/>
      <c r="R718" s="1"/>
      <c r="S718" s="1"/>
      <c r="T718" s="1"/>
      <c r="U718" s="1"/>
      <c r="V718" s="1"/>
      <c r="W718" s="1"/>
      <c r="X718" s="1"/>
      <c r="Y718" s="1"/>
      <c r="Z718" s="1"/>
      <c r="AA718" s="1"/>
    </row>
    <row r="719" spans="2:27" ht="13.2" x14ac:dyDescent="0.25">
      <c r="B719" s="1"/>
      <c r="C719" s="1"/>
      <c r="D719" s="1"/>
      <c r="E719" s="1"/>
      <c r="F719" s="1"/>
      <c r="G719" s="1"/>
      <c r="H719" s="1"/>
      <c r="K719" s="1"/>
      <c r="L719" s="1"/>
      <c r="M719" s="1"/>
      <c r="N719" s="1"/>
      <c r="O719" s="1"/>
      <c r="P719" s="1"/>
      <c r="Q719" s="1"/>
      <c r="R719" s="1"/>
      <c r="S719" s="1"/>
      <c r="T719" s="1"/>
      <c r="U719" s="1"/>
      <c r="V719" s="1"/>
      <c r="W719" s="1"/>
      <c r="X719" s="1"/>
      <c r="Y719" s="1"/>
      <c r="Z719" s="1"/>
      <c r="AA719" s="1"/>
    </row>
    <row r="720" spans="2:27" ht="13.2" x14ac:dyDescent="0.25">
      <c r="B720" s="1"/>
      <c r="C720" s="1"/>
      <c r="D720" s="1"/>
      <c r="E720" s="1"/>
      <c r="F720" s="1"/>
      <c r="G720" s="1"/>
      <c r="H720" s="1"/>
      <c r="K720" s="1"/>
      <c r="L720" s="1"/>
      <c r="M720" s="1"/>
      <c r="N720" s="1"/>
      <c r="O720" s="1"/>
      <c r="P720" s="1"/>
      <c r="Q720" s="1"/>
      <c r="R720" s="1"/>
      <c r="S720" s="1"/>
      <c r="T720" s="1"/>
      <c r="U720" s="1"/>
      <c r="V720" s="1"/>
      <c r="W720" s="1"/>
      <c r="X720" s="1"/>
      <c r="Y720" s="1"/>
      <c r="Z720" s="1"/>
      <c r="AA720" s="1"/>
    </row>
    <row r="721" spans="2:27" ht="13.2" x14ac:dyDescent="0.25">
      <c r="B721" s="1"/>
      <c r="C721" s="1"/>
      <c r="D721" s="1"/>
      <c r="E721" s="1"/>
      <c r="F721" s="1"/>
      <c r="G721" s="1"/>
      <c r="H721" s="1"/>
      <c r="K721" s="1"/>
      <c r="L721" s="1"/>
      <c r="M721" s="1"/>
      <c r="N721" s="1"/>
      <c r="O721" s="1"/>
      <c r="P721" s="1"/>
      <c r="Q721" s="1"/>
      <c r="R721" s="1"/>
      <c r="S721" s="1"/>
      <c r="T721" s="1"/>
      <c r="U721" s="1"/>
      <c r="V721" s="1"/>
      <c r="W721" s="1"/>
      <c r="X721" s="1"/>
      <c r="Y721" s="1"/>
      <c r="Z721" s="1"/>
      <c r="AA721" s="1"/>
    </row>
    <row r="722" spans="2:27" ht="13.2" x14ac:dyDescent="0.25">
      <c r="B722" s="1"/>
      <c r="C722" s="1"/>
      <c r="D722" s="1"/>
      <c r="E722" s="1"/>
      <c r="F722" s="1"/>
      <c r="G722" s="1"/>
      <c r="H722" s="1"/>
      <c r="K722" s="1"/>
      <c r="L722" s="1"/>
      <c r="M722" s="1"/>
      <c r="N722" s="1"/>
      <c r="O722" s="1"/>
      <c r="P722" s="1"/>
      <c r="Q722" s="1"/>
      <c r="R722" s="1"/>
      <c r="S722" s="1"/>
      <c r="T722" s="1"/>
      <c r="U722" s="1"/>
      <c r="V722" s="1"/>
      <c r="W722" s="1"/>
      <c r="X722" s="1"/>
      <c r="Y722" s="1"/>
      <c r="Z722" s="1"/>
      <c r="AA722" s="1"/>
    </row>
    <row r="723" spans="2:27" ht="13.2" x14ac:dyDescent="0.25">
      <c r="B723" s="1"/>
      <c r="C723" s="1"/>
      <c r="D723" s="1"/>
      <c r="E723" s="1"/>
      <c r="F723" s="1"/>
      <c r="G723" s="1"/>
      <c r="H723" s="1"/>
      <c r="K723" s="1"/>
      <c r="L723" s="1"/>
      <c r="M723" s="1"/>
      <c r="N723" s="1"/>
      <c r="O723" s="1"/>
      <c r="P723" s="1"/>
      <c r="Q723" s="1"/>
      <c r="R723" s="1"/>
      <c r="S723" s="1"/>
      <c r="T723" s="1"/>
      <c r="U723" s="1"/>
      <c r="V723" s="1"/>
      <c r="W723" s="1"/>
      <c r="X723" s="1"/>
      <c r="Y723" s="1"/>
      <c r="Z723" s="1"/>
      <c r="AA723" s="1"/>
    </row>
    <row r="724" spans="2:27" ht="13.2" x14ac:dyDescent="0.25">
      <c r="B724" s="1"/>
      <c r="C724" s="1"/>
      <c r="D724" s="1"/>
      <c r="E724" s="1"/>
      <c r="F724" s="1"/>
      <c r="G724" s="1"/>
      <c r="H724" s="1"/>
      <c r="K724" s="1"/>
      <c r="L724" s="1"/>
      <c r="M724" s="1"/>
      <c r="N724" s="1"/>
      <c r="O724" s="1"/>
      <c r="P724" s="1"/>
      <c r="Q724" s="1"/>
      <c r="R724" s="1"/>
      <c r="S724" s="1"/>
      <c r="T724" s="1"/>
      <c r="U724" s="1"/>
      <c r="V724" s="1"/>
      <c r="W724" s="1"/>
      <c r="X724" s="1"/>
      <c r="Y724" s="1"/>
      <c r="Z724" s="1"/>
      <c r="AA724" s="1"/>
    </row>
    <row r="725" spans="2:27" ht="13.2" x14ac:dyDescent="0.25">
      <c r="B725" s="1"/>
      <c r="C725" s="1"/>
      <c r="D725" s="1"/>
      <c r="E725" s="1"/>
      <c r="F725" s="1"/>
      <c r="G725" s="1"/>
      <c r="H725" s="1"/>
      <c r="K725" s="1"/>
      <c r="L725" s="1"/>
      <c r="M725" s="1"/>
      <c r="N725" s="1"/>
      <c r="O725" s="1"/>
      <c r="P725" s="1"/>
      <c r="Q725" s="1"/>
      <c r="R725" s="1"/>
      <c r="S725" s="1"/>
      <c r="T725" s="1"/>
      <c r="U725" s="1"/>
      <c r="V725" s="1"/>
      <c r="W725" s="1"/>
      <c r="X725" s="1"/>
      <c r="Y725" s="1"/>
      <c r="Z725" s="1"/>
      <c r="AA725" s="1"/>
    </row>
    <row r="726" spans="2:27" ht="13.2" x14ac:dyDescent="0.25">
      <c r="B726" s="1"/>
      <c r="C726" s="1"/>
      <c r="D726" s="1"/>
      <c r="E726" s="1"/>
      <c r="F726" s="1"/>
      <c r="G726" s="1"/>
      <c r="H726" s="1"/>
      <c r="K726" s="1"/>
      <c r="L726" s="1"/>
      <c r="M726" s="1"/>
      <c r="N726" s="1"/>
      <c r="O726" s="1"/>
      <c r="P726" s="1"/>
      <c r="Q726" s="1"/>
      <c r="R726" s="1"/>
      <c r="S726" s="1"/>
      <c r="T726" s="1"/>
      <c r="U726" s="1"/>
      <c r="V726" s="1"/>
      <c r="W726" s="1"/>
      <c r="X726" s="1"/>
      <c r="Y726" s="1"/>
      <c r="Z726" s="1"/>
      <c r="AA726" s="1"/>
    </row>
    <row r="727" spans="2:27" ht="13.2" x14ac:dyDescent="0.25">
      <c r="B727" s="1"/>
      <c r="C727" s="1"/>
      <c r="D727" s="1"/>
      <c r="E727" s="1"/>
      <c r="F727" s="1"/>
      <c r="G727" s="1"/>
      <c r="H727" s="1"/>
      <c r="K727" s="1"/>
      <c r="L727" s="1"/>
      <c r="M727" s="1"/>
      <c r="N727" s="1"/>
      <c r="O727" s="1"/>
      <c r="P727" s="1"/>
      <c r="Q727" s="1"/>
      <c r="R727" s="1"/>
      <c r="S727" s="1"/>
      <c r="T727" s="1"/>
      <c r="U727" s="1"/>
      <c r="V727" s="1"/>
      <c r="W727" s="1"/>
      <c r="X727" s="1"/>
      <c r="Y727" s="1"/>
      <c r="Z727" s="1"/>
      <c r="AA727" s="1"/>
    </row>
    <row r="728" spans="2:27" ht="13.2" x14ac:dyDescent="0.25">
      <c r="B728" s="1"/>
      <c r="C728" s="1"/>
      <c r="D728" s="1"/>
      <c r="E728" s="1"/>
      <c r="F728" s="1"/>
      <c r="G728" s="1"/>
      <c r="H728" s="1"/>
      <c r="K728" s="1"/>
      <c r="L728" s="1"/>
      <c r="M728" s="1"/>
      <c r="N728" s="1"/>
      <c r="O728" s="1"/>
      <c r="P728" s="1"/>
      <c r="Q728" s="1"/>
      <c r="R728" s="1"/>
      <c r="S728" s="1"/>
      <c r="T728" s="1"/>
      <c r="U728" s="1"/>
      <c r="V728" s="1"/>
      <c r="W728" s="1"/>
      <c r="X728" s="1"/>
      <c r="Y728" s="1"/>
      <c r="Z728" s="1"/>
      <c r="AA728" s="1"/>
    </row>
    <row r="729" spans="2:27" ht="13.2" x14ac:dyDescent="0.25">
      <c r="B729" s="1"/>
      <c r="C729" s="1"/>
      <c r="D729" s="1"/>
      <c r="E729" s="1"/>
      <c r="F729" s="1"/>
      <c r="G729" s="1"/>
      <c r="H729" s="1"/>
      <c r="K729" s="1"/>
      <c r="L729" s="1"/>
      <c r="M729" s="1"/>
      <c r="N729" s="1"/>
      <c r="O729" s="1"/>
      <c r="P729" s="1"/>
      <c r="Q729" s="1"/>
      <c r="R729" s="1"/>
      <c r="S729" s="1"/>
      <c r="T729" s="1"/>
      <c r="U729" s="1"/>
      <c r="V729" s="1"/>
      <c r="W729" s="1"/>
      <c r="X729" s="1"/>
      <c r="Y729" s="1"/>
      <c r="Z729" s="1"/>
      <c r="AA729" s="1"/>
    </row>
    <row r="730" spans="2:27" ht="13.2" x14ac:dyDescent="0.25">
      <c r="B730" s="1"/>
      <c r="C730" s="1"/>
      <c r="D730" s="1"/>
      <c r="E730" s="1"/>
      <c r="F730" s="1"/>
      <c r="G730" s="1"/>
      <c r="H730" s="1"/>
      <c r="K730" s="1"/>
      <c r="L730" s="1"/>
      <c r="M730" s="1"/>
      <c r="N730" s="1"/>
      <c r="O730" s="1"/>
      <c r="P730" s="1"/>
      <c r="Q730" s="1"/>
      <c r="R730" s="1"/>
      <c r="S730" s="1"/>
      <c r="T730" s="1"/>
      <c r="U730" s="1"/>
      <c r="V730" s="1"/>
      <c r="W730" s="1"/>
      <c r="X730" s="1"/>
      <c r="Y730" s="1"/>
      <c r="Z730" s="1"/>
      <c r="AA730" s="1"/>
    </row>
    <row r="731" spans="2:27" ht="13.2" x14ac:dyDescent="0.25">
      <c r="B731" s="1"/>
      <c r="C731" s="1"/>
      <c r="D731" s="1"/>
      <c r="E731" s="1"/>
      <c r="F731" s="1"/>
      <c r="G731" s="1"/>
      <c r="H731" s="1"/>
      <c r="K731" s="1"/>
      <c r="L731" s="1"/>
      <c r="M731" s="1"/>
      <c r="N731" s="1"/>
      <c r="O731" s="1"/>
      <c r="P731" s="1"/>
      <c r="Q731" s="1"/>
      <c r="R731" s="1"/>
      <c r="S731" s="1"/>
      <c r="T731" s="1"/>
      <c r="U731" s="1"/>
      <c r="V731" s="1"/>
      <c r="W731" s="1"/>
      <c r="X731" s="1"/>
      <c r="Y731" s="1"/>
      <c r="Z731" s="1"/>
      <c r="AA731" s="1"/>
    </row>
    <row r="732" spans="2:27" ht="13.2" x14ac:dyDescent="0.25">
      <c r="B732" s="1"/>
      <c r="C732" s="1"/>
      <c r="D732" s="1"/>
      <c r="E732" s="1"/>
      <c r="F732" s="1"/>
      <c r="G732" s="1"/>
      <c r="H732" s="1"/>
      <c r="K732" s="1"/>
      <c r="L732" s="1"/>
      <c r="M732" s="1"/>
      <c r="N732" s="1"/>
      <c r="O732" s="1"/>
      <c r="P732" s="1"/>
      <c r="Q732" s="1"/>
      <c r="R732" s="1"/>
      <c r="S732" s="1"/>
      <c r="T732" s="1"/>
      <c r="U732" s="1"/>
      <c r="V732" s="1"/>
      <c r="W732" s="1"/>
      <c r="X732" s="1"/>
      <c r="Y732" s="1"/>
      <c r="Z732" s="1"/>
      <c r="AA732" s="1"/>
    </row>
    <row r="733" spans="2:27" ht="13.2" x14ac:dyDescent="0.25">
      <c r="B733" s="1"/>
      <c r="C733" s="1"/>
      <c r="D733" s="1"/>
      <c r="E733" s="1"/>
      <c r="F733" s="1"/>
      <c r="G733" s="1"/>
      <c r="H733" s="1"/>
      <c r="K733" s="1"/>
      <c r="L733" s="1"/>
      <c r="M733" s="1"/>
      <c r="N733" s="1"/>
      <c r="O733" s="1"/>
      <c r="P733" s="1"/>
      <c r="Q733" s="1"/>
      <c r="R733" s="1"/>
      <c r="S733" s="1"/>
      <c r="T733" s="1"/>
      <c r="U733" s="1"/>
      <c r="V733" s="1"/>
      <c r="W733" s="1"/>
      <c r="X733" s="1"/>
      <c r="Y733" s="1"/>
      <c r="Z733" s="1"/>
      <c r="AA733" s="1"/>
    </row>
    <row r="734" spans="2:27" ht="13.2" x14ac:dyDescent="0.25">
      <c r="B734" s="1"/>
      <c r="C734" s="1"/>
      <c r="D734" s="1"/>
      <c r="E734" s="1"/>
      <c r="F734" s="1"/>
      <c r="G734" s="1"/>
      <c r="H734" s="1"/>
      <c r="K734" s="1"/>
      <c r="L734" s="1"/>
      <c r="M734" s="1"/>
      <c r="N734" s="1"/>
      <c r="O734" s="1"/>
      <c r="P734" s="1"/>
      <c r="Q734" s="1"/>
      <c r="R734" s="1"/>
      <c r="S734" s="1"/>
      <c r="T734" s="1"/>
      <c r="U734" s="1"/>
      <c r="V734" s="1"/>
      <c r="W734" s="1"/>
      <c r="X734" s="1"/>
      <c r="Y734" s="1"/>
      <c r="Z734" s="1"/>
      <c r="AA734" s="1"/>
    </row>
    <row r="735" spans="2:27" ht="13.2" x14ac:dyDescent="0.25">
      <c r="B735" s="1"/>
      <c r="C735" s="1"/>
      <c r="D735" s="1"/>
      <c r="E735" s="1"/>
      <c r="F735" s="1"/>
      <c r="G735" s="1"/>
      <c r="H735" s="1"/>
      <c r="K735" s="1"/>
      <c r="L735" s="1"/>
      <c r="M735" s="1"/>
      <c r="N735" s="1"/>
      <c r="O735" s="1"/>
      <c r="P735" s="1"/>
      <c r="Q735" s="1"/>
      <c r="R735" s="1"/>
      <c r="S735" s="1"/>
      <c r="T735" s="1"/>
      <c r="U735" s="1"/>
      <c r="V735" s="1"/>
      <c r="W735" s="1"/>
      <c r="X735" s="1"/>
      <c r="Y735" s="1"/>
      <c r="Z735" s="1"/>
      <c r="AA735" s="1"/>
    </row>
    <row r="736" spans="2:27" ht="13.2" x14ac:dyDescent="0.25">
      <c r="B736" s="1"/>
      <c r="C736" s="1"/>
      <c r="D736" s="1"/>
      <c r="E736" s="1"/>
      <c r="F736" s="1"/>
      <c r="G736" s="1"/>
      <c r="H736" s="1"/>
      <c r="K736" s="1"/>
      <c r="L736" s="1"/>
      <c r="M736" s="1"/>
      <c r="N736" s="1"/>
      <c r="O736" s="1"/>
      <c r="P736" s="1"/>
      <c r="Q736" s="1"/>
      <c r="R736" s="1"/>
      <c r="S736" s="1"/>
      <c r="T736" s="1"/>
      <c r="U736" s="1"/>
      <c r="V736" s="1"/>
      <c r="W736" s="1"/>
      <c r="X736" s="1"/>
      <c r="Y736" s="1"/>
      <c r="Z736" s="1"/>
      <c r="AA736" s="1"/>
    </row>
    <row r="737" spans="2:27" ht="13.2" x14ac:dyDescent="0.25">
      <c r="B737" s="1"/>
      <c r="C737" s="1"/>
      <c r="D737" s="1"/>
      <c r="E737" s="1"/>
      <c r="F737" s="1"/>
      <c r="G737" s="1"/>
      <c r="H737" s="1"/>
      <c r="K737" s="1"/>
      <c r="L737" s="1"/>
      <c r="M737" s="1"/>
      <c r="N737" s="1"/>
      <c r="O737" s="1"/>
      <c r="P737" s="1"/>
      <c r="Q737" s="1"/>
      <c r="R737" s="1"/>
      <c r="S737" s="1"/>
      <c r="T737" s="1"/>
      <c r="U737" s="1"/>
      <c r="V737" s="1"/>
      <c r="W737" s="1"/>
      <c r="X737" s="1"/>
      <c r="Y737" s="1"/>
      <c r="Z737" s="1"/>
      <c r="AA737" s="1"/>
    </row>
    <row r="738" spans="2:27" ht="13.2" x14ac:dyDescent="0.25">
      <c r="B738" s="1"/>
      <c r="C738" s="1"/>
      <c r="D738" s="1"/>
      <c r="E738" s="1"/>
      <c r="F738" s="1"/>
      <c r="G738" s="1"/>
      <c r="H738" s="1"/>
      <c r="K738" s="1"/>
      <c r="L738" s="1"/>
      <c r="M738" s="1"/>
      <c r="N738" s="1"/>
      <c r="O738" s="1"/>
      <c r="P738" s="1"/>
      <c r="Q738" s="1"/>
      <c r="R738" s="1"/>
      <c r="S738" s="1"/>
      <c r="T738" s="1"/>
      <c r="U738" s="1"/>
      <c r="V738" s="1"/>
      <c r="W738" s="1"/>
      <c r="X738" s="1"/>
      <c r="Y738" s="1"/>
      <c r="Z738" s="1"/>
      <c r="AA738" s="1"/>
    </row>
    <row r="739" spans="2:27" ht="13.2" x14ac:dyDescent="0.25">
      <c r="B739" s="1"/>
      <c r="C739" s="1"/>
      <c r="D739" s="1"/>
      <c r="E739" s="1"/>
      <c r="F739" s="1"/>
      <c r="G739" s="1"/>
      <c r="H739" s="1"/>
      <c r="K739" s="1"/>
      <c r="L739" s="1"/>
      <c r="M739" s="1"/>
      <c r="N739" s="1"/>
      <c r="O739" s="1"/>
      <c r="P739" s="1"/>
      <c r="Q739" s="1"/>
      <c r="R739" s="1"/>
      <c r="S739" s="1"/>
      <c r="T739" s="1"/>
      <c r="U739" s="1"/>
      <c r="V739" s="1"/>
      <c r="W739" s="1"/>
      <c r="X739" s="1"/>
      <c r="Y739" s="1"/>
      <c r="Z739" s="1"/>
      <c r="AA739" s="1"/>
    </row>
    <row r="740" spans="2:27" ht="13.2" x14ac:dyDescent="0.25">
      <c r="B740" s="1"/>
      <c r="C740" s="1"/>
      <c r="D740" s="1"/>
      <c r="E740" s="1"/>
      <c r="F740" s="1"/>
      <c r="G740" s="1"/>
      <c r="H740" s="1"/>
      <c r="K740" s="1"/>
      <c r="L740" s="1"/>
      <c r="M740" s="1"/>
      <c r="N740" s="1"/>
      <c r="O740" s="1"/>
      <c r="P740" s="1"/>
      <c r="Q740" s="1"/>
      <c r="R740" s="1"/>
      <c r="S740" s="1"/>
      <c r="T740" s="1"/>
      <c r="U740" s="1"/>
      <c r="V740" s="1"/>
      <c r="W740" s="1"/>
      <c r="X740" s="1"/>
      <c r="Y740" s="1"/>
      <c r="Z740" s="1"/>
      <c r="AA740" s="1"/>
    </row>
    <row r="741" spans="2:27" ht="13.2" x14ac:dyDescent="0.25">
      <c r="B741" s="1"/>
      <c r="C741" s="1"/>
      <c r="D741" s="1"/>
      <c r="E741" s="1"/>
      <c r="F741" s="1"/>
      <c r="G741" s="1"/>
      <c r="H741" s="1"/>
      <c r="K741" s="1"/>
      <c r="L741" s="1"/>
      <c r="M741" s="1"/>
      <c r="N741" s="1"/>
      <c r="O741" s="1"/>
      <c r="P741" s="1"/>
      <c r="Q741" s="1"/>
      <c r="R741" s="1"/>
      <c r="S741" s="1"/>
      <c r="T741" s="1"/>
      <c r="U741" s="1"/>
      <c r="V741" s="1"/>
      <c r="W741" s="1"/>
      <c r="X741" s="1"/>
      <c r="Y741" s="1"/>
      <c r="Z741" s="1"/>
      <c r="AA741" s="1"/>
    </row>
    <row r="742" spans="2:27" ht="13.2" x14ac:dyDescent="0.25">
      <c r="B742" s="1"/>
      <c r="C742" s="1"/>
      <c r="D742" s="1"/>
      <c r="E742" s="1"/>
      <c r="F742" s="1"/>
      <c r="G742" s="1"/>
      <c r="H742" s="1"/>
      <c r="K742" s="1"/>
      <c r="L742" s="1"/>
      <c r="M742" s="1"/>
      <c r="N742" s="1"/>
      <c r="O742" s="1"/>
      <c r="P742" s="1"/>
      <c r="Q742" s="1"/>
      <c r="R742" s="1"/>
      <c r="S742" s="1"/>
      <c r="T742" s="1"/>
      <c r="U742" s="1"/>
      <c r="V742" s="1"/>
      <c r="W742" s="1"/>
      <c r="X742" s="1"/>
      <c r="Y742" s="1"/>
      <c r="Z742" s="1"/>
      <c r="AA742" s="1"/>
    </row>
    <row r="743" spans="2:27" ht="13.2" x14ac:dyDescent="0.25">
      <c r="B743" s="1"/>
      <c r="C743" s="1"/>
      <c r="D743" s="1"/>
      <c r="E743" s="1"/>
      <c r="F743" s="1"/>
      <c r="G743" s="1"/>
      <c r="H743" s="1"/>
      <c r="K743" s="1"/>
      <c r="L743" s="1"/>
      <c r="M743" s="1"/>
      <c r="N743" s="1"/>
      <c r="O743" s="1"/>
      <c r="P743" s="1"/>
      <c r="Q743" s="1"/>
      <c r="R743" s="1"/>
      <c r="S743" s="1"/>
      <c r="T743" s="1"/>
      <c r="U743" s="1"/>
      <c r="V743" s="1"/>
      <c r="W743" s="1"/>
      <c r="X743" s="1"/>
      <c r="Y743" s="1"/>
      <c r="Z743" s="1"/>
      <c r="AA743" s="1"/>
    </row>
    <row r="744" spans="2:27" ht="13.2" x14ac:dyDescent="0.25">
      <c r="B744" s="1"/>
      <c r="C744" s="1"/>
      <c r="D744" s="1"/>
      <c r="E744" s="1"/>
      <c r="F744" s="1"/>
      <c r="G744" s="1"/>
      <c r="H744" s="1"/>
      <c r="K744" s="1"/>
      <c r="L744" s="1"/>
      <c r="M744" s="1"/>
      <c r="N744" s="1"/>
      <c r="O744" s="1"/>
      <c r="P744" s="1"/>
      <c r="Q744" s="1"/>
      <c r="R744" s="1"/>
      <c r="S744" s="1"/>
      <c r="T744" s="1"/>
      <c r="U744" s="1"/>
      <c r="V744" s="1"/>
      <c r="W744" s="1"/>
      <c r="X744" s="1"/>
      <c r="Y744" s="1"/>
      <c r="Z744" s="1"/>
      <c r="AA744" s="1"/>
    </row>
    <row r="745" spans="2:27" ht="13.2" x14ac:dyDescent="0.25">
      <c r="B745" s="1"/>
      <c r="C745" s="1"/>
      <c r="D745" s="1"/>
      <c r="E745" s="1"/>
      <c r="F745" s="1"/>
      <c r="G745" s="1"/>
      <c r="H745" s="1"/>
      <c r="K745" s="1"/>
      <c r="L745" s="1"/>
      <c r="M745" s="1"/>
      <c r="N745" s="1"/>
      <c r="O745" s="1"/>
      <c r="P745" s="1"/>
      <c r="Q745" s="1"/>
      <c r="R745" s="1"/>
      <c r="S745" s="1"/>
      <c r="T745" s="1"/>
      <c r="U745" s="1"/>
      <c r="V745" s="1"/>
      <c r="W745" s="1"/>
      <c r="X745" s="1"/>
      <c r="Y745" s="1"/>
      <c r="Z745" s="1"/>
      <c r="AA745" s="1"/>
    </row>
    <row r="746" spans="2:27" ht="13.2" x14ac:dyDescent="0.25">
      <c r="B746" s="1"/>
      <c r="C746" s="1"/>
      <c r="D746" s="1"/>
      <c r="E746" s="1"/>
      <c r="F746" s="1"/>
      <c r="G746" s="1"/>
      <c r="H746" s="1"/>
      <c r="K746" s="1"/>
      <c r="L746" s="1"/>
      <c r="M746" s="1"/>
      <c r="N746" s="1"/>
      <c r="O746" s="1"/>
      <c r="P746" s="1"/>
      <c r="Q746" s="1"/>
      <c r="R746" s="1"/>
      <c r="S746" s="1"/>
      <c r="T746" s="1"/>
      <c r="U746" s="1"/>
      <c r="V746" s="1"/>
      <c r="W746" s="1"/>
      <c r="X746" s="1"/>
      <c r="Y746" s="1"/>
      <c r="Z746" s="1"/>
      <c r="AA746" s="1"/>
    </row>
    <row r="747" spans="2:27" ht="13.2" x14ac:dyDescent="0.25">
      <c r="B747" s="1"/>
      <c r="C747" s="1"/>
      <c r="D747" s="1"/>
      <c r="E747" s="1"/>
      <c r="F747" s="1"/>
      <c r="G747" s="1"/>
      <c r="H747" s="1"/>
      <c r="K747" s="1"/>
      <c r="L747" s="1"/>
      <c r="M747" s="1"/>
      <c r="N747" s="1"/>
      <c r="O747" s="1"/>
      <c r="P747" s="1"/>
      <c r="Q747" s="1"/>
      <c r="R747" s="1"/>
      <c r="S747" s="1"/>
      <c r="T747" s="1"/>
      <c r="U747" s="1"/>
      <c r="V747" s="1"/>
      <c r="W747" s="1"/>
      <c r="X747" s="1"/>
      <c r="Y747" s="1"/>
      <c r="Z747" s="1"/>
      <c r="AA747" s="1"/>
    </row>
    <row r="748" spans="2:27" ht="13.2" x14ac:dyDescent="0.25">
      <c r="B748" s="1"/>
      <c r="C748" s="1"/>
      <c r="D748" s="1"/>
      <c r="E748" s="1"/>
      <c r="F748" s="1"/>
      <c r="G748" s="1"/>
      <c r="H748" s="1"/>
      <c r="K748" s="1"/>
      <c r="L748" s="1"/>
      <c r="M748" s="1"/>
      <c r="N748" s="1"/>
      <c r="O748" s="1"/>
      <c r="P748" s="1"/>
      <c r="Q748" s="1"/>
      <c r="R748" s="1"/>
      <c r="S748" s="1"/>
      <c r="T748" s="1"/>
      <c r="U748" s="1"/>
      <c r="V748" s="1"/>
      <c r="W748" s="1"/>
      <c r="X748" s="1"/>
      <c r="Y748" s="1"/>
      <c r="Z748" s="1"/>
      <c r="AA748" s="1"/>
    </row>
    <row r="749" spans="2:27" ht="13.2" x14ac:dyDescent="0.25">
      <c r="B749" s="1"/>
      <c r="C749" s="1"/>
      <c r="D749" s="1"/>
      <c r="E749" s="1"/>
      <c r="F749" s="1"/>
      <c r="G749" s="1"/>
      <c r="H749" s="1"/>
      <c r="K749" s="1"/>
      <c r="L749" s="1"/>
      <c r="M749" s="1"/>
      <c r="N749" s="1"/>
      <c r="O749" s="1"/>
      <c r="P749" s="1"/>
      <c r="Q749" s="1"/>
      <c r="R749" s="1"/>
      <c r="S749" s="1"/>
      <c r="T749" s="1"/>
      <c r="U749" s="1"/>
      <c r="V749" s="1"/>
      <c r="W749" s="1"/>
      <c r="X749" s="1"/>
      <c r="Y749" s="1"/>
      <c r="Z749" s="1"/>
      <c r="AA749" s="1"/>
    </row>
    <row r="750" spans="2:27" ht="13.2" x14ac:dyDescent="0.25">
      <c r="B750" s="1"/>
      <c r="C750" s="1"/>
      <c r="D750" s="1"/>
      <c r="E750" s="1"/>
      <c r="F750" s="1"/>
      <c r="G750" s="1"/>
      <c r="H750" s="1"/>
      <c r="K750" s="1"/>
      <c r="L750" s="1"/>
      <c r="M750" s="1"/>
      <c r="N750" s="1"/>
      <c r="O750" s="1"/>
      <c r="P750" s="1"/>
      <c r="Q750" s="1"/>
      <c r="R750" s="1"/>
      <c r="S750" s="1"/>
      <c r="T750" s="1"/>
      <c r="U750" s="1"/>
      <c r="V750" s="1"/>
      <c r="W750" s="1"/>
      <c r="X750" s="1"/>
      <c r="Y750" s="1"/>
      <c r="Z750" s="1"/>
      <c r="AA750" s="1"/>
    </row>
    <row r="751" spans="2:27" ht="13.2" x14ac:dyDescent="0.25">
      <c r="B751" s="1"/>
      <c r="C751" s="1"/>
      <c r="D751" s="1"/>
      <c r="E751" s="1"/>
      <c r="F751" s="1"/>
      <c r="G751" s="1"/>
      <c r="H751" s="1"/>
      <c r="K751" s="1"/>
      <c r="L751" s="1"/>
      <c r="M751" s="1"/>
      <c r="N751" s="1"/>
      <c r="O751" s="1"/>
      <c r="P751" s="1"/>
      <c r="Q751" s="1"/>
      <c r="R751" s="1"/>
      <c r="S751" s="1"/>
      <c r="T751" s="1"/>
      <c r="U751" s="1"/>
      <c r="V751" s="1"/>
      <c r="W751" s="1"/>
      <c r="X751" s="1"/>
      <c r="Y751" s="1"/>
      <c r="Z751" s="1"/>
      <c r="AA751" s="1"/>
    </row>
    <row r="752" spans="2:27" ht="13.2" x14ac:dyDescent="0.25">
      <c r="B752" s="1"/>
      <c r="C752" s="1"/>
      <c r="D752" s="1"/>
      <c r="E752" s="1"/>
      <c r="F752" s="1"/>
      <c r="G752" s="1"/>
      <c r="H752" s="1"/>
      <c r="K752" s="1"/>
      <c r="L752" s="1"/>
      <c r="M752" s="1"/>
      <c r="N752" s="1"/>
      <c r="O752" s="1"/>
      <c r="P752" s="1"/>
      <c r="Q752" s="1"/>
      <c r="R752" s="1"/>
      <c r="S752" s="1"/>
      <c r="T752" s="1"/>
      <c r="U752" s="1"/>
      <c r="V752" s="1"/>
      <c r="W752" s="1"/>
      <c r="X752" s="1"/>
      <c r="Y752" s="1"/>
      <c r="Z752" s="1"/>
      <c r="AA752" s="1"/>
    </row>
    <row r="753" spans="2:27" ht="13.2" x14ac:dyDescent="0.25">
      <c r="B753" s="1"/>
      <c r="C753" s="1"/>
      <c r="D753" s="1"/>
      <c r="E753" s="1"/>
      <c r="F753" s="1"/>
      <c r="G753" s="1"/>
      <c r="H753" s="1"/>
      <c r="K753" s="1"/>
      <c r="L753" s="1"/>
      <c r="M753" s="1"/>
      <c r="N753" s="1"/>
      <c r="O753" s="1"/>
      <c r="P753" s="1"/>
      <c r="Q753" s="1"/>
      <c r="R753" s="1"/>
      <c r="S753" s="1"/>
      <c r="T753" s="1"/>
      <c r="U753" s="1"/>
      <c r="V753" s="1"/>
      <c r="W753" s="1"/>
      <c r="X753" s="1"/>
      <c r="Y753" s="1"/>
      <c r="Z753" s="1"/>
      <c r="AA753" s="1"/>
    </row>
    <row r="754" spans="2:27" ht="13.2" x14ac:dyDescent="0.25">
      <c r="B754" s="1"/>
      <c r="C754" s="1"/>
      <c r="D754" s="1"/>
      <c r="E754" s="1"/>
      <c r="F754" s="1"/>
      <c r="G754" s="1"/>
      <c r="H754" s="1"/>
      <c r="K754" s="1"/>
      <c r="L754" s="1"/>
      <c r="M754" s="1"/>
      <c r="N754" s="1"/>
      <c r="O754" s="1"/>
      <c r="P754" s="1"/>
      <c r="Q754" s="1"/>
      <c r="R754" s="1"/>
      <c r="S754" s="1"/>
      <c r="T754" s="1"/>
      <c r="U754" s="1"/>
      <c r="V754" s="1"/>
      <c r="W754" s="1"/>
      <c r="X754" s="1"/>
      <c r="Y754" s="1"/>
      <c r="Z754" s="1"/>
      <c r="AA754" s="1"/>
    </row>
    <row r="755" spans="2:27" ht="13.2" x14ac:dyDescent="0.25">
      <c r="B755" s="1"/>
      <c r="C755" s="1"/>
      <c r="D755" s="1"/>
      <c r="E755" s="1"/>
      <c r="F755" s="1"/>
      <c r="G755" s="1"/>
      <c r="H755" s="1"/>
      <c r="K755" s="1"/>
      <c r="L755" s="1"/>
      <c r="M755" s="1"/>
      <c r="N755" s="1"/>
      <c r="O755" s="1"/>
      <c r="P755" s="1"/>
      <c r="Q755" s="1"/>
      <c r="R755" s="1"/>
      <c r="S755" s="1"/>
      <c r="T755" s="1"/>
      <c r="U755" s="1"/>
      <c r="V755" s="1"/>
      <c r="W755" s="1"/>
      <c r="X755" s="1"/>
      <c r="Y755" s="1"/>
      <c r="Z755" s="1"/>
      <c r="AA755" s="1"/>
    </row>
    <row r="756" spans="2:27" ht="13.2" x14ac:dyDescent="0.25">
      <c r="B756" s="1"/>
      <c r="C756" s="1"/>
      <c r="D756" s="1"/>
      <c r="E756" s="1"/>
      <c r="F756" s="1"/>
      <c r="G756" s="1"/>
      <c r="H756" s="1"/>
      <c r="K756" s="1"/>
      <c r="L756" s="1"/>
      <c r="M756" s="1"/>
      <c r="N756" s="1"/>
      <c r="O756" s="1"/>
      <c r="P756" s="1"/>
      <c r="Q756" s="1"/>
      <c r="R756" s="1"/>
      <c r="S756" s="1"/>
      <c r="T756" s="1"/>
      <c r="U756" s="1"/>
      <c r="V756" s="1"/>
      <c r="W756" s="1"/>
      <c r="X756" s="1"/>
      <c r="Y756" s="1"/>
      <c r="Z756" s="1"/>
      <c r="AA756" s="1"/>
    </row>
    <row r="757" spans="2:27" ht="13.2" x14ac:dyDescent="0.25">
      <c r="B757" s="1"/>
      <c r="C757" s="1"/>
      <c r="D757" s="1"/>
      <c r="E757" s="1"/>
      <c r="F757" s="1"/>
      <c r="G757" s="1"/>
      <c r="H757" s="1"/>
      <c r="K757" s="1"/>
      <c r="L757" s="1"/>
      <c r="M757" s="1"/>
      <c r="N757" s="1"/>
      <c r="O757" s="1"/>
      <c r="P757" s="1"/>
      <c r="Q757" s="1"/>
      <c r="R757" s="1"/>
      <c r="S757" s="1"/>
      <c r="T757" s="1"/>
      <c r="U757" s="1"/>
      <c r="V757" s="1"/>
      <c r="W757" s="1"/>
      <c r="X757" s="1"/>
      <c r="Y757" s="1"/>
      <c r="Z757" s="1"/>
      <c r="AA757" s="1"/>
    </row>
    <row r="758" spans="2:27" ht="13.2" x14ac:dyDescent="0.25">
      <c r="B758" s="1"/>
      <c r="C758" s="1"/>
      <c r="D758" s="1"/>
      <c r="E758" s="1"/>
      <c r="F758" s="1"/>
      <c r="G758" s="1"/>
      <c r="H758" s="1"/>
      <c r="K758" s="1"/>
      <c r="L758" s="1"/>
      <c r="M758" s="1"/>
      <c r="N758" s="1"/>
      <c r="O758" s="1"/>
      <c r="P758" s="1"/>
      <c r="Q758" s="1"/>
      <c r="R758" s="1"/>
      <c r="S758" s="1"/>
      <c r="T758" s="1"/>
      <c r="U758" s="1"/>
      <c r="V758" s="1"/>
      <c r="W758" s="1"/>
      <c r="X758" s="1"/>
      <c r="Y758" s="1"/>
      <c r="Z758" s="1"/>
      <c r="AA758" s="1"/>
    </row>
    <row r="759" spans="2:27" ht="13.2" x14ac:dyDescent="0.25">
      <c r="B759" s="1"/>
      <c r="C759" s="1"/>
      <c r="D759" s="1"/>
      <c r="E759" s="1"/>
      <c r="F759" s="1"/>
      <c r="G759" s="1"/>
      <c r="H759" s="1"/>
      <c r="K759" s="1"/>
      <c r="L759" s="1"/>
      <c r="M759" s="1"/>
      <c r="N759" s="1"/>
      <c r="O759" s="1"/>
      <c r="P759" s="1"/>
      <c r="Q759" s="1"/>
      <c r="R759" s="1"/>
      <c r="S759" s="1"/>
      <c r="T759" s="1"/>
      <c r="U759" s="1"/>
      <c r="V759" s="1"/>
      <c r="W759" s="1"/>
      <c r="X759" s="1"/>
      <c r="Y759" s="1"/>
      <c r="Z759" s="1"/>
      <c r="AA759" s="1"/>
    </row>
    <row r="760" spans="2:27" ht="13.2" x14ac:dyDescent="0.25">
      <c r="B760" s="1"/>
      <c r="C760" s="1"/>
      <c r="D760" s="1"/>
      <c r="E760" s="1"/>
      <c r="F760" s="1"/>
      <c r="G760" s="1"/>
      <c r="H760" s="1"/>
      <c r="K760" s="1"/>
      <c r="L760" s="1"/>
      <c r="M760" s="1"/>
      <c r="N760" s="1"/>
      <c r="O760" s="1"/>
      <c r="P760" s="1"/>
      <c r="Q760" s="1"/>
      <c r="R760" s="1"/>
      <c r="S760" s="1"/>
      <c r="T760" s="1"/>
      <c r="U760" s="1"/>
      <c r="V760" s="1"/>
      <c r="W760" s="1"/>
      <c r="X760" s="1"/>
      <c r="Y760" s="1"/>
      <c r="Z760" s="1"/>
      <c r="AA760" s="1"/>
    </row>
    <row r="761" spans="2:27" ht="13.2" x14ac:dyDescent="0.25">
      <c r="B761" s="1"/>
      <c r="C761" s="1"/>
      <c r="D761" s="1"/>
      <c r="E761" s="1"/>
      <c r="F761" s="1"/>
      <c r="G761" s="1"/>
      <c r="H761" s="1"/>
      <c r="K761" s="1"/>
      <c r="L761" s="1"/>
      <c r="M761" s="1"/>
      <c r="N761" s="1"/>
      <c r="O761" s="1"/>
      <c r="P761" s="1"/>
      <c r="Q761" s="1"/>
      <c r="R761" s="1"/>
      <c r="S761" s="1"/>
      <c r="T761" s="1"/>
      <c r="U761" s="1"/>
      <c r="V761" s="1"/>
      <c r="W761" s="1"/>
      <c r="X761" s="1"/>
      <c r="Y761" s="1"/>
      <c r="Z761" s="1"/>
      <c r="AA761" s="1"/>
    </row>
    <row r="762" spans="2:27" ht="13.2" x14ac:dyDescent="0.25">
      <c r="B762" s="1"/>
      <c r="C762" s="1"/>
      <c r="D762" s="1"/>
      <c r="E762" s="1"/>
      <c r="F762" s="1"/>
      <c r="G762" s="1"/>
      <c r="H762" s="1"/>
      <c r="K762" s="1"/>
      <c r="L762" s="1"/>
      <c r="M762" s="1"/>
      <c r="N762" s="1"/>
      <c r="O762" s="1"/>
      <c r="P762" s="1"/>
      <c r="Q762" s="1"/>
      <c r="R762" s="1"/>
      <c r="S762" s="1"/>
      <c r="T762" s="1"/>
      <c r="U762" s="1"/>
      <c r="V762" s="1"/>
      <c r="W762" s="1"/>
      <c r="X762" s="1"/>
      <c r="Y762" s="1"/>
      <c r="Z762" s="1"/>
      <c r="AA762" s="1"/>
    </row>
    <row r="763" spans="2:27" ht="13.2" x14ac:dyDescent="0.25">
      <c r="B763" s="1"/>
      <c r="C763" s="1"/>
      <c r="D763" s="1"/>
      <c r="E763" s="1"/>
      <c r="F763" s="1"/>
      <c r="G763" s="1"/>
      <c r="H763" s="1"/>
      <c r="K763" s="1"/>
      <c r="L763" s="1"/>
      <c r="M763" s="1"/>
      <c r="N763" s="1"/>
      <c r="O763" s="1"/>
      <c r="P763" s="1"/>
      <c r="Q763" s="1"/>
      <c r="R763" s="1"/>
      <c r="S763" s="1"/>
      <c r="T763" s="1"/>
      <c r="U763" s="1"/>
      <c r="V763" s="1"/>
      <c r="W763" s="1"/>
      <c r="X763" s="1"/>
      <c r="Y763" s="1"/>
      <c r="Z763" s="1"/>
      <c r="AA763" s="1"/>
    </row>
    <row r="764" spans="2:27" ht="13.2" x14ac:dyDescent="0.25">
      <c r="B764" s="1"/>
      <c r="C764" s="1"/>
      <c r="D764" s="1"/>
      <c r="E764" s="1"/>
      <c r="F764" s="1"/>
      <c r="G764" s="1"/>
      <c r="H764" s="1"/>
      <c r="K764" s="1"/>
      <c r="L764" s="1"/>
      <c r="M764" s="1"/>
      <c r="N764" s="1"/>
      <c r="O764" s="1"/>
      <c r="P764" s="1"/>
      <c r="Q764" s="1"/>
      <c r="R764" s="1"/>
      <c r="S764" s="1"/>
      <c r="T764" s="1"/>
      <c r="U764" s="1"/>
      <c r="V764" s="1"/>
      <c r="W764" s="1"/>
      <c r="X764" s="1"/>
      <c r="Y764" s="1"/>
      <c r="Z764" s="1"/>
      <c r="AA764" s="1"/>
    </row>
    <row r="765" spans="2:27" ht="13.2" x14ac:dyDescent="0.25">
      <c r="B765" s="1"/>
      <c r="C765" s="1"/>
      <c r="D765" s="1"/>
      <c r="E765" s="1"/>
      <c r="F765" s="1"/>
      <c r="G765" s="1"/>
      <c r="H765" s="1"/>
      <c r="K765" s="1"/>
      <c r="L765" s="1"/>
      <c r="M765" s="1"/>
      <c r="N765" s="1"/>
      <c r="O765" s="1"/>
      <c r="P765" s="1"/>
      <c r="Q765" s="1"/>
      <c r="R765" s="1"/>
      <c r="S765" s="1"/>
      <c r="T765" s="1"/>
      <c r="U765" s="1"/>
      <c r="V765" s="1"/>
      <c r="W765" s="1"/>
      <c r="X765" s="1"/>
      <c r="Y765" s="1"/>
      <c r="Z765" s="1"/>
      <c r="AA765" s="1"/>
    </row>
    <row r="766" spans="2:27" ht="13.2" x14ac:dyDescent="0.25">
      <c r="B766" s="1"/>
      <c r="C766" s="1"/>
      <c r="D766" s="1"/>
      <c r="E766" s="1"/>
      <c r="F766" s="1"/>
      <c r="G766" s="1"/>
      <c r="H766" s="1"/>
      <c r="K766" s="1"/>
      <c r="L766" s="1"/>
      <c r="M766" s="1"/>
      <c r="N766" s="1"/>
      <c r="O766" s="1"/>
      <c r="P766" s="1"/>
      <c r="Q766" s="1"/>
      <c r="R766" s="1"/>
      <c r="S766" s="1"/>
      <c r="T766" s="1"/>
      <c r="U766" s="1"/>
      <c r="V766" s="1"/>
      <c r="W766" s="1"/>
      <c r="X766" s="1"/>
      <c r="Y766" s="1"/>
      <c r="Z766" s="1"/>
      <c r="AA766" s="1"/>
    </row>
    <row r="767" spans="2:27" ht="13.2" x14ac:dyDescent="0.25">
      <c r="B767" s="1"/>
      <c r="C767" s="1"/>
      <c r="D767" s="1"/>
      <c r="E767" s="1"/>
      <c r="F767" s="1"/>
      <c r="G767" s="1"/>
      <c r="H767" s="1"/>
      <c r="K767" s="1"/>
      <c r="L767" s="1"/>
      <c r="M767" s="1"/>
      <c r="N767" s="1"/>
      <c r="O767" s="1"/>
      <c r="P767" s="1"/>
      <c r="Q767" s="1"/>
      <c r="R767" s="1"/>
      <c r="S767" s="1"/>
      <c r="T767" s="1"/>
      <c r="U767" s="1"/>
      <c r="V767" s="1"/>
      <c r="W767" s="1"/>
      <c r="X767" s="1"/>
      <c r="Y767" s="1"/>
      <c r="Z767" s="1"/>
      <c r="AA767" s="1"/>
    </row>
    <row r="768" spans="2:27" ht="13.2" x14ac:dyDescent="0.25">
      <c r="B768" s="1"/>
      <c r="C768" s="1"/>
      <c r="D768" s="1"/>
      <c r="E768" s="1"/>
      <c r="F768" s="1"/>
      <c r="G768" s="1"/>
      <c r="H768" s="1"/>
      <c r="K768" s="1"/>
      <c r="L768" s="1"/>
      <c r="M768" s="1"/>
      <c r="N768" s="1"/>
      <c r="O768" s="1"/>
      <c r="P768" s="1"/>
      <c r="Q768" s="1"/>
      <c r="R768" s="1"/>
      <c r="S768" s="1"/>
      <c r="T768" s="1"/>
      <c r="U768" s="1"/>
      <c r="V768" s="1"/>
      <c r="W768" s="1"/>
      <c r="X768" s="1"/>
      <c r="Y768" s="1"/>
      <c r="Z768" s="1"/>
      <c r="AA768" s="1"/>
    </row>
    <row r="769" spans="2:27" ht="13.2" x14ac:dyDescent="0.25">
      <c r="B769" s="1"/>
      <c r="C769" s="1"/>
      <c r="D769" s="1"/>
      <c r="E769" s="1"/>
      <c r="F769" s="1"/>
      <c r="G769" s="1"/>
      <c r="H769" s="1"/>
      <c r="K769" s="1"/>
      <c r="L769" s="1"/>
      <c r="M769" s="1"/>
      <c r="N769" s="1"/>
      <c r="O769" s="1"/>
      <c r="P769" s="1"/>
      <c r="Q769" s="1"/>
      <c r="R769" s="1"/>
      <c r="S769" s="1"/>
      <c r="T769" s="1"/>
      <c r="U769" s="1"/>
      <c r="V769" s="1"/>
      <c r="W769" s="1"/>
      <c r="X769" s="1"/>
      <c r="Y769" s="1"/>
      <c r="Z769" s="1"/>
      <c r="AA769" s="1"/>
    </row>
    <row r="770" spans="2:27" ht="13.2" x14ac:dyDescent="0.25">
      <c r="B770" s="1"/>
      <c r="C770" s="1"/>
      <c r="D770" s="1"/>
      <c r="E770" s="1"/>
      <c r="F770" s="1"/>
      <c r="G770" s="1"/>
      <c r="H770" s="1"/>
      <c r="K770" s="1"/>
      <c r="L770" s="1"/>
      <c r="M770" s="1"/>
      <c r="N770" s="1"/>
      <c r="O770" s="1"/>
      <c r="P770" s="1"/>
      <c r="Q770" s="1"/>
      <c r="R770" s="1"/>
      <c r="S770" s="1"/>
      <c r="T770" s="1"/>
      <c r="U770" s="1"/>
      <c r="V770" s="1"/>
      <c r="W770" s="1"/>
      <c r="X770" s="1"/>
      <c r="Y770" s="1"/>
      <c r="Z770" s="1"/>
      <c r="AA770" s="1"/>
    </row>
    <row r="771" spans="2:27" ht="13.2" x14ac:dyDescent="0.25">
      <c r="B771" s="1"/>
      <c r="C771" s="1"/>
      <c r="D771" s="1"/>
      <c r="E771" s="1"/>
      <c r="F771" s="1"/>
      <c r="G771" s="1"/>
      <c r="H771" s="1"/>
      <c r="K771" s="1"/>
      <c r="L771" s="1"/>
      <c r="M771" s="1"/>
      <c r="N771" s="1"/>
      <c r="O771" s="1"/>
      <c r="P771" s="1"/>
      <c r="Q771" s="1"/>
      <c r="R771" s="1"/>
      <c r="S771" s="1"/>
      <c r="T771" s="1"/>
      <c r="U771" s="1"/>
      <c r="V771" s="1"/>
      <c r="W771" s="1"/>
      <c r="X771" s="1"/>
      <c r="Y771" s="1"/>
      <c r="Z771" s="1"/>
      <c r="AA771" s="1"/>
    </row>
    <row r="772" spans="2:27" ht="13.2" x14ac:dyDescent="0.25">
      <c r="B772" s="1"/>
      <c r="C772" s="1"/>
      <c r="D772" s="1"/>
      <c r="E772" s="1"/>
      <c r="F772" s="1"/>
      <c r="G772" s="1"/>
      <c r="H772" s="1"/>
      <c r="K772" s="1"/>
      <c r="L772" s="1"/>
      <c r="M772" s="1"/>
      <c r="N772" s="1"/>
      <c r="O772" s="1"/>
      <c r="P772" s="1"/>
      <c r="Q772" s="1"/>
      <c r="R772" s="1"/>
      <c r="S772" s="1"/>
      <c r="T772" s="1"/>
      <c r="U772" s="1"/>
      <c r="V772" s="1"/>
      <c r="W772" s="1"/>
      <c r="X772" s="1"/>
      <c r="Y772" s="1"/>
      <c r="Z772" s="1"/>
      <c r="AA772" s="1"/>
    </row>
    <row r="773" spans="2:27" ht="13.2" x14ac:dyDescent="0.25">
      <c r="B773" s="1"/>
      <c r="C773" s="1"/>
      <c r="D773" s="1"/>
      <c r="E773" s="1"/>
      <c r="F773" s="1"/>
      <c r="G773" s="1"/>
      <c r="H773" s="1"/>
      <c r="K773" s="1"/>
      <c r="L773" s="1"/>
      <c r="M773" s="1"/>
      <c r="N773" s="1"/>
      <c r="O773" s="1"/>
      <c r="P773" s="1"/>
      <c r="Q773" s="1"/>
      <c r="R773" s="1"/>
      <c r="S773" s="1"/>
      <c r="T773" s="1"/>
      <c r="U773" s="1"/>
      <c r="V773" s="1"/>
      <c r="W773" s="1"/>
      <c r="X773" s="1"/>
      <c r="Y773" s="1"/>
      <c r="Z773" s="1"/>
      <c r="AA773" s="1"/>
    </row>
    <row r="774" spans="2:27" ht="13.2" x14ac:dyDescent="0.25">
      <c r="B774" s="1"/>
      <c r="C774" s="1"/>
      <c r="D774" s="1"/>
      <c r="E774" s="1"/>
      <c r="F774" s="1"/>
      <c r="G774" s="1"/>
      <c r="H774" s="1"/>
      <c r="K774" s="1"/>
      <c r="L774" s="1"/>
      <c r="M774" s="1"/>
      <c r="N774" s="1"/>
      <c r="O774" s="1"/>
      <c r="P774" s="1"/>
      <c r="Q774" s="1"/>
      <c r="R774" s="1"/>
      <c r="S774" s="1"/>
      <c r="T774" s="1"/>
      <c r="U774" s="1"/>
      <c r="V774" s="1"/>
      <c r="W774" s="1"/>
      <c r="X774" s="1"/>
      <c r="Y774" s="1"/>
      <c r="Z774" s="1"/>
      <c r="AA774" s="1"/>
    </row>
    <row r="775" spans="2:27" ht="13.2" x14ac:dyDescent="0.25">
      <c r="B775" s="1"/>
      <c r="C775" s="1"/>
      <c r="D775" s="1"/>
      <c r="E775" s="1"/>
      <c r="F775" s="1"/>
      <c r="G775" s="1"/>
      <c r="H775" s="1"/>
      <c r="K775" s="1"/>
      <c r="L775" s="1"/>
      <c r="M775" s="1"/>
      <c r="N775" s="1"/>
      <c r="O775" s="1"/>
      <c r="P775" s="1"/>
      <c r="Q775" s="1"/>
      <c r="R775" s="1"/>
      <c r="S775" s="1"/>
      <c r="T775" s="1"/>
      <c r="U775" s="1"/>
      <c r="V775" s="1"/>
      <c r="W775" s="1"/>
      <c r="X775" s="1"/>
      <c r="Y775" s="1"/>
      <c r="Z775" s="1"/>
      <c r="AA775" s="1"/>
    </row>
    <row r="776" spans="2:27" ht="13.2" x14ac:dyDescent="0.25">
      <c r="B776" s="1"/>
      <c r="C776" s="1"/>
      <c r="D776" s="1"/>
      <c r="E776" s="1"/>
      <c r="F776" s="1"/>
      <c r="G776" s="1"/>
      <c r="H776" s="1"/>
      <c r="K776" s="1"/>
      <c r="L776" s="1"/>
      <c r="M776" s="1"/>
      <c r="N776" s="1"/>
      <c r="O776" s="1"/>
      <c r="P776" s="1"/>
      <c r="Q776" s="1"/>
      <c r="R776" s="1"/>
      <c r="S776" s="1"/>
      <c r="T776" s="1"/>
      <c r="U776" s="1"/>
      <c r="V776" s="1"/>
      <c r="W776" s="1"/>
      <c r="X776" s="1"/>
      <c r="Y776" s="1"/>
      <c r="Z776" s="1"/>
      <c r="AA776" s="1"/>
    </row>
    <row r="777" spans="2:27" ht="13.2" x14ac:dyDescent="0.25">
      <c r="B777" s="1"/>
      <c r="C777" s="1"/>
      <c r="D777" s="1"/>
      <c r="E777" s="1"/>
      <c r="F777" s="1"/>
      <c r="G777" s="1"/>
      <c r="H777" s="1"/>
      <c r="K777" s="1"/>
      <c r="L777" s="1"/>
      <c r="M777" s="1"/>
      <c r="N777" s="1"/>
      <c r="O777" s="1"/>
      <c r="P777" s="1"/>
      <c r="Q777" s="1"/>
      <c r="R777" s="1"/>
      <c r="S777" s="1"/>
      <c r="T777" s="1"/>
      <c r="U777" s="1"/>
      <c r="V777" s="1"/>
      <c r="W777" s="1"/>
      <c r="X777" s="1"/>
      <c r="Y777" s="1"/>
      <c r="Z777" s="1"/>
      <c r="AA777" s="1"/>
    </row>
    <row r="778" spans="2:27" ht="13.2" x14ac:dyDescent="0.25">
      <c r="B778" s="1"/>
      <c r="C778" s="1"/>
      <c r="D778" s="1"/>
      <c r="E778" s="1"/>
      <c r="F778" s="1"/>
      <c r="G778" s="1"/>
      <c r="H778" s="1"/>
      <c r="K778" s="1"/>
      <c r="L778" s="1"/>
      <c r="M778" s="1"/>
      <c r="N778" s="1"/>
      <c r="O778" s="1"/>
      <c r="P778" s="1"/>
      <c r="Q778" s="1"/>
      <c r="R778" s="1"/>
      <c r="S778" s="1"/>
      <c r="T778" s="1"/>
      <c r="U778" s="1"/>
      <c r="V778" s="1"/>
      <c r="W778" s="1"/>
      <c r="X778" s="1"/>
      <c r="Y778" s="1"/>
      <c r="Z778" s="1"/>
      <c r="AA778" s="1"/>
    </row>
    <row r="779" spans="2:27" ht="13.2" x14ac:dyDescent="0.25">
      <c r="B779" s="1"/>
      <c r="C779" s="1"/>
      <c r="D779" s="1"/>
      <c r="E779" s="1"/>
      <c r="F779" s="1"/>
      <c r="G779" s="1"/>
      <c r="H779" s="1"/>
      <c r="K779" s="1"/>
      <c r="L779" s="1"/>
      <c r="M779" s="1"/>
      <c r="N779" s="1"/>
      <c r="O779" s="1"/>
      <c r="P779" s="1"/>
      <c r="Q779" s="1"/>
      <c r="R779" s="1"/>
      <c r="S779" s="1"/>
      <c r="T779" s="1"/>
      <c r="U779" s="1"/>
      <c r="V779" s="1"/>
      <c r="W779" s="1"/>
      <c r="X779" s="1"/>
      <c r="Y779" s="1"/>
      <c r="Z779" s="1"/>
      <c r="AA779" s="1"/>
    </row>
    <row r="780" spans="2:27" ht="13.2" x14ac:dyDescent="0.25">
      <c r="B780" s="1"/>
      <c r="C780" s="1"/>
      <c r="D780" s="1"/>
      <c r="E780" s="1"/>
      <c r="F780" s="1"/>
      <c r="G780" s="1"/>
      <c r="H780" s="1"/>
      <c r="K780" s="1"/>
      <c r="L780" s="1"/>
      <c r="M780" s="1"/>
      <c r="N780" s="1"/>
      <c r="O780" s="1"/>
      <c r="P780" s="1"/>
      <c r="Q780" s="1"/>
      <c r="R780" s="1"/>
      <c r="S780" s="1"/>
      <c r="T780" s="1"/>
      <c r="U780" s="1"/>
      <c r="V780" s="1"/>
      <c r="W780" s="1"/>
      <c r="X780" s="1"/>
      <c r="Y780" s="1"/>
      <c r="Z780" s="1"/>
      <c r="AA780" s="1"/>
    </row>
    <row r="781" spans="2:27" ht="13.2" x14ac:dyDescent="0.25">
      <c r="B781" s="1"/>
      <c r="C781" s="1"/>
      <c r="D781" s="1"/>
      <c r="E781" s="1"/>
      <c r="F781" s="1"/>
      <c r="G781" s="1"/>
      <c r="H781" s="1"/>
      <c r="K781" s="1"/>
      <c r="L781" s="1"/>
      <c r="M781" s="1"/>
      <c r="N781" s="1"/>
      <c r="O781" s="1"/>
      <c r="P781" s="1"/>
      <c r="Q781" s="1"/>
      <c r="R781" s="1"/>
      <c r="S781" s="1"/>
      <c r="T781" s="1"/>
      <c r="U781" s="1"/>
      <c r="V781" s="1"/>
      <c r="W781" s="1"/>
      <c r="X781" s="1"/>
      <c r="Y781" s="1"/>
      <c r="Z781" s="1"/>
      <c r="AA781" s="1"/>
    </row>
    <row r="782" spans="2:27" ht="13.2" x14ac:dyDescent="0.25">
      <c r="B782" s="1"/>
      <c r="C782" s="1"/>
      <c r="D782" s="1"/>
      <c r="E782" s="1"/>
      <c r="F782" s="1"/>
      <c r="G782" s="1"/>
      <c r="H782" s="1"/>
      <c r="K782" s="1"/>
      <c r="L782" s="1"/>
      <c r="M782" s="1"/>
      <c r="N782" s="1"/>
      <c r="O782" s="1"/>
      <c r="P782" s="1"/>
      <c r="Q782" s="1"/>
      <c r="R782" s="1"/>
      <c r="S782" s="1"/>
      <c r="T782" s="1"/>
      <c r="U782" s="1"/>
      <c r="V782" s="1"/>
      <c r="W782" s="1"/>
      <c r="X782" s="1"/>
      <c r="Y782" s="1"/>
      <c r="Z782" s="1"/>
      <c r="AA782" s="1"/>
    </row>
    <row r="783" spans="2:27" ht="13.2" x14ac:dyDescent="0.25">
      <c r="B783" s="1"/>
      <c r="C783" s="1"/>
      <c r="D783" s="1"/>
      <c r="E783" s="1"/>
      <c r="F783" s="1"/>
      <c r="G783" s="1"/>
      <c r="H783" s="1"/>
      <c r="K783" s="1"/>
      <c r="L783" s="1"/>
      <c r="M783" s="1"/>
      <c r="N783" s="1"/>
      <c r="O783" s="1"/>
      <c r="P783" s="1"/>
      <c r="Q783" s="1"/>
      <c r="R783" s="1"/>
      <c r="S783" s="1"/>
      <c r="T783" s="1"/>
      <c r="U783" s="1"/>
      <c r="V783" s="1"/>
      <c r="W783" s="1"/>
      <c r="X783" s="1"/>
      <c r="Y783" s="1"/>
      <c r="Z783" s="1"/>
      <c r="AA783" s="1"/>
    </row>
    <row r="784" spans="2:27" ht="13.2" x14ac:dyDescent="0.25">
      <c r="B784" s="1"/>
      <c r="C784" s="1"/>
      <c r="D784" s="1"/>
      <c r="E784" s="1"/>
      <c r="F784" s="1"/>
      <c r="G784" s="1"/>
      <c r="H784" s="1"/>
      <c r="K784" s="1"/>
      <c r="L784" s="1"/>
      <c r="M784" s="1"/>
      <c r="N784" s="1"/>
      <c r="O784" s="1"/>
      <c r="P784" s="1"/>
      <c r="Q784" s="1"/>
      <c r="R784" s="1"/>
      <c r="S784" s="1"/>
      <c r="T784" s="1"/>
      <c r="U784" s="1"/>
      <c r="V784" s="1"/>
      <c r="W784" s="1"/>
      <c r="X784" s="1"/>
      <c r="Y784" s="1"/>
      <c r="Z784" s="1"/>
      <c r="AA784" s="1"/>
    </row>
    <row r="785" spans="2:27" ht="13.2" x14ac:dyDescent="0.25">
      <c r="B785" s="1"/>
      <c r="C785" s="1"/>
      <c r="D785" s="1"/>
      <c r="E785" s="1"/>
      <c r="F785" s="1"/>
      <c r="G785" s="1"/>
      <c r="H785" s="1"/>
      <c r="K785" s="1"/>
      <c r="L785" s="1"/>
      <c r="M785" s="1"/>
      <c r="N785" s="1"/>
      <c r="O785" s="1"/>
      <c r="P785" s="1"/>
      <c r="Q785" s="1"/>
      <c r="R785" s="1"/>
      <c r="S785" s="1"/>
      <c r="T785" s="1"/>
      <c r="U785" s="1"/>
      <c r="V785" s="1"/>
      <c r="W785" s="1"/>
      <c r="X785" s="1"/>
      <c r="Y785" s="1"/>
      <c r="Z785" s="1"/>
      <c r="AA785" s="1"/>
    </row>
    <row r="786" spans="2:27" ht="13.2" x14ac:dyDescent="0.25">
      <c r="B786" s="1"/>
      <c r="C786" s="1"/>
      <c r="D786" s="1"/>
      <c r="E786" s="1"/>
      <c r="F786" s="1"/>
      <c r="G786" s="1"/>
      <c r="H786" s="1"/>
      <c r="K786" s="1"/>
      <c r="L786" s="1"/>
      <c r="M786" s="1"/>
      <c r="N786" s="1"/>
      <c r="O786" s="1"/>
      <c r="P786" s="1"/>
      <c r="Q786" s="1"/>
      <c r="R786" s="1"/>
      <c r="S786" s="1"/>
      <c r="T786" s="1"/>
      <c r="U786" s="1"/>
      <c r="V786" s="1"/>
      <c r="W786" s="1"/>
      <c r="X786" s="1"/>
      <c r="Y786" s="1"/>
      <c r="Z786" s="1"/>
      <c r="AA786" s="1"/>
    </row>
    <row r="787" spans="2:27" ht="13.2" x14ac:dyDescent="0.25">
      <c r="B787" s="1"/>
      <c r="C787" s="1"/>
      <c r="D787" s="1"/>
      <c r="E787" s="1"/>
      <c r="F787" s="1"/>
      <c r="G787" s="1"/>
      <c r="H787" s="1"/>
      <c r="K787" s="1"/>
      <c r="L787" s="1"/>
      <c r="M787" s="1"/>
      <c r="N787" s="1"/>
      <c r="O787" s="1"/>
      <c r="P787" s="1"/>
      <c r="Q787" s="1"/>
      <c r="R787" s="1"/>
      <c r="S787" s="1"/>
      <c r="T787" s="1"/>
      <c r="U787" s="1"/>
      <c r="V787" s="1"/>
      <c r="W787" s="1"/>
      <c r="X787" s="1"/>
      <c r="Y787" s="1"/>
      <c r="Z787" s="1"/>
      <c r="AA787" s="1"/>
    </row>
    <row r="788" spans="2:27" ht="13.2" x14ac:dyDescent="0.25">
      <c r="B788" s="1"/>
      <c r="C788" s="1"/>
      <c r="D788" s="1"/>
      <c r="E788" s="1"/>
      <c r="F788" s="1"/>
      <c r="G788" s="1"/>
      <c r="H788" s="1"/>
      <c r="K788" s="1"/>
      <c r="L788" s="1"/>
      <c r="M788" s="1"/>
      <c r="N788" s="1"/>
      <c r="O788" s="1"/>
      <c r="P788" s="1"/>
      <c r="Q788" s="1"/>
      <c r="R788" s="1"/>
      <c r="S788" s="1"/>
      <c r="T788" s="1"/>
      <c r="U788" s="1"/>
      <c r="V788" s="1"/>
      <c r="W788" s="1"/>
      <c r="X788" s="1"/>
      <c r="Y788" s="1"/>
      <c r="Z788" s="1"/>
      <c r="AA788" s="1"/>
    </row>
    <row r="789" spans="2:27" ht="13.2" x14ac:dyDescent="0.25">
      <c r="B789" s="1"/>
      <c r="C789" s="1"/>
      <c r="D789" s="1"/>
      <c r="E789" s="1"/>
      <c r="F789" s="1"/>
      <c r="G789" s="1"/>
      <c r="H789" s="1"/>
      <c r="K789" s="1"/>
      <c r="L789" s="1"/>
      <c r="M789" s="1"/>
      <c r="N789" s="1"/>
      <c r="O789" s="1"/>
      <c r="P789" s="1"/>
      <c r="Q789" s="1"/>
      <c r="R789" s="1"/>
      <c r="S789" s="1"/>
      <c r="T789" s="1"/>
      <c r="U789" s="1"/>
      <c r="V789" s="1"/>
      <c r="W789" s="1"/>
      <c r="X789" s="1"/>
      <c r="Y789" s="1"/>
      <c r="Z789" s="1"/>
      <c r="AA789" s="1"/>
    </row>
    <row r="790" spans="2:27" ht="13.2" x14ac:dyDescent="0.25">
      <c r="B790" s="1"/>
      <c r="C790" s="1"/>
      <c r="D790" s="1"/>
      <c r="E790" s="1"/>
      <c r="F790" s="1"/>
      <c r="G790" s="1"/>
      <c r="H790" s="1"/>
      <c r="K790" s="1"/>
      <c r="L790" s="1"/>
      <c r="M790" s="1"/>
      <c r="N790" s="1"/>
      <c r="O790" s="1"/>
      <c r="P790" s="1"/>
      <c r="Q790" s="1"/>
      <c r="R790" s="1"/>
      <c r="S790" s="1"/>
      <c r="T790" s="1"/>
      <c r="U790" s="1"/>
      <c r="V790" s="1"/>
      <c r="W790" s="1"/>
      <c r="X790" s="1"/>
      <c r="Y790" s="1"/>
      <c r="Z790" s="1"/>
      <c r="AA790" s="1"/>
    </row>
    <row r="791" spans="2:27" ht="13.2" x14ac:dyDescent="0.25">
      <c r="B791" s="1"/>
      <c r="C791" s="1"/>
      <c r="D791" s="1"/>
      <c r="E791" s="1"/>
      <c r="F791" s="1"/>
      <c r="G791" s="1"/>
      <c r="H791" s="1"/>
      <c r="K791" s="1"/>
      <c r="L791" s="1"/>
      <c r="M791" s="1"/>
      <c r="N791" s="1"/>
      <c r="O791" s="1"/>
      <c r="P791" s="1"/>
      <c r="Q791" s="1"/>
      <c r="R791" s="1"/>
      <c r="S791" s="1"/>
      <c r="T791" s="1"/>
      <c r="U791" s="1"/>
      <c r="V791" s="1"/>
      <c r="W791" s="1"/>
      <c r="X791" s="1"/>
      <c r="Y791" s="1"/>
      <c r="Z791" s="1"/>
      <c r="AA791" s="1"/>
    </row>
    <row r="792" spans="2:27" ht="13.2" x14ac:dyDescent="0.25">
      <c r="B792" s="1"/>
      <c r="C792" s="1"/>
      <c r="D792" s="1"/>
      <c r="E792" s="1"/>
      <c r="F792" s="1"/>
      <c r="G792" s="1"/>
      <c r="H792" s="1"/>
      <c r="K792" s="1"/>
      <c r="L792" s="1"/>
      <c r="M792" s="1"/>
      <c r="N792" s="1"/>
      <c r="O792" s="1"/>
      <c r="P792" s="1"/>
      <c r="Q792" s="1"/>
      <c r="R792" s="1"/>
      <c r="S792" s="1"/>
      <c r="T792" s="1"/>
      <c r="U792" s="1"/>
      <c r="V792" s="1"/>
      <c r="W792" s="1"/>
      <c r="X792" s="1"/>
      <c r="Y792" s="1"/>
      <c r="Z792" s="1"/>
      <c r="AA792" s="1"/>
    </row>
    <row r="793" spans="2:27" ht="13.2" x14ac:dyDescent="0.25">
      <c r="B793" s="1"/>
      <c r="C793" s="1"/>
      <c r="D793" s="1"/>
      <c r="E793" s="1"/>
      <c r="F793" s="1"/>
      <c r="G793" s="1"/>
      <c r="H793" s="1"/>
      <c r="K793" s="1"/>
      <c r="L793" s="1"/>
      <c r="M793" s="1"/>
      <c r="N793" s="1"/>
      <c r="O793" s="1"/>
      <c r="P793" s="1"/>
      <c r="Q793" s="1"/>
      <c r="R793" s="1"/>
      <c r="S793" s="1"/>
      <c r="T793" s="1"/>
      <c r="U793" s="1"/>
      <c r="V793" s="1"/>
      <c r="W793" s="1"/>
      <c r="X793" s="1"/>
      <c r="Y793" s="1"/>
      <c r="Z793" s="1"/>
      <c r="AA793" s="1"/>
    </row>
    <row r="794" spans="2:27" ht="13.2" x14ac:dyDescent="0.25">
      <c r="B794" s="1"/>
      <c r="C794" s="1"/>
      <c r="D794" s="1"/>
      <c r="E794" s="1"/>
      <c r="F794" s="1"/>
      <c r="G794" s="1"/>
      <c r="H794" s="1"/>
      <c r="K794" s="1"/>
      <c r="L794" s="1"/>
      <c r="M794" s="1"/>
      <c r="N794" s="1"/>
      <c r="O794" s="1"/>
      <c r="P794" s="1"/>
      <c r="Q794" s="1"/>
      <c r="R794" s="1"/>
      <c r="S794" s="1"/>
      <c r="T794" s="1"/>
      <c r="U794" s="1"/>
      <c r="V794" s="1"/>
      <c r="W794" s="1"/>
      <c r="X794" s="1"/>
      <c r="Y794" s="1"/>
      <c r="Z794" s="1"/>
      <c r="AA794" s="1"/>
    </row>
    <row r="795" spans="2:27" ht="13.2" x14ac:dyDescent="0.25">
      <c r="B795" s="1"/>
      <c r="C795" s="1"/>
      <c r="D795" s="1"/>
      <c r="E795" s="1"/>
      <c r="F795" s="1"/>
      <c r="G795" s="1"/>
      <c r="H795" s="1"/>
      <c r="K795" s="1"/>
      <c r="L795" s="1"/>
      <c r="M795" s="1"/>
      <c r="N795" s="1"/>
      <c r="O795" s="1"/>
      <c r="P795" s="1"/>
      <c r="Q795" s="1"/>
      <c r="R795" s="1"/>
      <c r="S795" s="1"/>
      <c r="T795" s="1"/>
      <c r="U795" s="1"/>
      <c r="V795" s="1"/>
      <c r="W795" s="1"/>
      <c r="X795" s="1"/>
      <c r="Y795" s="1"/>
      <c r="Z795" s="1"/>
      <c r="AA795" s="1"/>
    </row>
    <row r="796" spans="2:27" ht="13.2" x14ac:dyDescent="0.25">
      <c r="B796" s="1"/>
      <c r="C796" s="1"/>
      <c r="D796" s="1"/>
      <c r="E796" s="1"/>
      <c r="F796" s="1"/>
      <c r="G796" s="1"/>
      <c r="H796" s="1"/>
      <c r="K796" s="1"/>
      <c r="L796" s="1"/>
      <c r="M796" s="1"/>
      <c r="N796" s="1"/>
      <c r="O796" s="1"/>
      <c r="P796" s="1"/>
      <c r="Q796" s="1"/>
      <c r="R796" s="1"/>
      <c r="S796" s="1"/>
      <c r="T796" s="1"/>
      <c r="U796" s="1"/>
      <c r="V796" s="1"/>
      <c r="W796" s="1"/>
      <c r="X796" s="1"/>
      <c r="Y796" s="1"/>
      <c r="Z796" s="1"/>
      <c r="AA796" s="1"/>
    </row>
    <row r="797" spans="2:27" ht="13.2" x14ac:dyDescent="0.25">
      <c r="B797" s="1"/>
      <c r="C797" s="1"/>
      <c r="D797" s="1"/>
      <c r="E797" s="1"/>
      <c r="F797" s="1"/>
      <c r="G797" s="1"/>
      <c r="H797" s="1"/>
      <c r="K797" s="1"/>
      <c r="L797" s="1"/>
      <c r="M797" s="1"/>
      <c r="N797" s="1"/>
      <c r="O797" s="1"/>
      <c r="P797" s="1"/>
      <c r="Q797" s="1"/>
      <c r="R797" s="1"/>
      <c r="S797" s="1"/>
      <c r="T797" s="1"/>
      <c r="U797" s="1"/>
      <c r="V797" s="1"/>
      <c r="W797" s="1"/>
      <c r="X797" s="1"/>
      <c r="Y797" s="1"/>
      <c r="Z797" s="1"/>
      <c r="AA797" s="1"/>
    </row>
    <row r="798" spans="2:27" ht="13.2" x14ac:dyDescent="0.25">
      <c r="B798" s="1"/>
      <c r="C798" s="1"/>
      <c r="D798" s="1"/>
      <c r="E798" s="1"/>
      <c r="F798" s="1"/>
      <c r="G798" s="1"/>
      <c r="H798" s="1"/>
      <c r="K798" s="1"/>
      <c r="L798" s="1"/>
      <c r="M798" s="1"/>
      <c r="N798" s="1"/>
      <c r="O798" s="1"/>
      <c r="P798" s="1"/>
      <c r="Q798" s="1"/>
      <c r="R798" s="1"/>
      <c r="S798" s="1"/>
      <c r="T798" s="1"/>
      <c r="U798" s="1"/>
      <c r="V798" s="1"/>
      <c r="W798" s="1"/>
      <c r="X798" s="1"/>
      <c r="Y798" s="1"/>
      <c r="Z798" s="1"/>
      <c r="AA798" s="1"/>
    </row>
    <row r="799" spans="2:27" ht="13.2" x14ac:dyDescent="0.25">
      <c r="B799" s="1"/>
      <c r="C799" s="1"/>
      <c r="D799" s="1"/>
      <c r="E799" s="1"/>
      <c r="F799" s="1"/>
      <c r="G799" s="1"/>
      <c r="H799" s="1"/>
      <c r="K799" s="1"/>
      <c r="L799" s="1"/>
      <c r="M799" s="1"/>
      <c r="N799" s="1"/>
      <c r="O799" s="1"/>
      <c r="P799" s="1"/>
      <c r="Q799" s="1"/>
      <c r="R799" s="1"/>
      <c r="S799" s="1"/>
      <c r="T799" s="1"/>
      <c r="U799" s="1"/>
      <c r="V799" s="1"/>
      <c r="W799" s="1"/>
      <c r="X799" s="1"/>
      <c r="Y799" s="1"/>
      <c r="Z799" s="1"/>
      <c r="AA799" s="1"/>
    </row>
    <row r="800" spans="2:27" ht="13.2" x14ac:dyDescent="0.25">
      <c r="B800" s="1"/>
      <c r="C800" s="1"/>
      <c r="D800" s="1"/>
      <c r="E800" s="1"/>
      <c r="F800" s="1"/>
      <c r="G800" s="1"/>
      <c r="H800" s="1"/>
      <c r="K800" s="1"/>
      <c r="L800" s="1"/>
      <c r="M800" s="1"/>
      <c r="N800" s="1"/>
      <c r="O800" s="1"/>
      <c r="P800" s="1"/>
      <c r="Q800" s="1"/>
      <c r="R800" s="1"/>
      <c r="S800" s="1"/>
      <c r="T800" s="1"/>
      <c r="U800" s="1"/>
      <c r="V800" s="1"/>
      <c r="W800" s="1"/>
      <c r="X800" s="1"/>
      <c r="Y800" s="1"/>
      <c r="Z800" s="1"/>
      <c r="AA800" s="1"/>
    </row>
    <row r="801" spans="2:27" ht="13.2" x14ac:dyDescent="0.25">
      <c r="B801" s="1"/>
      <c r="C801" s="1"/>
      <c r="D801" s="1"/>
      <c r="E801" s="1"/>
      <c r="F801" s="1"/>
      <c r="G801" s="1"/>
      <c r="H801" s="1"/>
      <c r="K801" s="1"/>
      <c r="L801" s="1"/>
      <c r="M801" s="1"/>
      <c r="N801" s="1"/>
      <c r="O801" s="1"/>
      <c r="P801" s="1"/>
      <c r="Q801" s="1"/>
      <c r="R801" s="1"/>
      <c r="S801" s="1"/>
      <c r="T801" s="1"/>
      <c r="U801" s="1"/>
      <c r="V801" s="1"/>
      <c r="W801" s="1"/>
      <c r="X801" s="1"/>
      <c r="Y801" s="1"/>
      <c r="Z801" s="1"/>
      <c r="AA801" s="1"/>
    </row>
    <row r="802" spans="2:27" ht="13.2" x14ac:dyDescent="0.25">
      <c r="B802" s="1"/>
      <c r="C802" s="1"/>
      <c r="D802" s="1"/>
      <c r="E802" s="1"/>
      <c r="F802" s="1"/>
      <c r="G802" s="1"/>
      <c r="H802" s="1"/>
      <c r="K802" s="1"/>
      <c r="L802" s="1"/>
      <c r="M802" s="1"/>
      <c r="N802" s="1"/>
      <c r="O802" s="1"/>
      <c r="P802" s="1"/>
      <c r="Q802" s="1"/>
      <c r="R802" s="1"/>
      <c r="S802" s="1"/>
      <c r="T802" s="1"/>
      <c r="U802" s="1"/>
      <c r="V802" s="1"/>
      <c r="W802" s="1"/>
      <c r="X802" s="1"/>
      <c r="Y802" s="1"/>
      <c r="Z802" s="1"/>
      <c r="AA802" s="1"/>
    </row>
    <row r="803" spans="2:27" ht="13.2" x14ac:dyDescent="0.25">
      <c r="B803" s="1"/>
      <c r="C803" s="1"/>
      <c r="D803" s="1"/>
      <c r="E803" s="1"/>
      <c r="F803" s="1"/>
      <c r="G803" s="1"/>
      <c r="H803" s="1"/>
      <c r="K803" s="1"/>
      <c r="L803" s="1"/>
      <c r="M803" s="1"/>
      <c r="N803" s="1"/>
      <c r="O803" s="1"/>
      <c r="P803" s="1"/>
      <c r="Q803" s="1"/>
      <c r="R803" s="1"/>
      <c r="S803" s="1"/>
      <c r="T803" s="1"/>
      <c r="U803" s="1"/>
      <c r="V803" s="1"/>
      <c r="W803" s="1"/>
      <c r="X803" s="1"/>
      <c r="Y803" s="1"/>
      <c r="Z803" s="1"/>
      <c r="AA803" s="1"/>
    </row>
    <row r="804" spans="2:27" ht="13.2" x14ac:dyDescent="0.25">
      <c r="B804" s="1"/>
      <c r="C804" s="1"/>
      <c r="D804" s="1"/>
      <c r="E804" s="1"/>
      <c r="F804" s="1"/>
      <c r="G804" s="1"/>
      <c r="H804" s="1"/>
      <c r="K804" s="1"/>
      <c r="L804" s="1"/>
      <c r="M804" s="1"/>
      <c r="N804" s="1"/>
      <c r="O804" s="1"/>
      <c r="P804" s="1"/>
      <c r="Q804" s="1"/>
      <c r="R804" s="1"/>
      <c r="S804" s="1"/>
      <c r="T804" s="1"/>
      <c r="U804" s="1"/>
      <c r="V804" s="1"/>
      <c r="W804" s="1"/>
      <c r="X804" s="1"/>
      <c r="Y804" s="1"/>
      <c r="Z804" s="1"/>
      <c r="AA804" s="1"/>
    </row>
    <row r="805" spans="2:27" ht="13.2" x14ac:dyDescent="0.25">
      <c r="B805" s="1"/>
      <c r="C805" s="1"/>
      <c r="D805" s="1"/>
      <c r="E805" s="1"/>
      <c r="F805" s="1"/>
      <c r="G805" s="1"/>
      <c r="H805" s="1"/>
      <c r="K805" s="1"/>
      <c r="L805" s="1"/>
      <c r="M805" s="1"/>
      <c r="N805" s="1"/>
      <c r="O805" s="1"/>
      <c r="P805" s="1"/>
      <c r="Q805" s="1"/>
      <c r="R805" s="1"/>
      <c r="S805" s="1"/>
      <c r="T805" s="1"/>
      <c r="U805" s="1"/>
      <c r="V805" s="1"/>
      <c r="W805" s="1"/>
      <c r="X805" s="1"/>
      <c r="Y805" s="1"/>
      <c r="Z805" s="1"/>
      <c r="AA805" s="1"/>
    </row>
    <row r="806" spans="2:27" ht="13.2" x14ac:dyDescent="0.25">
      <c r="B806" s="1"/>
      <c r="C806" s="1"/>
      <c r="D806" s="1"/>
      <c r="E806" s="1"/>
      <c r="F806" s="1"/>
      <c r="G806" s="1"/>
      <c r="H806" s="1"/>
      <c r="K806" s="1"/>
      <c r="L806" s="1"/>
      <c r="M806" s="1"/>
      <c r="N806" s="1"/>
      <c r="O806" s="1"/>
      <c r="P806" s="1"/>
      <c r="Q806" s="1"/>
      <c r="R806" s="1"/>
      <c r="S806" s="1"/>
      <c r="T806" s="1"/>
      <c r="U806" s="1"/>
      <c r="V806" s="1"/>
      <c r="W806" s="1"/>
      <c r="X806" s="1"/>
      <c r="Y806" s="1"/>
      <c r="Z806" s="1"/>
      <c r="AA806" s="1"/>
    </row>
    <row r="807" spans="2:27" ht="13.2" x14ac:dyDescent="0.25">
      <c r="B807" s="1"/>
      <c r="C807" s="1"/>
      <c r="D807" s="1"/>
      <c r="E807" s="1"/>
      <c r="F807" s="1"/>
      <c r="G807" s="1"/>
      <c r="H807" s="1"/>
      <c r="K807" s="1"/>
      <c r="L807" s="1"/>
      <c r="M807" s="1"/>
      <c r="N807" s="1"/>
      <c r="O807" s="1"/>
      <c r="P807" s="1"/>
      <c r="Q807" s="1"/>
      <c r="R807" s="1"/>
      <c r="S807" s="1"/>
      <c r="T807" s="1"/>
      <c r="U807" s="1"/>
      <c r="V807" s="1"/>
      <c r="W807" s="1"/>
      <c r="X807" s="1"/>
      <c r="Y807" s="1"/>
      <c r="Z807" s="1"/>
      <c r="AA807" s="1"/>
    </row>
    <row r="808" spans="2:27" ht="13.2" x14ac:dyDescent="0.25">
      <c r="B808" s="1"/>
      <c r="C808" s="1"/>
      <c r="D808" s="1"/>
      <c r="E808" s="1"/>
      <c r="F808" s="1"/>
      <c r="G808" s="1"/>
      <c r="H808" s="1"/>
      <c r="K808" s="1"/>
      <c r="L808" s="1"/>
      <c r="M808" s="1"/>
      <c r="N808" s="1"/>
      <c r="O808" s="1"/>
      <c r="P808" s="1"/>
      <c r="Q808" s="1"/>
      <c r="R808" s="1"/>
      <c r="S808" s="1"/>
      <c r="T808" s="1"/>
      <c r="U808" s="1"/>
      <c r="V808" s="1"/>
      <c r="W808" s="1"/>
      <c r="X808" s="1"/>
      <c r="Y808" s="1"/>
      <c r="Z808" s="1"/>
      <c r="AA808" s="1"/>
    </row>
    <row r="809" spans="2:27" ht="13.2" x14ac:dyDescent="0.25">
      <c r="B809" s="1"/>
      <c r="C809" s="1"/>
      <c r="D809" s="1"/>
      <c r="E809" s="1"/>
      <c r="F809" s="1"/>
      <c r="G809" s="1"/>
      <c r="H809" s="1"/>
      <c r="K809" s="1"/>
      <c r="L809" s="1"/>
      <c r="M809" s="1"/>
      <c r="N809" s="1"/>
      <c r="O809" s="1"/>
      <c r="P809" s="1"/>
      <c r="Q809" s="1"/>
      <c r="R809" s="1"/>
      <c r="S809" s="1"/>
      <c r="T809" s="1"/>
      <c r="U809" s="1"/>
      <c r="V809" s="1"/>
      <c r="W809" s="1"/>
      <c r="X809" s="1"/>
      <c r="Y809" s="1"/>
      <c r="Z809" s="1"/>
      <c r="AA809" s="1"/>
    </row>
    <row r="810" spans="2:27" ht="13.2" x14ac:dyDescent="0.25">
      <c r="B810" s="1"/>
      <c r="C810" s="1"/>
      <c r="D810" s="1"/>
      <c r="E810" s="1"/>
      <c r="F810" s="1"/>
      <c r="G810" s="1"/>
      <c r="H810" s="1"/>
      <c r="K810" s="1"/>
      <c r="L810" s="1"/>
      <c r="M810" s="1"/>
      <c r="N810" s="1"/>
      <c r="O810" s="1"/>
      <c r="P810" s="1"/>
      <c r="Q810" s="1"/>
      <c r="R810" s="1"/>
      <c r="S810" s="1"/>
      <c r="T810" s="1"/>
      <c r="U810" s="1"/>
      <c r="V810" s="1"/>
      <c r="W810" s="1"/>
      <c r="X810" s="1"/>
      <c r="Y810" s="1"/>
      <c r="Z810" s="1"/>
      <c r="AA810" s="1"/>
    </row>
    <row r="811" spans="2:27" ht="13.2" x14ac:dyDescent="0.25">
      <c r="B811" s="1"/>
      <c r="C811" s="1"/>
      <c r="D811" s="1"/>
      <c r="E811" s="1"/>
      <c r="F811" s="1"/>
      <c r="G811" s="1"/>
      <c r="H811" s="1"/>
      <c r="K811" s="1"/>
      <c r="L811" s="1"/>
      <c r="M811" s="1"/>
      <c r="N811" s="1"/>
      <c r="O811" s="1"/>
      <c r="P811" s="1"/>
      <c r="Q811" s="1"/>
      <c r="R811" s="1"/>
      <c r="S811" s="1"/>
      <c r="T811" s="1"/>
      <c r="U811" s="1"/>
      <c r="V811" s="1"/>
      <c r="W811" s="1"/>
      <c r="X811" s="1"/>
      <c r="Y811" s="1"/>
      <c r="Z811" s="1"/>
      <c r="AA811" s="1"/>
    </row>
    <row r="812" spans="2:27" ht="13.2" x14ac:dyDescent="0.25">
      <c r="B812" s="1"/>
      <c r="C812" s="1"/>
      <c r="D812" s="1"/>
      <c r="E812" s="1"/>
      <c r="F812" s="1"/>
      <c r="G812" s="1"/>
      <c r="H812" s="1"/>
      <c r="K812" s="1"/>
      <c r="L812" s="1"/>
      <c r="M812" s="1"/>
      <c r="N812" s="1"/>
      <c r="O812" s="1"/>
      <c r="P812" s="1"/>
      <c r="Q812" s="1"/>
      <c r="R812" s="1"/>
      <c r="S812" s="1"/>
      <c r="T812" s="1"/>
      <c r="U812" s="1"/>
      <c r="V812" s="1"/>
      <c r="W812" s="1"/>
      <c r="X812" s="1"/>
      <c r="Y812" s="1"/>
      <c r="Z812" s="1"/>
      <c r="AA812" s="1"/>
    </row>
    <row r="813" spans="2:27" ht="13.2" x14ac:dyDescent="0.25">
      <c r="B813" s="1"/>
      <c r="C813" s="1"/>
      <c r="D813" s="1"/>
      <c r="E813" s="1"/>
      <c r="F813" s="1"/>
      <c r="G813" s="1"/>
      <c r="H813" s="1"/>
      <c r="K813" s="1"/>
      <c r="L813" s="1"/>
      <c r="M813" s="1"/>
      <c r="N813" s="1"/>
      <c r="O813" s="1"/>
      <c r="P813" s="1"/>
      <c r="Q813" s="1"/>
      <c r="R813" s="1"/>
      <c r="S813" s="1"/>
      <c r="T813" s="1"/>
      <c r="U813" s="1"/>
      <c r="V813" s="1"/>
      <c r="W813" s="1"/>
      <c r="X813" s="1"/>
      <c r="Y813" s="1"/>
      <c r="Z813" s="1"/>
      <c r="AA813" s="1"/>
    </row>
    <row r="814" spans="2:27" ht="13.2" x14ac:dyDescent="0.25">
      <c r="B814" s="1"/>
      <c r="C814" s="1"/>
      <c r="D814" s="1"/>
      <c r="E814" s="1"/>
      <c r="F814" s="1"/>
      <c r="G814" s="1"/>
      <c r="H814" s="1"/>
      <c r="K814" s="1"/>
      <c r="L814" s="1"/>
      <c r="M814" s="1"/>
      <c r="N814" s="1"/>
      <c r="O814" s="1"/>
      <c r="P814" s="1"/>
      <c r="Q814" s="1"/>
      <c r="R814" s="1"/>
      <c r="S814" s="1"/>
      <c r="T814" s="1"/>
      <c r="U814" s="1"/>
      <c r="V814" s="1"/>
      <c r="W814" s="1"/>
      <c r="X814" s="1"/>
      <c r="Y814" s="1"/>
      <c r="Z814" s="1"/>
      <c r="AA814" s="1"/>
    </row>
    <row r="815" spans="2:27" ht="13.2" x14ac:dyDescent="0.25">
      <c r="B815" s="1"/>
      <c r="C815" s="1"/>
      <c r="D815" s="1"/>
      <c r="E815" s="1"/>
      <c r="F815" s="1"/>
      <c r="G815" s="1"/>
      <c r="H815" s="1"/>
      <c r="K815" s="1"/>
      <c r="L815" s="1"/>
      <c r="M815" s="1"/>
      <c r="N815" s="1"/>
      <c r="O815" s="1"/>
      <c r="P815" s="1"/>
      <c r="Q815" s="1"/>
      <c r="R815" s="1"/>
      <c r="S815" s="1"/>
      <c r="T815" s="1"/>
      <c r="U815" s="1"/>
      <c r="V815" s="1"/>
      <c r="W815" s="1"/>
      <c r="X815" s="1"/>
      <c r="Y815" s="1"/>
      <c r="Z815" s="1"/>
      <c r="AA815" s="1"/>
    </row>
    <row r="816" spans="2:27" ht="13.2" x14ac:dyDescent="0.25">
      <c r="B816" s="1"/>
      <c r="C816" s="1"/>
      <c r="D816" s="1"/>
      <c r="E816" s="1"/>
      <c r="F816" s="1"/>
      <c r="G816" s="1"/>
      <c r="H816" s="1"/>
      <c r="K816" s="1"/>
      <c r="L816" s="1"/>
      <c r="M816" s="1"/>
      <c r="N816" s="1"/>
      <c r="O816" s="1"/>
      <c r="P816" s="1"/>
      <c r="Q816" s="1"/>
      <c r="R816" s="1"/>
      <c r="S816" s="1"/>
      <c r="T816" s="1"/>
      <c r="U816" s="1"/>
      <c r="V816" s="1"/>
      <c r="W816" s="1"/>
      <c r="X816" s="1"/>
      <c r="Y816" s="1"/>
      <c r="Z816" s="1"/>
      <c r="AA816" s="1"/>
    </row>
    <row r="817" spans="2:27" ht="13.2" x14ac:dyDescent="0.25">
      <c r="B817" s="1"/>
      <c r="C817" s="1"/>
      <c r="D817" s="1"/>
      <c r="E817" s="1"/>
      <c r="F817" s="1"/>
      <c r="G817" s="1"/>
      <c r="H817" s="1"/>
      <c r="K817" s="1"/>
      <c r="L817" s="1"/>
      <c r="M817" s="1"/>
      <c r="N817" s="1"/>
      <c r="O817" s="1"/>
      <c r="P817" s="1"/>
      <c r="Q817" s="1"/>
      <c r="R817" s="1"/>
      <c r="S817" s="1"/>
      <c r="T817" s="1"/>
      <c r="U817" s="1"/>
      <c r="V817" s="1"/>
      <c r="W817" s="1"/>
      <c r="X817" s="1"/>
      <c r="Y817" s="1"/>
      <c r="Z817" s="1"/>
      <c r="AA817" s="1"/>
    </row>
    <row r="818" spans="2:27" ht="13.2" x14ac:dyDescent="0.25">
      <c r="B818" s="1"/>
      <c r="C818" s="1"/>
      <c r="D818" s="1"/>
      <c r="E818" s="1"/>
      <c r="F818" s="1"/>
      <c r="G818" s="1"/>
      <c r="H818" s="1"/>
      <c r="K818" s="1"/>
      <c r="L818" s="1"/>
      <c r="M818" s="1"/>
      <c r="N818" s="1"/>
      <c r="O818" s="1"/>
      <c r="P818" s="1"/>
      <c r="Q818" s="1"/>
      <c r="R818" s="1"/>
      <c r="S818" s="1"/>
      <c r="T818" s="1"/>
      <c r="U818" s="1"/>
      <c r="V818" s="1"/>
      <c r="W818" s="1"/>
      <c r="X818" s="1"/>
      <c r="Y818" s="1"/>
      <c r="Z818" s="1"/>
      <c r="AA818" s="1"/>
    </row>
    <row r="819" spans="2:27" ht="13.2" x14ac:dyDescent="0.25">
      <c r="B819" s="1"/>
      <c r="C819" s="1"/>
      <c r="D819" s="1"/>
      <c r="E819" s="1"/>
      <c r="F819" s="1"/>
      <c r="G819" s="1"/>
      <c r="H819" s="1"/>
      <c r="K819" s="1"/>
      <c r="L819" s="1"/>
      <c r="M819" s="1"/>
      <c r="N819" s="1"/>
      <c r="O819" s="1"/>
      <c r="P819" s="1"/>
      <c r="Q819" s="1"/>
      <c r="R819" s="1"/>
      <c r="S819" s="1"/>
      <c r="T819" s="1"/>
      <c r="U819" s="1"/>
      <c r="V819" s="1"/>
      <c r="W819" s="1"/>
      <c r="X819" s="1"/>
      <c r="Y819" s="1"/>
      <c r="Z819" s="1"/>
      <c r="AA819" s="1"/>
    </row>
    <row r="820" spans="2:27" ht="13.2" x14ac:dyDescent="0.25">
      <c r="B820" s="1"/>
      <c r="C820" s="1"/>
      <c r="D820" s="1"/>
      <c r="E820" s="1"/>
      <c r="F820" s="1"/>
      <c r="G820" s="1"/>
      <c r="H820" s="1"/>
      <c r="K820" s="1"/>
      <c r="L820" s="1"/>
      <c r="M820" s="1"/>
      <c r="N820" s="1"/>
      <c r="O820" s="1"/>
      <c r="P820" s="1"/>
      <c r="Q820" s="1"/>
      <c r="R820" s="1"/>
      <c r="S820" s="1"/>
      <c r="T820" s="1"/>
      <c r="U820" s="1"/>
      <c r="V820" s="1"/>
      <c r="W820" s="1"/>
      <c r="X820" s="1"/>
      <c r="Y820" s="1"/>
      <c r="Z820" s="1"/>
      <c r="AA820" s="1"/>
    </row>
    <row r="821" spans="2:27" ht="13.2" x14ac:dyDescent="0.25">
      <c r="B821" s="1"/>
      <c r="C821" s="1"/>
      <c r="D821" s="1"/>
      <c r="E821" s="1"/>
      <c r="F821" s="1"/>
      <c r="G821" s="1"/>
      <c r="H821" s="1"/>
      <c r="K821" s="1"/>
      <c r="L821" s="1"/>
      <c r="M821" s="1"/>
      <c r="N821" s="1"/>
      <c r="O821" s="1"/>
      <c r="P821" s="1"/>
      <c r="Q821" s="1"/>
      <c r="R821" s="1"/>
      <c r="S821" s="1"/>
      <c r="T821" s="1"/>
      <c r="U821" s="1"/>
      <c r="V821" s="1"/>
      <c r="W821" s="1"/>
      <c r="X821" s="1"/>
      <c r="Y821" s="1"/>
      <c r="Z821" s="1"/>
      <c r="AA821" s="1"/>
    </row>
    <row r="822" spans="2:27" ht="13.2" x14ac:dyDescent="0.25">
      <c r="B822" s="1"/>
      <c r="C822" s="1"/>
      <c r="D822" s="1"/>
      <c r="E822" s="1"/>
      <c r="F822" s="1"/>
      <c r="G822" s="1"/>
      <c r="H822" s="1"/>
      <c r="K822" s="1"/>
      <c r="L822" s="1"/>
      <c r="M822" s="1"/>
      <c r="N822" s="1"/>
      <c r="O822" s="1"/>
      <c r="P822" s="1"/>
      <c r="Q822" s="1"/>
      <c r="R822" s="1"/>
      <c r="S822" s="1"/>
      <c r="T822" s="1"/>
      <c r="U822" s="1"/>
      <c r="V822" s="1"/>
      <c r="W822" s="1"/>
      <c r="X822" s="1"/>
      <c r="Y822" s="1"/>
      <c r="Z822" s="1"/>
      <c r="AA822" s="1"/>
    </row>
    <row r="823" spans="2:27" ht="13.2" x14ac:dyDescent="0.25">
      <c r="B823" s="1"/>
      <c r="C823" s="1"/>
      <c r="D823" s="1"/>
      <c r="E823" s="1"/>
      <c r="F823" s="1"/>
      <c r="G823" s="1"/>
      <c r="H823" s="1"/>
      <c r="K823" s="1"/>
      <c r="L823" s="1"/>
      <c r="M823" s="1"/>
      <c r="N823" s="1"/>
      <c r="O823" s="1"/>
      <c r="P823" s="1"/>
      <c r="Q823" s="1"/>
      <c r="R823" s="1"/>
      <c r="S823" s="1"/>
      <c r="T823" s="1"/>
      <c r="U823" s="1"/>
      <c r="V823" s="1"/>
      <c r="W823" s="1"/>
      <c r="X823" s="1"/>
      <c r="Y823" s="1"/>
      <c r="Z823" s="1"/>
      <c r="AA823" s="1"/>
    </row>
    <row r="824" spans="2:27" ht="13.2" x14ac:dyDescent="0.25">
      <c r="B824" s="1"/>
      <c r="C824" s="1"/>
      <c r="D824" s="1"/>
      <c r="E824" s="1"/>
      <c r="F824" s="1"/>
      <c r="G824" s="1"/>
      <c r="H824" s="1"/>
      <c r="K824" s="1"/>
      <c r="L824" s="1"/>
      <c r="M824" s="1"/>
      <c r="N824" s="1"/>
      <c r="O824" s="1"/>
      <c r="P824" s="1"/>
      <c r="Q824" s="1"/>
      <c r="R824" s="1"/>
      <c r="S824" s="1"/>
      <c r="T824" s="1"/>
      <c r="U824" s="1"/>
      <c r="V824" s="1"/>
      <c r="W824" s="1"/>
      <c r="X824" s="1"/>
      <c r="Y824" s="1"/>
      <c r="Z824" s="1"/>
      <c r="AA824" s="1"/>
    </row>
    <row r="825" spans="2:27" ht="13.2" x14ac:dyDescent="0.25">
      <c r="B825" s="1"/>
      <c r="C825" s="1"/>
      <c r="D825" s="1"/>
      <c r="E825" s="1"/>
      <c r="F825" s="1"/>
      <c r="G825" s="1"/>
      <c r="H825" s="1"/>
      <c r="K825" s="1"/>
      <c r="L825" s="1"/>
      <c r="M825" s="1"/>
      <c r="N825" s="1"/>
      <c r="O825" s="1"/>
      <c r="P825" s="1"/>
      <c r="Q825" s="1"/>
      <c r="R825" s="1"/>
      <c r="S825" s="1"/>
      <c r="T825" s="1"/>
      <c r="U825" s="1"/>
      <c r="V825" s="1"/>
      <c r="W825" s="1"/>
      <c r="X825" s="1"/>
      <c r="Y825" s="1"/>
      <c r="Z825" s="1"/>
      <c r="AA825" s="1"/>
    </row>
    <row r="826" spans="2:27" ht="13.2" x14ac:dyDescent="0.25">
      <c r="B826" s="1"/>
      <c r="C826" s="1"/>
      <c r="D826" s="1"/>
      <c r="E826" s="1"/>
      <c r="F826" s="1"/>
      <c r="G826" s="1"/>
      <c r="H826" s="1"/>
      <c r="K826" s="1"/>
      <c r="L826" s="1"/>
      <c r="M826" s="1"/>
      <c r="N826" s="1"/>
      <c r="O826" s="1"/>
      <c r="P826" s="1"/>
      <c r="Q826" s="1"/>
      <c r="R826" s="1"/>
      <c r="S826" s="1"/>
      <c r="T826" s="1"/>
      <c r="U826" s="1"/>
      <c r="V826" s="1"/>
      <c r="W826" s="1"/>
      <c r="X826" s="1"/>
      <c r="Y826" s="1"/>
      <c r="Z826" s="1"/>
      <c r="AA826" s="1"/>
    </row>
    <row r="827" spans="2:27" ht="13.2" x14ac:dyDescent="0.25">
      <c r="B827" s="1"/>
      <c r="C827" s="1"/>
      <c r="D827" s="1"/>
      <c r="E827" s="1"/>
      <c r="F827" s="1"/>
      <c r="G827" s="1"/>
      <c r="H827" s="1"/>
      <c r="K827" s="1"/>
      <c r="L827" s="1"/>
      <c r="M827" s="1"/>
      <c r="N827" s="1"/>
      <c r="O827" s="1"/>
      <c r="P827" s="1"/>
      <c r="Q827" s="1"/>
      <c r="R827" s="1"/>
      <c r="S827" s="1"/>
      <c r="T827" s="1"/>
      <c r="U827" s="1"/>
      <c r="V827" s="1"/>
      <c r="W827" s="1"/>
      <c r="X827" s="1"/>
      <c r="Y827" s="1"/>
      <c r="Z827" s="1"/>
      <c r="AA827" s="1"/>
    </row>
    <row r="828" spans="2:27" ht="13.2" x14ac:dyDescent="0.25">
      <c r="B828" s="1"/>
      <c r="C828" s="1"/>
      <c r="D828" s="1"/>
      <c r="E828" s="1"/>
      <c r="F828" s="1"/>
      <c r="G828" s="1"/>
      <c r="H828" s="1"/>
      <c r="K828" s="1"/>
      <c r="L828" s="1"/>
      <c r="M828" s="1"/>
      <c r="N828" s="1"/>
      <c r="O828" s="1"/>
      <c r="P828" s="1"/>
      <c r="Q828" s="1"/>
      <c r="R828" s="1"/>
      <c r="S828" s="1"/>
      <c r="T828" s="1"/>
      <c r="U828" s="1"/>
      <c r="V828" s="1"/>
      <c r="W828" s="1"/>
      <c r="X828" s="1"/>
      <c r="Y828" s="1"/>
      <c r="Z828" s="1"/>
      <c r="AA828" s="1"/>
    </row>
    <row r="829" spans="2:27" ht="13.2" x14ac:dyDescent="0.25">
      <c r="B829" s="1"/>
      <c r="C829" s="1"/>
      <c r="D829" s="1"/>
      <c r="E829" s="1"/>
      <c r="F829" s="1"/>
      <c r="G829" s="1"/>
      <c r="H829" s="1"/>
      <c r="K829" s="1"/>
      <c r="L829" s="1"/>
      <c r="M829" s="1"/>
      <c r="N829" s="1"/>
      <c r="O829" s="1"/>
      <c r="P829" s="1"/>
      <c r="Q829" s="1"/>
      <c r="R829" s="1"/>
      <c r="S829" s="1"/>
      <c r="T829" s="1"/>
      <c r="U829" s="1"/>
      <c r="V829" s="1"/>
      <c r="W829" s="1"/>
      <c r="X829" s="1"/>
      <c r="Y829" s="1"/>
      <c r="Z829" s="1"/>
      <c r="AA829" s="1"/>
    </row>
    <row r="830" spans="2:27" ht="13.2" x14ac:dyDescent="0.25">
      <c r="B830" s="1"/>
      <c r="C830" s="1"/>
      <c r="D830" s="1"/>
      <c r="E830" s="1"/>
      <c r="F830" s="1"/>
      <c r="G830" s="1"/>
      <c r="H830" s="1"/>
      <c r="K830" s="1"/>
      <c r="L830" s="1"/>
      <c r="M830" s="1"/>
      <c r="N830" s="1"/>
      <c r="O830" s="1"/>
      <c r="P830" s="1"/>
      <c r="Q830" s="1"/>
      <c r="R830" s="1"/>
      <c r="S830" s="1"/>
      <c r="T830" s="1"/>
      <c r="U830" s="1"/>
      <c r="V830" s="1"/>
      <c r="W830" s="1"/>
      <c r="X830" s="1"/>
      <c r="Y830" s="1"/>
      <c r="Z830" s="1"/>
      <c r="AA830" s="1"/>
    </row>
    <row r="831" spans="2:27" ht="13.2" x14ac:dyDescent="0.25">
      <c r="B831" s="1"/>
      <c r="C831" s="1"/>
      <c r="D831" s="1"/>
      <c r="E831" s="1"/>
      <c r="F831" s="1"/>
      <c r="G831" s="1"/>
      <c r="H831" s="1"/>
      <c r="K831" s="1"/>
      <c r="L831" s="1"/>
      <c r="M831" s="1"/>
      <c r="N831" s="1"/>
      <c r="O831" s="1"/>
      <c r="P831" s="1"/>
      <c r="Q831" s="1"/>
      <c r="R831" s="1"/>
      <c r="S831" s="1"/>
      <c r="T831" s="1"/>
      <c r="U831" s="1"/>
      <c r="V831" s="1"/>
      <c r="W831" s="1"/>
      <c r="X831" s="1"/>
      <c r="Y831" s="1"/>
      <c r="Z831" s="1"/>
      <c r="AA831" s="1"/>
    </row>
    <row r="832" spans="2:27" ht="13.2" x14ac:dyDescent="0.25">
      <c r="B832" s="1"/>
      <c r="C832" s="1"/>
      <c r="D832" s="1"/>
      <c r="E832" s="1"/>
      <c r="F832" s="1"/>
      <c r="G832" s="1"/>
      <c r="H832" s="1"/>
      <c r="K832" s="1"/>
      <c r="L832" s="1"/>
      <c r="M832" s="1"/>
      <c r="N832" s="1"/>
      <c r="O832" s="1"/>
      <c r="P832" s="1"/>
      <c r="Q832" s="1"/>
      <c r="R832" s="1"/>
      <c r="S832" s="1"/>
      <c r="T832" s="1"/>
      <c r="U832" s="1"/>
      <c r="V832" s="1"/>
      <c r="W832" s="1"/>
      <c r="X832" s="1"/>
      <c r="Y832" s="1"/>
      <c r="Z832" s="1"/>
      <c r="AA832" s="1"/>
    </row>
    <row r="833" spans="2:27" ht="13.2" x14ac:dyDescent="0.25">
      <c r="B833" s="1"/>
      <c r="C833" s="1"/>
      <c r="D833" s="1"/>
      <c r="E833" s="1"/>
      <c r="F833" s="1"/>
      <c r="G833" s="1"/>
      <c r="H833" s="1"/>
      <c r="K833" s="1"/>
      <c r="L833" s="1"/>
      <c r="M833" s="1"/>
      <c r="N833" s="1"/>
      <c r="O833" s="1"/>
      <c r="P833" s="1"/>
      <c r="Q833" s="1"/>
      <c r="R833" s="1"/>
      <c r="S833" s="1"/>
      <c r="T833" s="1"/>
      <c r="U833" s="1"/>
      <c r="V833" s="1"/>
      <c r="W833" s="1"/>
      <c r="X833" s="1"/>
      <c r="Y833" s="1"/>
      <c r="Z833" s="1"/>
      <c r="AA833" s="1"/>
    </row>
    <row r="834" spans="2:27" ht="13.2" x14ac:dyDescent="0.25">
      <c r="B834" s="1"/>
      <c r="C834" s="1"/>
      <c r="D834" s="1"/>
      <c r="E834" s="1"/>
      <c r="F834" s="1"/>
      <c r="G834" s="1"/>
      <c r="H834" s="1"/>
      <c r="K834" s="1"/>
      <c r="L834" s="1"/>
      <c r="M834" s="1"/>
      <c r="N834" s="1"/>
      <c r="O834" s="1"/>
      <c r="P834" s="1"/>
      <c r="Q834" s="1"/>
      <c r="R834" s="1"/>
      <c r="S834" s="1"/>
      <c r="T834" s="1"/>
      <c r="U834" s="1"/>
      <c r="V834" s="1"/>
      <c r="W834" s="1"/>
      <c r="X834" s="1"/>
      <c r="Y834" s="1"/>
      <c r="Z834" s="1"/>
      <c r="AA834" s="1"/>
    </row>
    <row r="835" spans="2:27" ht="13.2" x14ac:dyDescent="0.25">
      <c r="B835" s="1"/>
      <c r="C835" s="1"/>
      <c r="D835" s="1"/>
      <c r="E835" s="1"/>
      <c r="F835" s="1"/>
      <c r="G835" s="1"/>
      <c r="H835" s="1"/>
      <c r="K835" s="1"/>
      <c r="L835" s="1"/>
      <c r="M835" s="1"/>
      <c r="N835" s="1"/>
      <c r="O835" s="1"/>
      <c r="P835" s="1"/>
      <c r="Q835" s="1"/>
      <c r="R835" s="1"/>
      <c r="S835" s="1"/>
      <c r="T835" s="1"/>
      <c r="U835" s="1"/>
      <c r="V835" s="1"/>
      <c r="W835" s="1"/>
      <c r="X835" s="1"/>
      <c r="Y835" s="1"/>
      <c r="Z835" s="1"/>
      <c r="AA835" s="1"/>
    </row>
    <row r="836" spans="2:27" ht="13.2" x14ac:dyDescent="0.25">
      <c r="B836" s="1"/>
      <c r="C836" s="1"/>
      <c r="D836" s="1"/>
      <c r="E836" s="1"/>
      <c r="F836" s="1"/>
      <c r="G836" s="1"/>
      <c r="H836" s="1"/>
      <c r="K836" s="1"/>
      <c r="L836" s="1"/>
      <c r="M836" s="1"/>
      <c r="N836" s="1"/>
      <c r="O836" s="1"/>
      <c r="P836" s="1"/>
      <c r="Q836" s="1"/>
      <c r="R836" s="1"/>
      <c r="S836" s="1"/>
      <c r="T836" s="1"/>
      <c r="U836" s="1"/>
      <c r="V836" s="1"/>
      <c r="W836" s="1"/>
      <c r="X836" s="1"/>
      <c r="Y836" s="1"/>
      <c r="Z836" s="1"/>
      <c r="AA836" s="1"/>
    </row>
    <row r="837" spans="2:27" ht="13.2" x14ac:dyDescent="0.25">
      <c r="B837" s="1"/>
      <c r="C837" s="1"/>
      <c r="D837" s="1"/>
      <c r="E837" s="1"/>
      <c r="F837" s="1"/>
      <c r="G837" s="1"/>
      <c r="H837" s="1"/>
      <c r="K837" s="1"/>
      <c r="L837" s="1"/>
      <c r="M837" s="1"/>
      <c r="N837" s="1"/>
      <c r="O837" s="1"/>
      <c r="P837" s="1"/>
      <c r="Q837" s="1"/>
      <c r="R837" s="1"/>
      <c r="S837" s="1"/>
      <c r="T837" s="1"/>
      <c r="U837" s="1"/>
      <c r="V837" s="1"/>
      <c r="W837" s="1"/>
      <c r="X837" s="1"/>
      <c r="Y837" s="1"/>
      <c r="Z837" s="1"/>
      <c r="AA837" s="1"/>
    </row>
    <row r="838" spans="2:27" ht="13.2" x14ac:dyDescent="0.25">
      <c r="B838" s="1"/>
      <c r="C838" s="1"/>
      <c r="D838" s="1"/>
      <c r="E838" s="1"/>
      <c r="F838" s="1"/>
      <c r="G838" s="1"/>
      <c r="H838" s="1"/>
      <c r="K838" s="1"/>
      <c r="L838" s="1"/>
      <c r="M838" s="1"/>
      <c r="N838" s="1"/>
      <c r="O838" s="1"/>
      <c r="P838" s="1"/>
      <c r="Q838" s="1"/>
      <c r="R838" s="1"/>
      <c r="S838" s="1"/>
      <c r="T838" s="1"/>
      <c r="U838" s="1"/>
      <c r="V838" s="1"/>
      <c r="W838" s="1"/>
      <c r="X838" s="1"/>
      <c r="Y838" s="1"/>
      <c r="Z838" s="1"/>
      <c r="AA838" s="1"/>
    </row>
    <row r="839" spans="2:27" ht="13.2" x14ac:dyDescent="0.25">
      <c r="B839" s="1"/>
      <c r="C839" s="1"/>
      <c r="D839" s="1"/>
      <c r="E839" s="1"/>
      <c r="F839" s="1"/>
      <c r="G839" s="1"/>
      <c r="H839" s="1"/>
      <c r="K839" s="1"/>
      <c r="L839" s="1"/>
      <c r="M839" s="1"/>
      <c r="N839" s="1"/>
      <c r="O839" s="1"/>
      <c r="P839" s="1"/>
      <c r="Q839" s="1"/>
      <c r="R839" s="1"/>
      <c r="S839" s="1"/>
      <c r="T839" s="1"/>
      <c r="U839" s="1"/>
      <c r="V839" s="1"/>
      <c r="W839" s="1"/>
      <c r="X839" s="1"/>
      <c r="Y839" s="1"/>
      <c r="Z839" s="1"/>
      <c r="AA839" s="1"/>
    </row>
    <row r="840" spans="2:27" ht="13.2" x14ac:dyDescent="0.25">
      <c r="B840" s="1"/>
      <c r="C840" s="1"/>
      <c r="D840" s="1"/>
      <c r="E840" s="1"/>
      <c r="F840" s="1"/>
      <c r="G840" s="1"/>
      <c r="H840" s="1"/>
      <c r="K840" s="1"/>
      <c r="L840" s="1"/>
      <c r="M840" s="1"/>
      <c r="N840" s="1"/>
      <c r="O840" s="1"/>
      <c r="P840" s="1"/>
      <c r="Q840" s="1"/>
      <c r="R840" s="1"/>
      <c r="S840" s="1"/>
      <c r="T840" s="1"/>
      <c r="U840" s="1"/>
      <c r="V840" s="1"/>
      <c r="W840" s="1"/>
      <c r="X840" s="1"/>
      <c r="Y840" s="1"/>
      <c r="Z840" s="1"/>
      <c r="AA840" s="1"/>
    </row>
    <row r="841" spans="2:27" ht="13.2" x14ac:dyDescent="0.25">
      <c r="B841" s="1"/>
      <c r="C841" s="1"/>
      <c r="D841" s="1"/>
      <c r="E841" s="1"/>
      <c r="F841" s="1"/>
      <c r="G841" s="1"/>
      <c r="H841" s="1"/>
      <c r="K841" s="1"/>
      <c r="L841" s="1"/>
      <c r="M841" s="1"/>
      <c r="N841" s="1"/>
      <c r="O841" s="1"/>
      <c r="P841" s="1"/>
      <c r="Q841" s="1"/>
      <c r="R841" s="1"/>
      <c r="S841" s="1"/>
      <c r="T841" s="1"/>
      <c r="U841" s="1"/>
      <c r="V841" s="1"/>
      <c r="W841" s="1"/>
      <c r="X841" s="1"/>
      <c r="Y841" s="1"/>
      <c r="Z841" s="1"/>
      <c r="AA841" s="1"/>
    </row>
    <row r="842" spans="2:27" ht="13.2" x14ac:dyDescent="0.25">
      <c r="B842" s="1"/>
      <c r="C842" s="1"/>
      <c r="D842" s="1"/>
      <c r="E842" s="1"/>
      <c r="F842" s="1"/>
      <c r="G842" s="1"/>
      <c r="H842" s="1"/>
      <c r="K842" s="1"/>
      <c r="L842" s="1"/>
      <c r="M842" s="1"/>
      <c r="N842" s="1"/>
      <c r="O842" s="1"/>
      <c r="P842" s="1"/>
      <c r="Q842" s="1"/>
      <c r="R842" s="1"/>
      <c r="S842" s="1"/>
      <c r="T842" s="1"/>
      <c r="U842" s="1"/>
      <c r="V842" s="1"/>
      <c r="W842" s="1"/>
      <c r="X842" s="1"/>
      <c r="Y842" s="1"/>
      <c r="Z842" s="1"/>
      <c r="AA842" s="1"/>
    </row>
    <row r="843" spans="2:27" ht="13.2" x14ac:dyDescent="0.25">
      <c r="B843" s="1"/>
      <c r="C843" s="1"/>
      <c r="D843" s="1"/>
      <c r="E843" s="1"/>
      <c r="F843" s="1"/>
      <c r="G843" s="1"/>
      <c r="H843" s="1"/>
      <c r="K843" s="1"/>
      <c r="L843" s="1"/>
      <c r="M843" s="1"/>
      <c r="N843" s="1"/>
      <c r="O843" s="1"/>
      <c r="P843" s="1"/>
      <c r="Q843" s="1"/>
      <c r="R843" s="1"/>
      <c r="S843" s="1"/>
      <c r="T843" s="1"/>
      <c r="U843" s="1"/>
      <c r="V843" s="1"/>
      <c r="W843" s="1"/>
      <c r="X843" s="1"/>
      <c r="Y843" s="1"/>
      <c r="Z843" s="1"/>
      <c r="AA843" s="1"/>
    </row>
    <row r="844" spans="2:27" ht="13.2" x14ac:dyDescent="0.25">
      <c r="B844" s="1"/>
      <c r="C844" s="1"/>
      <c r="D844" s="1"/>
      <c r="E844" s="1"/>
      <c r="F844" s="1"/>
      <c r="G844" s="1"/>
      <c r="H844" s="1"/>
      <c r="K844" s="1"/>
      <c r="L844" s="1"/>
      <c r="M844" s="1"/>
      <c r="N844" s="1"/>
      <c r="O844" s="1"/>
      <c r="P844" s="1"/>
      <c r="Q844" s="1"/>
      <c r="R844" s="1"/>
      <c r="S844" s="1"/>
      <c r="T844" s="1"/>
      <c r="U844" s="1"/>
      <c r="V844" s="1"/>
      <c r="W844" s="1"/>
      <c r="X844" s="1"/>
      <c r="Y844" s="1"/>
      <c r="Z844" s="1"/>
      <c r="AA844" s="1"/>
    </row>
    <row r="845" spans="2:27" ht="13.2" x14ac:dyDescent="0.25">
      <c r="B845" s="1"/>
      <c r="C845" s="1"/>
      <c r="D845" s="1"/>
      <c r="E845" s="1"/>
      <c r="F845" s="1"/>
      <c r="G845" s="1"/>
      <c r="H845" s="1"/>
      <c r="K845" s="1"/>
      <c r="L845" s="1"/>
      <c r="M845" s="1"/>
      <c r="N845" s="1"/>
      <c r="O845" s="1"/>
      <c r="P845" s="1"/>
      <c r="Q845" s="1"/>
      <c r="R845" s="1"/>
      <c r="S845" s="1"/>
      <c r="T845" s="1"/>
      <c r="U845" s="1"/>
      <c r="V845" s="1"/>
      <c r="W845" s="1"/>
      <c r="X845" s="1"/>
      <c r="Y845" s="1"/>
      <c r="Z845" s="1"/>
      <c r="AA845" s="1"/>
    </row>
    <row r="846" spans="2:27" ht="13.2" x14ac:dyDescent="0.25">
      <c r="B846" s="1"/>
      <c r="C846" s="1"/>
      <c r="D846" s="1"/>
      <c r="E846" s="1"/>
      <c r="F846" s="1"/>
      <c r="G846" s="1"/>
      <c r="H846" s="1"/>
      <c r="K846" s="1"/>
      <c r="L846" s="1"/>
      <c r="M846" s="1"/>
      <c r="N846" s="1"/>
      <c r="O846" s="1"/>
      <c r="P846" s="1"/>
      <c r="Q846" s="1"/>
      <c r="R846" s="1"/>
      <c r="S846" s="1"/>
      <c r="T846" s="1"/>
      <c r="U846" s="1"/>
      <c r="V846" s="1"/>
      <c r="W846" s="1"/>
      <c r="X846" s="1"/>
      <c r="Y846" s="1"/>
      <c r="Z846" s="1"/>
      <c r="AA846" s="1"/>
    </row>
    <row r="847" spans="2:27" ht="13.2" x14ac:dyDescent="0.25">
      <c r="B847" s="1"/>
      <c r="C847" s="1"/>
      <c r="D847" s="1"/>
      <c r="E847" s="1"/>
      <c r="F847" s="1"/>
      <c r="G847" s="1"/>
      <c r="H847" s="1"/>
      <c r="K847" s="1"/>
      <c r="L847" s="1"/>
      <c r="M847" s="1"/>
      <c r="N847" s="1"/>
      <c r="O847" s="1"/>
      <c r="P847" s="1"/>
      <c r="Q847" s="1"/>
      <c r="R847" s="1"/>
      <c r="S847" s="1"/>
      <c r="T847" s="1"/>
      <c r="U847" s="1"/>
      <c r="V847" s="1"/>
      <c r="W847" s="1"/>
      <c r="X847" s="1"/>
      <c r="Y847" s="1"/>
      <c r="Z847" s="1"/>
      <c r="AA847" s="1"/>
    </row>
    <row r="848" spans="2:27" ht="13.2" x14ac:dyDescent="0.25">
      <c r="B848" s="1"/>
      <c r="C848" s="1"/>
      <c r="D848" s="1"/>
      <c r="E848" s="1"/>
      <c r="F848" s="1"/>
      <c r="G848" s="1"/>
      <c r="H848" s="1"/>
      <c r="K848" s="1"/>
      <c r="L848" s="1"/>
      <c r="M848" s="1"/>
      <c r="N848" s="1"/>
      <c r="O848" s="1"/>
      <c r="P848" s="1"/>
      <c r="Q848" s="1"/>
      <c r="R848" s="1"/>
      <c r="S848" s="1"/>
      <c r="T848" s="1"/>
      <c r="U848" s="1"/>
      <c r="V848" s="1"/>
      <c r="W848" s="1"/>
      <c r="X848" s="1"/>
      <c r="Y848" s="1"/>
      <c r="Z848" s="1"/>
      <c r="AA848" s="1"/>
    </row>
    <row r="849" spans="2:27" ht="13.2" x14ac:dyDescent="0.25">
      <c r="B849" s="1"/>
      <c r="C849" s="1"/>
      <c r="D849" s="1"/>
      <c r="E849" s="1"/>
      <c r="F849" s="1"/>
      <c r="G849" s="1"/>
      <c r="H849" s="1"/>
      <c r="K849" s="1"/>
      <c r="L849" s="1"/>
      <c r="M849" s="1"/>
      <c r="N849" s="1"/>
      <c r="O849" s="1"/>
      <c r="P849" s="1"/>
      <c r="Q849" s="1"/>
      <c r="R849" s="1"/>
      <c r="S849" s="1"/>
      <c r="T849" s="1"/>
      <c r="U849" s="1"/>
      <c r="V849" s="1"/>
      <c r="W849" s="1"/>
      <c r="X849" s="1"/>
      <c r="Y849" s="1"/>
      <c r="Z849" s="1"/>
      <c r="AA849" s="1"/>
    </row>
    <row r="850" spans="2:27" ht="13.2" x14ac:dyDescent="0.25">
      <c r="B850" s="1"/>
      <c r="C850" s="1"/>
      <c r="D850" s="1"/>
      <c r="E850" s="1"/>
      <c r="F850" s="1"/>
      <c r="G850" s="1"/>
      <c r="H850" s="1"/>
      <c r="K850" s="1"/>
      <c r="L850" s="1"/>
      <c r="M850" s="1"/>
      <c r="N850" s="1"/>
      <c r="O850" s="1"/>
      <c r="P850" s="1"/>
      <c r="Q850" s="1"/>
      <c r="R850" s="1"/>
      <c r="S850" s="1"/>
      <c r="T850" s="1"/>
      <c r="U850" s="1"/>
      <c r="V850" s="1"/>
      <c r="W850" s="1"/>
      <c r="X850" s="1"/>
      <c r="Y850" s="1"/>
      <c r="Z850" s="1"/>
      <c r="AA850" s="1"/>
    </row>
    <row r="851" spans="2:27" ht="13.2" x14ac:dyDescent="0.25">
      <c r="B851" s="1"/>
      <c r="C851" s="1"/>
      <c r="D851" s="1"/>
      <c r="E851" s="1"/>
      <c r="F851" s="1"/>
      <c r="G851" s="1"/>
      <c r="H851" s="1"/>
      <c r="K851" s="1"/>
      <c r="L851" s="1"/>
      <c r="M851" s="1"/>
      <c r="N851" s="1"/>
      <c r="O851" s="1"/>
      <c r="P851" s="1"/>
      <c r="Q851" s="1"/>
      <c r="R851" s="1"/>
      <c r="S851" s="1"/>
      <c r="T851" s="1"/>
      <c r="U851" s="1"/>
      <c r="V851" s="1"/>
      <c r="W851" s="1"/>
      <c r="X851" s="1"/>
      <c r="Y851" s="1"/>
      <c r="Z851" s="1"/>
      <c r="AA851" s="1"/>
    </row>
    <row r="852" spans="2:27" ht="13.2" x14ac:dyDescent="0.25">
      <c r="B852" s="1"/>
      <c r="C852" s="1"/>
      <c r="D852" s="1"/>
      <c r="E852" s="1"/>
      <c r="F852" s="1"/>
      <c r="G852" s="1"/>
      <c r="H852" s="1"/>
      <c r="K852" s="1"/>
      <c r="L852" s="1"/>
      <c r="M852" s="1"/>
      <c r="N852" s="1"/>
      <c r="O852" s="1"/>
      <c r="P852" s="1"/>
      <c r="Q852" s="1"/>
      <c r="R852" s="1"/>
      <c r="S852" s="1"/>
      <c r="T852" s="1"/>
      <c r="U852" s="1"/>
      <c r="V852" s="1"/>
      <c r="W852" s="1"/>
      <c r="X852" s="1"/>
      <c r="Y852" s="1"/>
      <c r="Z852" s="1"/>
      <c r="AA852" s="1"/>
    </row>
    <row r="853" spans="2:27" ht="13.2" x14ac:dyDescent="0.25">
      <c r="B853" s="1"/>
      <c r="C853" s="1"/>
      <c r="D853" s="1"/>
      <c r="E853" s="1"/>
      <c r="F853" s="1"/>
      <c r="G853" s="1"/>
      <c r="H853" s="1"/>
      <c r="K853" s="1"/>
      <c r="L853" s="1"/>
      <c r="M853" s="1"/>
      <c r="N853" s="1"/>
      <c r="O853" s="1"/>
      <c r="P853" s="1"/>
      <c r="Q853" s="1"/>
      <c r="R853" s="1"/>
      <c r="S853" s="1"/>
      <c r="T853" s="1"/>
      <c r="U853" s="1"/>
      <c r="V853" s="1"/>
      <c r="W853" s="1"/>
      <c r="X853" s="1"/>
      <c r="Y853" s="1"/>
      <c r="Z853" s="1"/>
      <c r="AA853" s="1"/>
    </row>
    <row r="854" spans="2:27" ht="13.2" x14ac:dyDescent="0.25">
      <c r="B854" s="1"/>
      <c r="C854" s="1"/>
      <c r="D854" s="1"/>
      <c r="E854" s="1"/>
      <c r="F854" s="1"/>
      <c r="G854" s="1"/>
      <c r="H854" s="1"/>
      <c r="K854" s="1"/>
      <c r="L854" s="1"/>
      <c r="M854" s="1"/>
      <c r="N854" s="1"/>
      <c r="O854" s="1"/>
      <c r="P854" s="1"/>
      <c r="Q854" s="1"/>
      <c r="R854" s="1"/>
      <c r="S854" s="1"/>
      <c r="T854" s="1"/>
      <c r="U854" s="1"/>
      <c r="V854" s="1"/>
      <c r="W854" s="1"/>
      <c r="X854" s="1"/>
      <c r="Y854" s="1"/>
      <c r="Z854" s="1"/>
      <c r="AA854" s="1"/>
    </row>
    <row r="855" spans="2:27" ht="13.2" x14ac:dyDescent="0.25">
      <c r="B855" s="1"/>
      <c r="C855" s="1"/>
      <c r="D855" s="1"/>
      <c r="E855" s="1"/>
      <c r="F855" s="1"/>
      <c r="G855" s="1"/>
      <c r="H855" s="1"/>
      <c r="K855" s="1"/>
      <c r="L855" s="1"/>
      <c r="M855" s="1"/>
      <c r="N855" s="1"/>
      <c r="O855" s="1"/>
      <c r="P855" s="1"/>
      <c r="Q855" s="1"/>
      <c r="R855" s="1"/>
      <c r="S855" s="1"/>
      <c r="T855" s="1"/>
      <c r="U855" s="1"/>
      <c r="V855" s="1"/>
      <c r="W855" s="1"/>
      <c r="X855" s="1"/>
      <c r="Y855" s="1"/>
      <c r="Z855" s="1"/>
      <c r="AA855" s="1"/>
    </row>
    <row r="856" spans="2:27" ht="13.2" x14ac:dyDescent="0.25">
      <c r="B856" s="1"/>
      <c r="C856" s="1"/>
      <c r="D856" s="1"/>
      <c r="E856" s="1"/>
      <c r="F856" s="1"/>
      <c r="G856" s="1"/>
      <c r="H856" s="1"/>
      <c r="K856" s="1"/>
      <c r="L856" s="1"/>
      <c r="M856" s="1"/>
      <c r="N856" s="1"/>
      <c r="O856" s="1"/>
      <c r="P856" s="1"/>
      <c r="Q856" s="1"/>
      <c r="R856" s="1"/>
      <c r="S856" s="1"/>
      <c r="T856" s="1"/>
      <c r="U856" s="1"/>
      <c r="V856" s="1"/>
      <c r="W856" s="1"/>
      <c r="X856" s="1"/>
      <c r="Y856" s="1"/>
      <c r="Z856" s="1"/>
      <c r="AA856" s="1"/>
    </row>
    <row r="857" spans="2:27" ht="13.2" x14ac:dyDescent="0.25">
      <c r="B857" s="1"/>
      <c r="C857" s="1"/>
      <c r="D857" s="1"/>
      <c r="E857" s="1"/>
      <c r="F857" s="1"/>
      <c r="G857" s="1"/>
      <c r="H857" s="1"/>
      <c r="K857" s="1"/>
      <c r="L857" s="1"/>
      <c r="M857" s="1"/>
      <c r="N857" s="1"/>
      <c r="O857" s="1"/>
      <c r="P857" s="1"/>
      <c r="Q857" s="1"/>
      <c r="R857" s="1"/>
      <c r="S857" s="1"/>
      <c r="T857" s="1"/>
      <c r="U857" s="1"/>
      <c r="V857" s="1"/>
      <c r="W857" s="1"/>
      <c r="X857" s="1"/>
      <c r="Y857" s="1"/>
      <c r="Z857" s="1"/>
      <c r="AA857" s="1"/>
    </row>
    <row r="858" spans="2:27" ht="13.2" x14ac:dyDescent="0.25">
      <c r="B858" s="1"/>
      <c r="C858" s="1"/>
      <c r="D858" s="1"/>
      <c r="E858" s="1"/>
      <c r="F858" s="1"/>
      <c r="G858" s="1"/>
      <c r="H858" s="1"/>
      <c r="K858" s="1"/>
      <c r="L858" s="1"/>
      <c r="M858" s="1"/>
      <c r="N858" s="1"/>
      <c r="O858" s="1"/>
      <c r="P858" s="1"/>
      <c r="Q858" s="1"/>
      <c r="R858" s="1"/>
      <c r="S858" s="1"/>
      <c r="T858" s="1"/>
      <c r="U858" s="1"/>
      <c r="V858" s="1"/>
      <c r="W858" s="1"/>
      <c r="X858" s="1"/>
      <c r="Y858" s="1"/>
      <c r="Z858" s="1"/>
      <c r="AA858" s="1"/>
    </row>
    <row r="859" spans="2:27" ht="13.2" x14ac:dyDescent="0.25">
      <c r="B859" s="1"/>
      <c r="C859" s="1"/>
      <c r="D859" s="1"/>
      <c r="E859" s="1"/>
      <c r="F859" s="1"/>
      <c r="G859" s="1"/>
      <c r="H859" s="1"/>
      <c r="K859" s="1"/>
      <c r="L859" s="1"/>
      <c r="M859" s="1"/>
      <c r="N859" s="1"/>
      <c r="O859" s="1"/>
      <c r="P859" s="1"/>
      <c r="Q859" s="1"/>
      <c r="R859" s="1"/>
      <c r="S859" s="1"/>
      <c r="T859" s="1"/>
      <c r="U859" s="1"/>
      <c r="V859" s="1"/>
      <c r="W859" s="1"/>
      <c r="X859" s="1"/>
      <c r="Y859" s="1"/>
      <c r="Z859" s="1"/>
      <c r="AA859" s="1"/>
    </row>
    <row r="860" spans="2:27" ht="13.2" x14ac:dyDescent="0.25">
      <c r="B860" s="1"/>
      <c r="C860" s="1"/>
      <c r="D860" s="1"/>
      <c r="E860" s="1"/>
      <c r="F860" s="1"/>
      <c r="G860" s="1"/>
      <c r="H860" s="1"/>
      <c r="K860" s="1"/>
      <c r="L860" s="1"/>
      <c r="M860" s="1"/>
      <c r="N860" s="1"/>
      <c r="O860" s="1"/>
      <c r="P860" s="1"/>
      <c r="Q860" s="1"/>
      <c r="R860" s="1"/>
      <c r="S860" s="1"/>
      <c r="T860" s="1"/>
      <c r="U860" s="1"/>
      <c r="V860" s="1"/>
      <c r="W860" s="1"/>
      <c r="X860" s="1"/>
      <c r="Y860" s="1"/>
      <c r="Z860" s="1"/>
      <c r="AA860" s="1"/>
    </row>
    <row r="861" spans="2:27" ht="13.2" x14ac:dyDescent="0.25">
      <c r="B861" s="1"/>
      <c r="C861" s="1"/>
      <c r="D861" s="1"/>
      <c r="E861" s="1"/>
      <c r="F861" s="1"/>
      <c r="G861" s="1"/>
      <c r="H861" s="1"/>
      <c r="K861" s="1"/>
      <c r="L861" s="1"/>
      <c r="M861" s="1"/>
      <c r="N861" s="1"/>
      <c r="O861" s="1"/>
      <c r="P861" s="1"/>
      <c r="Q861" s="1"/>
      <c r="R861" s="1"/>
      <c r="S861" s="1"/>
      <c r="T861" s="1"/>
      <c r="U861" s="1"/>
      <c r="V861" s="1"/>
      <c r="W861" s="1"/>
      <c r="X861" s="1"/>
      <c r="Y861" s="1"/>
      <c r="Z861" s="1"/>
      <c r="AA861" s="1"/>
    </row>
    <row r="862" spans="2:27" ht="13.2" x14ac:dyDescent="0.25">
      <c r="B862" s="1"/>
      <c r="C862" s="1"/>
      <c r="D862" s="1"/>
      <c r="E862" s="1"/>
      <c r="F862" s="1"/>
      <c r="G862" s="1"/>
      <c r="H862" s="1"/>
      <c r="K862" s="1"/>
      <c r="L862" s="1"/>
      <c r="M862" s="1"/>
      <c r="N862" s="1"/>
      <c r="O862" s="1"/>
      <c r="P862" s="1"/>
      <c r="Q862" s="1"/>
      <c r="R862" s="1"/>
      <c r="S862" s="1"/>
      <c r="T862" s="1"/>
      <c r="U862" s="1"/>
      <c r="V862" s="1"/>
      <c r="W862" s="1"/>
      <c r="X862" s="1"/>
      <c r="Y862" s="1"/>
      <c r="Z862" s="1"/>
      <c r="AA862" s="1"/>
    </row>
    <row r="863" spans="2:27" ht="13.2" x14ac:dyDescent="0.25">
      <c r="B863" s="1"/>
      <c r="C863" s="1"/>
      <c r="D863" s="1"/>
      <c r="E863" s="1"/>
      <c r="F863" s="1"/>
      <c r="G863" s="1"/>
      <c r="H863" s="1"/>
      <c r="K863" s="1"/>
      <c r="L863" s="1"/>
      <c r="M863" s="1"/>
      <c r="N863" s="1"/>
      <c r="O863" s="1"/>
      <c r="P863" s="1"/>
      <c r="Q863" s="1"/>
      <c r="R863" s="1"/>
      <c r="S863" s="1"/>
      <c r="T863" s="1"/>
      <c r="U863" s="1"/>
      <c r="V863" s="1"/>
      <c r="W863" s="1"/>
      <c r="X863" s="1"/>
      <c r="Y863" s="1"/>
      <c r="Z863" s="1"/>
      <c r="AA863" s="1"/>
    </row>
    <row r="864" spans="2:27" ht="13.2" x14ac:dyDescent="0.25">
      <c r="B864" s="1"/>
      <c r="C864" s="1"/>
      <c r="D864" s="1"/>
      <c r="E864" s="1"/>
      <c r="F864" s="1"/>
      <c r="G864" s="1"/>
      <c r="H864" s="1"/>
      <c r="K864" s="1"/>
      <c r="L864" s="1"/>
      <c r="M864" s="1"/>
      <c r="N864" s="1"/>
      <c r="O864" s="1"/>
      <c r="P864" s="1"/>
      <c r="Q864" s="1"/>
      <c r="R864" s="1"/>
      <c r="S864" s="1"/>
      <c r="T864" s="1"/>
      <c r="U864" s="1"/>
      <c r="V864" s="1"/>
      <c r="W864" s="1"/>
      <c r="X864" s="1"/>
      <c r="Y864" s="1"/>
      <c r="Z864" s="1"/>
      <c r="AA864" s="1"/>
    </row>
    <row r="865" spans="2:27" ht="13.2" x14ac:dyDescent="0.25">
      <c r="B865" s="1"/>
      <c r="C865" s="1"/>
      <c r="D865" s="1"/>
      <c r="E865" s="1"/>
      <c r="F865" s="1"/>
      <c r="G865" s="1"/>
      <c r="H865" s="1"/>
      <c r="K865" s="1"/>
      <c r="L865" s="1"/>
      <c r="M865" s="1"/>
      <c r="N865" s="1"/>
      <c r="O865" s="1"/>
      <c r="P865" s="1"/>
      <c r="Q865" s="1"/>
      <c r="R865" s="1"/>
      <c r="S865" s="1"/>
      <c r="T865" s="1"/>
      <c r="U865" s="1"/>
      <c r="V865" s="1"/>
      <c r="W865" s="1"/>
      <c r="X865" s="1"/>
      <c r="Y865" s="1"/>
      <c r="Z865" s="1"/>
      <c r="AA865" s="1"/>
    </row>
    <row r="866" spans="2:27" ht="13.2" x14ac:dyDescent="0.25">
      <c r="B866" s="1"/>
      <c r="C866" s="1"/>
      <c r="D866" s="1"/>
      <c r="E866" s="1"/>
      <c r="F866" s="1"/>
      <c r="G866" s="1"/>
      <c r="H866" s="1"/>
      <c r="K866" s="1"/>
      <c r="L866" s="1"/>
      <c r="M866" s="1"/>
      <c r="N866" s="1"/>
      <c r="O866" s="1"/>
      <c r="P866" s="1"/>
      <c r="Q866" s="1"/>
      <c r="R866" s="1"/>
      <c r="S866" s="1"/>
      <c r="T866" s="1"/>
      <c r="U866" s="1"/>
      <c r="V866" s="1"/>
      <c r="W866" s="1"/>
      <c r="X866" s="1"/>
      <c r="Y866" s="1"/>
      <c r="Z866" s="1"/>
      <c r="AA866" s="1"/>
    </row>
    <row r="867" spans="2:27" ht="13.2" x14ac:dyDescent="0.25">
      <c r="B867" s="1"/>
      <c r="C867" s="1"/>
      <c r="D867" s="1"/>
      <c r="E867" s="1"/>
      <c r="F867" s="1"/>
      <c r="G867" s="1"/>
      <c r="H867" s="1"/>
      <c r="K867" s="1"/>
      <c r="L867" s="1"/>
      <c r="M867" s="1"/>
      <c r="N867" s="1"/>
      <c r="O867" s="1"/>
      <c r="P867" s="1"/>
      <c r="Q867" s="1"/>
      <c r="R867" s="1"/>
      <c r="S867" s="1"/>
      <c r="T867" s="1"/>
      <c r="U867" s="1"/>
      <c r="V867" s="1"/>
      <c r="W867" s="1"/>
      <c r="X867" s="1"/>
      <c r="Y867" s="1"/>
      <c r="Z867" s="1"/>
      <c r="AA867" s="1"/>
    </row>
    <row r="868" spans="2:27" ht="13.2" x14ac:dyDescent="0.25">
      <c r="B868" s="1"/>
      <c r="C868" s="1"/>
      <c r="D868" s="1"/>
      <c r="E868" s="1"/>
      <c r="F868" s="1"/>
      <c r="G868" s="1"/>
      <c r="H868" s="1"/>
      <c r="K868" s="1"/>
      <c r="L868" s="1"/>
      <c r="M868" s="1"/>
      <c r="N868" s="1"/>
      <c r="O868" s="1"/>
      <c r="P868" s="1"/>
      <c r="Q868" s="1"/>
      <c r="R868" s="1"/>
      <c r="S868" s="1"/>
      <c r="T868" s="1"/>
      <c r="U868" s="1"/>
      <c r="V868" s="1"/>
      <c r="W868" s="1"/>
      <c r="X868" s="1"/>
      <c r="Y868" s="1"/>
      <c r="Z868" s="1"/>
      <c r="AA868" s="1"/>
    </row>
    <row r="869" spans="2:27" ht="13.2" x14ac:dyDescent="0.25">
      <c r="B869" s="1"/>
      <c r="C869" s="1"/>
      <c r="D869" s="1"/>
      <c r="E869" s="1"/>
      <c r="F869" s="1"/>
      <c r="G869" s="1"/>
      <c r="H869" s="1"/>
      <c r="K869" s="1"/>
      <c r="L869" s="1"/>
      <c r="M869" s="1"/>
      <c r="N869" s="1"/>
      <c r="O869" s="1"/>
      <c r="P869" s="1"/>
      <c r="Q869" s="1"/>
      <c r="R869" s="1"/>
      <c r="S869" s="1"/>
      <c r="T869" s="1"/>
      <c r="U869" s="1"/>
      <c r="V869" s="1"/>
      <c r="W869" s="1"/>
      <c r="X869" s="1"/>
      <c r="Y869" s="1"/>
      <c r="Z869" s="1"/>
      <c r="AA869" s="1"/>
    </row>
    <row r="870" spans="2:27" ht="13.2" x14ac:dyDescent="0.25">
      <c r="B870" s="1"/>
      <c r="C870" s="1"/>
      <c r="D870" s="1"/>
      <c r="E870" s="1"/>
      <c r="F870" s="1"/>
      <c r="G870" s="1"/>
      <c r="H870" s="1"/>
      <c r="K870" s="1"/>
      <c r="L870" s="1"/>
      <c r="M870" s="1"/>
      <c r="N870" s="1"/>
      <c r="O870" s="1"/>
      <c r="P870" s="1"/>
      <c r="Q870" s="1"/>
      <c r="R870" s="1"/>
      <c r="S870" s="1"/>
      <c r="T870" s="1"/>
      <c r="U870" s="1"/>
      <c r="V870" s="1"/>
      <c r="W870" s="1"/>
      <c r="X870" s="1"/>
      <c r="Y870" s="1"/>
      <c r="Z870" s="1"/>
      <c r="AA870" s="1"/>
    </row>
    <row r="871" spans="2:27" ht="13.2" x14ac:dyDescent="0.25">
      <c r="B871" s="1"/>
      <c r="C871" s="1"/>
      <c r="D871" s="1"/>
      <c r="E871" s="1"/>
      <c r="F871" s="1"/>
      <c r="G871" s="1"/>
      <c r="H871" s="1"/>
      <c r="K871" s="1"/>
      <c r="L871" s="1"/>
      <c r="M871" s="1"/>
      <c r="N871" s="1"/>
      <c r="O871" s="1"/>
      <c r="P871" s="1"/>
      <c r="Q871" s="1"/>
      <c r="R871" s="1"/>
      <c r="S871" s="1"/>
      <c r="T871" s="1"/>
      <c r="U871" s="1"/>
      <c r="V871" s="1"/>
      <c r="W871" s="1"/>
      <c r="X871" s="1"/>
      <c r="Y871" s="1"/>
      <c r="Z871" s="1"/>
      <c r="AA871" s="1"/>
    </row>
    <row r="872" spans="2:27" ht="13.2" x14ac:dyDescent="0.25">
      <c r="B872" s="1"/>
      <c r="C872" s="1"/>
      <c r="D872" s="1"/>
      <c r="E872" s="1"/>
      <c r="F872" s="1"/>
      <c r="G872" s="1"/>
      <c r="H872" s="1"/>
      <c r="K872" s="1"/>
      <c r="L872" s="1"/>
      <c r="M872" s="1"/>
      <c r="N872" s="1"/>
      <c r="O872" s="1"/>
      <c r="P872" s="1"/>
      <c r="Q872" s="1"/>
      <c r="R872" s="1"/>
      <c r="S872" s="1"/>
      <c r="T872" s="1"/>
      <c r="U872" s="1"/>
      <c r="V872" s="1"/>
      <c r="W872" s="1"/>
      <c r="X872" s="1"/>
      <c r="Y872" s="1"/>
      <c r="Z872" s="1"/>
      <c r="AA872" s="1"/>
    </row>
    <row r="873" spans="2:27" ht="13.2" x14ac:dyDescent="0.25">
      <c r="B873" s="1"/>
      <c r="C873" s="1"/>
      <c r="D873" s="1"/>
      <c r="E873" s="1"/>
      <c r="F873" s="1"/>
      <c r="G873" s="1"/>
      <c r="H873" s="1"/>
      <c r="K873" s="1"/>
      <c r="L873" s="1"/>
      <c r="M873" s="1"/>
      <c r="N873" s="1"/>
      <c r="O873" s="1"/>
      <c r="P873" s="1"/>
      <c r="Q873" s="1"/>
      <c r="R873" s="1"/>
      <c r="S873" s="1"/>
      <c r="T873" s="1"/>
      <c r="U873" s="1"/>
      <c r="V873" s="1"/>
      <c r="W873" s="1"/>
      <c r="X873" s="1"/>
      <c r="Y873" s="1"/>
      <c r="Z873" s="1"/>
      <c r="AA873" s="1"/>
    </row>
    <row r="874" spans="2:27" ht="13.2" x14ac:dyDescent="0.25">
      <c r="B874" s="1"/>
      <c r="C874" s="1"/>
      <c r="D874" s="1"/>
      <c r="E874" s="1"/>
      <c r="F874" s="1"/>
      <c r="G874" s="1"/>
      <c r="H874" s="1"/>
      <c r="K874" s="1"/>
      <c r="L874" s="1"/>
      <c r="M874" s="1"/>
      <c r="N874" s="1"/>
      <c r="O874" s="1"/>
      <c r="P874" s="1"/>
      <c r="Q874" s="1"/>
      <c r="R874" s="1"/>
      <c r="S874" s="1"/>
      <c r="T874" s="1"/>
      <c r="U874" s="1"/>
      <c r="V874" s="1"/>
      <c r="W874" s="1"/>
      <c r="X874" s="1"/>
      <c r="Y874" s="1"/>
      <c r="Z874" s="1"/>
      <c r="AA874" s="1"/>
    </row>
    <row r="875" spans="2:27" ht="13.2" x14ac:dyDescent="0.25">
      <c r="B875" s="1"/>
      <c r="C875" s="1"/>
      <c r="D875" s="1"/>
      <c r="E875" s="1"/>
      <c r="F875" s="1"/>
      <c r="G875" s="1"/>
      <c r="H875" s="1"/>
      <c r="K875" s="1"/>
      <c r="L875" s="1"/>
      <c r="M875" s="1"/>
      <c r="N875" s="1"/>
      <c r="O875" s="1"/>
      <c r="P875" s="1"/>
      <c r="Q875" s="1"/>
      <c r="R875" s="1"/>
      <c r="S875" s="1"/>
      <c r="T875" s="1"/>
      <c r="U875" s="1"/>
      <c r="V875" s="1"/>
      <c r="W875" s="1"/>
      <c r="X875" s="1"/>
      <c r="Y875" s="1"/>
      <c r="Z875" s="1"/>
      <c r="AA875" s="1"/>
    </row>
    <row r="876" spans="2:27" ht="13.2" x14ac:dyDescent="0.25">
      <c r="B876" s="1"/>
      <c r="C876" s="1"/>
      <c r="D876" s="1"/>
      <c r="E876" s="1"/>
      <c r="F876" s="1"/>
      <c r="G876" s="1"/>
      <c r="H876" s="1"/>
      <c r="K876" s="1"/>
      <c r="L876" s="1"/>
      <c r="M876" s="1"/>
      <c r="N876" s="1"/>
      <c r="O876" s="1"/>
      <c r="P876" s="1"/>
      <c r="Q876" s="1"/>
      <c r="R876" s="1"/>
      <c r="S876" s="1"/>
      <c r="T876" s="1"/>
      <c r="U876" s="1"/>
      <c r="V876" s="1"/>
      <c r="W876" s="1"/>
      <c r="X876" s="1"/>
      <c r="Y876" s="1"/>
      <c r="Z876" s="1"/>
      <c r="AA876" s="1"/>
    </row>
    <row r="877" spans="2:27" ht="13.2" x14ac:dyDescent="0.25">
      <c r="B877" s="1"/>
      <c r="C877" s="1"/>
      <c r="D877" s="1"/>
      <c r="E877" s="1"/>
      <c r="F877" s="1"/>
      <c r="G877" s="1"/>
      <c r="H877" s="1"/>
      <c r="K877" s="1"/>
      <c r="L877" s="1"/>
      <c r="M877" s="1"/>
      <c r="N877" s="1"/>
      <c r="O877" s="1"/>
      <c r="P877" s="1"/>
      <c r="Q877" s="1"/>
      <c r="R877" s="1"/>
      <c r="S877" s="1"/>
      <c r="T877" s="1"/>
      <c r="U877" s="1"/>
      <c r="V877" s="1"/>
      <c r="W877" s="1"/>
      <c r="X877" s="1"/>
      <c r="Y877" s="1"/>
      <c r="Z877" s="1"/>
      <c r="AA877" s="1"/>
    </row>
    <row r="878" spans="2:27" ht="13.2" x14ac:dyDescent="0.25">
      <c r="B878" s="1"/>
      <c r="C878" s="1"/>
      <c r="D878" s="1"/>
      <c r="E878" s="1"/>
      <c r="F878" s="1"/>
      <c r="G878" s="1"/>
      <c r="H878" s="1"/>
      <c r="K878" s="1"/>
      <c r="L878" s="1"/>
      <c r="M878" s="1"/>
      <c r="N878" s="1"/>
      <c r="O878" s="1"/>
      <c r="P878" s="1"/>
      <c r="Q878" s="1"/>
      <c r="R878" s="1"/>
      <c r="S878" s="1"/>
      <c r="T878" s="1"/>
      <c r="U878" s="1"/>
      <c r="V878" s="1"/>
      <c r="W878" s="1"/>
      <c r="X878" s="1"/>
      <c r="Y878" s="1"/>
      <c r="Z878" s="1"/>
      <c r="AA878" s="1"/>
    </row>
    <row r="879" spans="2:27" ht="13.2" x14ac:dyDescent="0.25">
      <c r="B879" s="1"/>
      <c r="C879" s="1"/>
      <c r="D879" s="1"/>
      <c r="E879" s="1"/>
      <c r="F879" s="1"/>
      <c r="G879" s="1"/>
      <c r="H879" s="1"/>
      <c r="K879" s="1"/>
      <c r="L879" s="1"/>
      <c r="M879" s="1"/>
      <c r="N879" s="1"/>
      <c r="O879" s="1"/>
      <c r="P879" s="1"/>
      <c r="Q879" s="1"/>
      <c r="R879" s="1"/>
      <c r="S879" s="1"/>
      <c r="T879" s="1"/>
      <c r="U879" s="1"/>
      <c r="V879" s="1"/>
      <c r="W879" s="1"/>
      <c r="X879" s="1"/>
      <c r="Y879" s="1"/>
      <c r="Z879" s="1"/>
      <c r="AA879" s="1"/>
    </row>
    <row r="880" spans="2:27" ht="13.2" x14ac:dyDescent="0.25">
      <c r="B880" s="1"/>
      <c r="C880" s="1"/>
      <c r="D880" s="1"/>
      <c r="E880" s="1"/>
      <c r="F880" s="1"/>
      <c r="G880" s="1"/>
      <c r="H880" s="1"/>
      <c r="K880" s="1"/>
      <c r="L880" s="1"/>
      <c r="M880" s="1"/>
      <c r="N880" s="1"/>
      <c r="O880" s="1"/>
      <c r="P880" s="1"/>
      <c r="Q880" s="1"/>
      <c r="R880" s="1"/>
      <c r="S880" s="1"/>
      <c r="T880" s="1"/>
      <c r="U880" s="1"/>
      <c r="V880" s="1"/>
      <c r="W880" s="1"/>
      <c r="X880" s="1"/>
      <c r="Y880" s="1"/>
      <c r="Z880" s="1"/>
      <c r="AA880" s="1"/>
    </row>
    <row r="881" spans="2:27" ht="13.2" x14ac:dyDescent="0.25">
      <c r="B881" s="1"/>
      <c r="C881" s="1"/>
      <c r="D881" s="1"/>
      <c r="E881" s="1"/>
      <c r="F881" s="1"/>
      <c r="G881" s="1"/>
      <c r="H881" s="1"/>
      <c r="K881" s="1"/>
      <c r="L881" s="1"/>
      <c r="M881" s="1"/>
      <c r="N881" s="1"/>
      <c r="O881" s="1"/>
      <c r="P881" s="1"/>
      <c r="Q881" s="1"/>
      <c r="R881" s="1"/>
      <c r="S881" s="1"/>
      <c r="T881" s="1"/>
      <c r="U881" s="1"/>
      <c r="V881" s="1"/>
      <c r="W881" s="1"/>
      <c r="X881" s="1"/>
      <c r="Y881" s="1"/>
      <c r="Z881" s="1"/>
      <c r="AA881" s="1"/>
    </row>
    <row r="882" spans="2:27" ht="13.2" x14ac:dyDescent="0.25">
      <c r="B882" s="1"/>
      <c r="C882" s="1"/>
      <c r="D882" s="1"/>
      <c r="E882" s="1"/>
      <c r="F882" s="1"/>
      <c r="G882" s="1"/>
      <c r="H882" s="1"/>
      <c r="K882" s="1"/>
      <c r="L882" s="1"/>
      <c r="M882" s="1"/>
      <c r="N882" s="1"/>
      <c r="O882" s="1"/>
      <c r="P882" s="1"/>
      <c r="Q882" s="1"/>
      <c r="R882" s="1"/>
      <c r="S882" s="1"/>
      <c r="T882" s="1"/>
      <c r="U882" s="1"/>
      <c r="V882" s="1"/>
      <c r="W882" s="1"/>
      <c r="X882" s="1"/>
      <c r="Y882" s="1"/>
      <c r="Z882" s="1"/>
      <c r="AA882" s="1"/>
    </row>
    <row r="883" spans="2:27" ht="13.2" x14ac:dyDescent="0.25">
      <c r="B883" s="1"/>
      <c r="C883" s="1"/>
      <c r="D883" s="1"/>
      <c r="E883" s="1"/>
      <c r="F883" s="1"/>
      <c r="G883" s="1"/>
      <c r="H883" s="1"/>
      <c r="K883" s="1"/>
      <c r="L883" s="1"/>
      <c r="M883" s="1"/>
      <c r="N883" s="1"/>
      <c r="O883" s="1"/>
      <c r="P883" s="1"/>
      <c r="Q883" s="1"/>
      <c r="R883" s="1"/>
      <c r="S883" s="1"/>
      <c r="T883" s="1"/>
      <c r="U883" s="1"/>
      <c r="V883" s="1"/>
      <c r="W883" s="1"/>
      <c r="X883" s="1"/>
      <c r="Y883" s="1"/>
      <c r="Z883" s="1"/>
      <c r="AA883" s="1"/>
    </row>
    <row r="884" spans="2:27" ht="13.2" x14ac:dyDescent="0.25">
      <c r="B884" s="1"/>
      <c r="C884" s="1"/>
      <c r="D884" s="1"/>
      <c r="E884" s="1"/>
      <c r="F884" s="1"/>
      <c r="G884" s="1"/>
      <c r="H884" s="1"/>
      <c r="K884" s="1"/>
      <c r="L884" s="1"/>
      <c r="M884" s="1"/>
      <c r="N884" s="1"/>
      <c r="O884" s="1"/>
      <c r="P884" s="1"/>
      <c r="Q884" s="1"/>
      <c r="R884" s="1"/>
      <c r="S884" s="1"/>
      <c r="T884" s="1"/>
      <c r="U884" s="1"/>
      <c r="V884" s="1"/>
      <c r="W884" s="1"/>
      <c r="X884" s="1"/>
      <c r="Y884" s="1"/>
      <c r="Z884" s="1"/>
      <c r="AA884" s="1"/>
    </row>
    <row r="885" spans="2:27" ht="13.2" x14ac:dyDescent="0.25">
      <c r="B885" s="1"/>
      <c r="C885" s="1"/>
      <c r="D885" s="1"/>
      <c r="E885" s="1"/>
      <c r="F885" s="1"/>
      <c r="G885" s="1"/>
      <c r="H885" s="1"/>
      <c r="K885" s="1"/>
      <c r="L885" s="1"/>
      <c r="M885" s="1"/>
      <c r="N885" s="1"/>
      <c r="O885" s="1"/>
      <c r="P885" s="1"/>
      <c r="Q885" s="1"/>
      <c r="R885" s="1"/>
      <c r="S885" s="1"/>
      <c r="T885" s="1"/>
      <c r="U885" s="1"/>
      <c r="V885" s="1"/>
      <c r="W885" s="1"/>
      <c r="X885" s="1"/>
      <c r="Y885" s="1"/>
      <c r="Z885" s="1"/>
      <c r="AA885" s="1"/>
    </row>
    <row r="886" spans="2:27" ht="13.2" x14ac:dyDescent="0.25">
      <c r="B886" s="1"/>
      <c r="C886" s="1"/>
      <c r="D886" s="1"/>
      <c r="E886" s="1"/>
      <c r="F886" s="1"/>
      <c r="G886" s="1"/>
      <c r="H886" s="1"/>
      <c r="K886" s="1"/>
      <c r="L886" s="1"/>
      <c r="M886" s="1"/>
      <c r="N886" s="1"/>
      <c r="O886" s="1"/>
      <c r="P886" s="1"/>
      <c r="Q886" s="1"/>
      <c r="R886" s="1"/>
      <c r="S886" s="1"/>
      <c r="T886" s="1"/>
      <c r="U886" s="1"/>
      <c r="V886" s="1"/>
      <c r="W886" s="1"/>
      <c r="X886" s="1"/>
      <c r="Y886" s="1"/>
      <c r="Z886" s="1"/>
      <c r="AA886" s="1"/>
    </row>
    <row r="887" spans="2:27" ht="13.2" x14ac:dyDescent="0.25">
      <c r="B887" s="1"/>
      <c r="C887" s="1"/>
      <c r="D887" s="1"/>
      <c r="E887" s="1"/>
      <c r="F887" s="1"/>
      <c r="G887" s="1"/>
      <c r="H887" s="1"/>
      <c r="K887" s="1"/>
      <c r="L887" s="1"/>
      <c r="M887" s="1"/>
      <c r="N887" s="1"/>
      <c r="O887" s="1"/>
      <c r="P887" s="1"/>
      <c r="Q887" s="1"/>
      <c r="R887" s="1"/>
      <c r="S887" s="1"/>
      <c r="T887" s="1"/>
      <c r="U887" s="1"/>
      <c r="V887" s="1"/>
      <c r="W887" s="1"/>
      <c r="X887" s="1"/>
      <c r="Y887" s="1"/>
      <c r="Z887" s="1"/>
      <c r="AA887" s="1"/>
    </row>
    <row r="888" spans="2:27" ht="13.2" x14ac:dyDescent="0.25">
      <c r="B888" s="1"/>
      <c r="C888" s="1"/>
      <c r="D888" s="1"/>
      <c r="E888" s="1"/>
      <c r="F888" s="1"/>
      <c r="G888" s="1"/>
      <c r="H888" s="1"/>
      <c r="K888" s="1"/>
      <c r="L888" s="1"/>
      <c r="M888" s="1"/>
      <c r="N888" s="1"/>
      <c r="O888" s="1"/>
      <c r="P888" s="1"/>
      <c r="Q888" s="1"/>
      <c r="R888" s="1"/>
      <c r="S888" s="1"/>
      <c r="T888" s="1"/>
      <c r="U888" s="1"/>
      <c r="V888" s="1"/>
      <c r="W888" s="1"/>
      <c r="X888" s="1"/>
      <c r="Y888" s="1"/>
      <c r="Z888" s="1"/>
      <c r="AA888" s="1"/>
    </row>
    <row r="889" spans="2:27" ht="13.2" x14ac:dyDescent="0.25">
      <c r="B889" s="1"/>
      <c r="C889" s="1"/>
      <c r="D889" s="1"/>
      <c r="E889" s="1"/>
      <c r="F889" s="1"/>
      <c r="G889" s="1"/>
      <c r="H889" s="1"/>
      <c r="K889" s="1"/>
      <c r="L889" s="1"/>
      <c r="M889" s="1"/>
      <c r="N889" s="1"/>
      <c r="O889" s="1"/>
      <c r="P889" s="1"/>
      <c r="Q889" s="1"/>
      <c r="R889" s="1"/>
      <c r="S889" s="1"/>
      <c r="T889" s="1"/>
      <c r="U889" s="1"/>
      <c r="V889" s="1"/>
      <c r="W889" s="1"/>
      <c r="X889" s="1"/>
      <c r="Y889" s="1"/>
      <c r="Z889" s="1"/>
      <c r="AA889" s="1"/>
    </row>
    <row r="890" spans="2:27" ht="13.2" x14ac:dyDescent="0.25">
      <c r="B890" s="1"/>
      <c r="C890" s="1"/>
      <c r="D890" s="1"/>
      <c r="E890" s="1"/>
      <c r="F890" s="1"/>
      <c r="G890" s="1"/>
      <c r="H890" s="1"/>
      <c r="K890" s="1"/>
      <c r="L890" s="1"/>
      <c r="M890" s="1"/>
      <c r="N890" s="1"/>
      <c r="O890" s="1"/>
      <c r="P890" s="1"/>
      <c r="Q890" s="1"/>
      <c r="R890" s="1"/>
      <c r="S890" s="1"/>
      <c r="T890" s="1"/>
      <c r="U890" s="1"/>
      <c r="V890" s="1"/>
      <c r="W890" s="1"/>
      <c r="X890" s="1"/>
      <c r="Y890" s="1"/>
      <c r="Z890" s="1"/>
      <c r="AA890" s="1"/>
    </row>
    <row r="891" spans="2:27" ht="13.2" x14ac:dyDescent="0.25">
      <c r="B891" s="1"/>
      <c r="C891" s="1"/>
      <c r="D891" s="1"/>
      <c r="E891" s="1"/>
      <c r="F891" s="1"/>
      <c r="G891" s="1"/>
      <c r="H891" s="1"/>
      <c r="K891" s="1"/>
      <c r="L891" s="1"/>
      <c r="M891" s="1"/>
      <c r="N891" s="1"/>
      <c r="O891" s="1"/>
      <c r="P891" s="1"/>
      <c r="Q891" s="1"/>
      <c r="R891" s="1"/>
      <c r="S891" s="1"/>
      <c r="T891" s="1"/>
      <c r="U891" s="1"/>
      <c r="V891" s="1"/>
      <c r="W891" s="1"/>
      <c r="X891" s="1"/>
      <c r="Y891" s="1"/>
      <c r="Z891" s="1"/>
      <c r="AA891" s="1"/>
    </row>
    <row r="892" spans="2:27" ht="13.2" x14ac:dyDescent="0.25">
      <c r="B892" s="1"/>
      <c r="C892" s="1"/>
      <c r="D892" s="1"/>
      <c r="E892" s="1"/>
      <c r="F892" s="1"/>
      <c r="G892" s="1"/>
      <c r="H892" s="1"/>
      <c r="K892" s="1"/>
      <c r="L892" s="1"/>
      <c r="M892" s="1"/>
      <c r="N892" s="1"/>
      <c r="O892" s="1"/>
      <c r="P892" s="1"/>
      <c r="Q892" s="1"/>
      <c r="R892" s="1"/>
      <c r="S892" s="1"/>
      <c r="T892" s="1"/>
      <c r="U892" s="1"/>
      <c r="V892" s="1"/>
      <c r="W892" s="1"/>
      <c r="X892" s="1"/>
      <c r="Y892" s="1"/>
      <c r="Z892" s="1"/>
      <c r="AA892" s="1"/>
    </row>
    <row r="893" spans="2:27" ht="13.2" x14ac:dyDescent="0.25">
      <c r="B893" s="1"/>
      <c r="C893" s="1"/>
      <c r="D893" s="1"/>
      <c r="E893" s="1"/>
      <c r="F893" s="1"/>
      <c r="G893" s="1"/>
      <c r="H893" s="1"/>
      <c r="K893" s="1"/>
      <c r="L893" s="1"/>
      <c r="M893" s="1"/>
      <c r="N893" s="1"/>
      <c r="O893" s="1"/>
      <c r="P893" s="1"/>
      <c r="Q893" s="1"/>
      <c r="R893" s="1"/>
      <c r="S893" s="1"/>
      <c r="T893" s="1"/>
      <c r="U893" s="1"/>
      <c r="V893" s="1"/>
      <c r="W893" s="1"/>
      <c r="X893" s="1"/>
      <c r="Y893" s="1"/>
      <c r="Z893" s="1"/>
      <c r="AA893" s="1"/>
    </row>
    <row r="894" spans="2:27" ht="13.2" x14ac:dyDescent="0.25">
      <c r="B894" s="1"/>
      <c r="C894" s="1"/>
      <c r="D894" s="1"/>
      <c r="E894" s="1"/>
      <c r="F894" s="1"/>
      <c r="G894" s="1"/>
      <c r="H894" s="1"/>
      <c r="K894" s="1"/>
      <c r="L894" s="1"/>
      <c r="M894" s="1"/>
      <c r="N894" s="1"/>
      <c r="O894" s="1"/>
      <c r="P894" s="1"/>
      <c r="Q894" s="1"/>
      <c r="R894" s="1"/>
      <c r="S894" s="1"/>
      <c r="T894" s="1"/>
      <c r="U894" s="1"/>
      <c r="V894" s="1"/>
      <c r="W894" s="1"/>
      <c r="X894" s="1"/>
      <c r="Y894" s="1"/>
      <c r="Z894" s="1"/>
      <c r="AA894" s="1"/>
    </row>
    <row r="895" spans="2:27" ht="13.2" x14ac:dyDescent="0.25">
      <c r="B895" s="1"/>
      <c r="C895" s="1"/>
      <c r="D895" s="1"/>
      <c r="E895" s="1"/>
      <c r="F895" s="1"/>
      <c r="G895" s="1"/>
      <c r="H895" s="1"/>
      <c r="K895" s="1"/>
      <c r="L895" s="1"/>
      <c r="M895" s="1"/>
      <c r="N895" s="1"/>
      <c r="O895" s="1"/>
      <c r="P895" s="1"/>
      <c r="Q895" s="1"/>
      <c r="R895" s="1"/>
      <c r="S895" s="1"/>
      <c r="T895" s="1"/>
      <c r="U895" s="1"/>
      <c r="V895" s="1"/>
      <c r="W895" s="1"/>
      <c r="X895" s="1"/>
      <c r="Y895" s="1"/>
      <c r="Z895" s="1"/>
      <c r="AA895" s="1"/>
    </row>
    <row r="896" spans="2:27" ht="13.2" x14ac:dyDescent="0.25">
      <c r="B896" s="1"/>
      <c r="C896" s="1"/>
      <c r="D896" s="1"/>
      <c r="E896" s="1"/>
      <c r="F896" s="1"/>
      <c r="G896" s="1"/>
      <c r="H896" s="1"/>
      <c r="K896" s="1"/>
      <c r="L896" s="1"/>
      <c r="M896" s="1"/>
      <c r="N896" s="1"/>
      <c r="O896" s="1"/>
      <c r="P896" s="1"/>
      <c r="Q896" s="1"/>
      <c r="R896" s="1"/>
      <c r="S896" s="1"/>
      <c r="T896" s="1"/>
      <c r="U896" s="1"/>
      <c r="V896" s="1"/>
      <c r="W896" s="1"/>
      <c r="X896" s="1"/>
      <c r="Y896" s="1"/>
      <c r="Z896" s="1"/>
      <c r="AA896" s="1"/>
    </row>
    <row r="897" spans="2:27" ht="13.2" x14ac:dyDescent="0.25">
      <c r="B897" s="1"/>
      <c r="C897" s="1"/>
      <c r="D897" s="1"/>
      <c r="E897" s="1"/>
      <c r="F897" s="1"/>
      <c r="G897" s="1"/>
      <c r="H897" s="1"/>
      <c r="K897" s="1"/>
      <c r="L897" s="1"/>
      <c r="M897" s="1"/>
      <c r="N897" s="1"/>
      <c r="O897" s="1"/>
      <c r="P897" s="1"/>
      <c r="Q897" s="1"/>
      <c r="R897" s="1"/>
      <c r="S897" s="1"/>
      <c r="T897" s="1"/>
      <c r="U897" s="1"/>
      <c r="V897" s="1"/>
      <c r="W897" s="1"/>
      <c r="X897" s="1"/>
      <c r="Y897" s="1"/>
      <c r="Z897" s="1"/>
      <c r="AA897" s="1"/>
    </row>
    <row r="898" spans="2:27" ht="13.2" x14ac:dyDescent="0.25">
      <c r="B898" s="1"/>
      <c r="C898" s="1"/>
      <c r="D898" s="1"/>
      <c r="E898" s="1"/>
      <c r="F898" s="1"/>
      <c r="G898" s="1"/>
      <c r="H898" s="1"/>
      <c r="K898" s="1"/>
      <c r="L898" s="1"/>
      <c r="M898" s="1"/>
      <c r="N898" s="1"/>
      <c r="O898" s="1"/>
      <c r="P898" s="1"/>
      <c r="Q898" s="1"/>
      <c r="R898" s="1"/>
      <c r="S898" s="1"/>
      <c r="T898" s="1"/>
      <c r="U898" s="1"/>
      <c r="V898" s="1"/>
      <c r="W898" s="1"/>
      <c r="X898" s="1"/>
      <c r="Y898" s="1"/>
      <c r="Z898" s="1"/>
      <c r="AA898" s="1"/>
    </row>
    <row r="899" spans="2:27" ht="13.2" x14ac:dyDescent="0.25">
      <c r="B899" s="1"/>
      <c r="C899" s="1"/>
      <c r="D899" s="1"/>
      <c r="E899" s="1"/>
      <c r="F899" s="1"/>
      <c r="G899" s="1"/>
      <c r="H899" s="1"/>
      <c r="K899" s="1"/>
      <c r="L899" s="1"/>
      <c r="M899" s="1"/>
      <c r="N899" s="1"/>
      <c r="O899" s="1"/>
      <c r="P899" s="1"/>
      <c r="Q899" s="1"/>
      <c r="R899" s="1"/>
      <c r="S899" s="1"/>
      <c r="T899" s="1"/>
      <c r="U899" s="1"/>
      <c r="V899" s="1"/>
      <c r="W899" s="1"/>
      <c r="X899" s="1"/>
      <c r="Y899" s="1"/>
      <c r="Z899" s="1"/>
      <c r="AA899" s="1"/>
    </row>
    <row r="900" spans="2:27" ht="13.2" x14ac:dyDescent="0.25">
      <c r="B900" s="1"/>
      <c r="C900" s="1"/>
      <c r="D900" s="1"/>
      <c r="E900" s="1"/>
      <c r="F900" s="1"/>
      <c r="G900" s="1"/>
      <c r="H900" s="1"/>
      <c r="K900" s="1"/>
      <c r="L900" s="1"/>
      <c r="M900" s="1"/>
      <c r="N900" s="1"/>
      <c r="O900" s="1"/>
      <c r="P900" s="1"/>
      <c r="Q900" s="1"/>
      <c r="R900" s="1"/>
      <c r="S900" s="1"/>
      <c r="T900" s="1"/>
      <c r="U900" s="1"/>
      <c r="V900" s="1"/>
      <c r="W900" s="1"/>
      <c r="X900" s="1"/>
      <c r="Y900" s="1"/>
      <c r="Z900" s="1"/>
      <c r="AA900" s="1"/>
    </row>
    <row r="901" spans="2:27" ht="13.2" x14ac:dyDescent="0.25">
      <c r="B901" s="1"/>
      <c r="C901" s="1"/>
      <c r="D901" s="1"/>
      <c r="E901" s="1"/>
      <c r="F901" s="1"/>
      <c r="G901" s="1"/>
      <c r="H901" s="1"/>
      <c r="K901" s="1"/>
      <c r="L901" s="1"/>
      <c r="M901" s="1"/>
      <c r="N901" s="1"/>
      <c r="O901" s="1"/>
      <c r="P901" s="1"/>
      <c r="Q901" s="1"/>
      <c r="R901" s="1"/>
      <c r="S901" s="1"/>
      <c r="T901" s="1"/>
      <c r="U901" s="1"/>
      <c r="V901" s="1"/>
      <c r="W901" s="1"/>
      <c r="X901" s="1"/>
      <c r="Y901" s="1"/>
      <c r="Z901" s="1"/>
      <c r="AA901" s="1"/>
    </row>
    <row r="902" spans="2:27" ht="13.2" x14ac:dyDescent="0.25">
      <c r="B902" s="1"/>
      <c r="C902" s="1"/>
      <c r="D902" s="1"/>
      <c r="E902" s="1"/>
      <c r="F902" s="1"/>
      <c r="G902" s="1"/>
      <c r="H902" s="1"/>
      <c r="K902" s="1"/>
      <c r="L902" s="1"/>
      <c r="M902" s="1"/>
      <c r="N902" s="1"/>
      <c r="O902" s="1"/>
      <c r="P902" s="1"/>
      <c r="Q902" s="1"/>
      <c r="R902" s="1"/>
      <c r="S902" s="1"/>
      <c r="T902" s="1"/>
      <c r="U902" s="1"/>
      <c r="V902" s="1"/>
      <c r="W902" s="1"/>
      <c r="X902" s="1"/>
      <c r="Y902" s="1"/>
      <c r="Z902" s="1"/>
      <c r="AA902" s="1"/>
    </row>
    <row r="903" spans="2:27" ht="13.2" x14ac:dyDescent="0.25">
      <c r="B903" s="1"/>
      <c r="C903" s="1"/>
      <c r="D903" s="1"/>
      <c r="E903" s="1"/>
      <c r="F903" s="1"/>
      <c r="G903" s="1"/>
      <c r="H903" s="1"/>
      <c r="K903" s="1"/>
      <c r="L903" s="1"/>
      <c r="M903" s="1"/>
      <c r="N903" s="1"/>
      <c r="O903" s="1"/>
      <c r="P903" s="1"/>
      <c r="Q903" s="1"/>
      <c r="R903" s="1"/>
      <c r="S903" s="1"/>
      <c r="T903" s="1"/>
      <c r="U903" s="1"/>
      <c r="V903" s="1"/>
      <c r="W903" s="1"/>
      <c r="X903" s="1"/>
      <c r="Y903" s="1"/>
      <c r="Z903" s="1"/>
      <c r="AA903" s="1"/>
    </row>
    <row r="904" spans="2:27" ht="13.2" x14ac:dyDescent="0.25">
      <c r="B904" s="1"/>
      <c r="C904" s="1"/>
      <c r="D904" s="1"/>
      <c r="E904" s="1"/>
      <c r="F904" s="1"/>
      <c r="G904" s="1"/>
      <c r="H904" s="1"/>
      <c r="K904" s="1"/>
      <c r="L904" s="1"/>
      <c r="M904" s="1"/>
      <c r="N904" s="1"/>
      <c r="O904" s="1"/>
      <c r="P904" s="1"/>
      <c r="Q904" s="1"/>
      <c r="R904" s="1"/>
      <c r="S904" s="1"/>
      <c r="T904" s="1"/>
      <c r="U904" s="1"/>
      <c r="V904" s="1"/>
      <c r="W904" s="1"/>
      <c r="X904" s="1"/>
      <c r="Y904" s="1"/>
      <c r="Z904" s="1"/>
      <c r="AA904" s="1"/>
    </row>
    <row r="905" spans="2:27" ht="13.2" x14ac:dyDescent="0.25">
      <c r="B905" s="1"/>
      <c r="C905" s="1"/>
      <c r="D905" s="1"/>
      <c r="E905" s="1"/>
      <c r="F905" s="1"/>
      <c r="G905" s="1"/>
      <c r="H905" s="1"/>
      <c r="K905" s="1"/>
      <c r="L905" s="1"/>
      <c r="M905" s="1"/>
      <c r="N905" s="1"/>
      <c r="O905" s="1"/>
      <c r="P905" s="1"/>
      <c r="Q905" s="1"/>
      <c r="R905" s="1"/>
      <c r="S905" s="1"/>
      <c r="T905" s="1"/>
      <c r="U905" s="1"/>
      <c r="V905" s="1"/>
      <c r="W905" s="1"/>
      <c r="X905" s="1"/>
      <c r="Y905" s="1"/>
      <c r="Z905" s="1"/>
      <c r="AA905" s="1"/>
    </row>
    <row r="906" spans="2:27" ht="13.2" x14ac:dyDescent="0.25">
      <c r="B906" s="1"/>
      <c r="C906" s="1"/>
      <c r="D906" s="1"/>
      <c r="E906" s="1"/>
      <c r="F906" s="1"/>
      <c r="G906" s="1"/>
      <c r="H906" s="1"/>
      <c r="K906" s="1"/>
      <c r="L906" s="1"/>
      <c r="M906" s="1"/>
      <c r="N906" s="1"/>
      <c r="O906" s="1"/>
      <c r="P906" s="1"/>
      <c r="Q906" s="1"/>
      <c r="R906" s="1"/>
      <c r="S906" s="1"/>
      <c r="T906" s="1"/>
      <c r="U906" s="1"/>
      <c r="V906" s="1"/>
      <c r="W906" s="1"/>
      <c r="X906" s="1"/>
      <c r="Y906" s="1"/>
      <c r="Z906" s="1"/>
      <c r="AA906" s="1"/>
    </row>
    <row r="907" spans="2:27" ht="13.2" x14ac:dyDescent="0.25">
      <c r="B907" s="1"/>
      <c r="C907" s="1"/>
      <c r="D907" s="1"/>
      <c r="E907" s="1"/>
      <c r="F907" s="1"/>
      <c r="G907" s="1"/>
      <c r="H907" s="1"/>
      <c r="K907" s="1"/>
      <c r="L907" s="1"/>
      <c r="M907" s="1"/>
      <c r="N907" s="1"/>
      <c r="O907" s="1"/>
      <c r="P907" s="1"/>
      <c r="Q907" s="1"/>
      <c r="R907" s="1"/>
      <c r="S907" s="1"/>
      <c r="T907" s="1"/>
      <c r="U907" s="1"/>
      <c r="V907" s="1"/>
      <c r="W907" s="1"/>
      <c r="X907" s="1"/>
      <c r="Y907" s="1"/>
      <c r="Z907" s="1"/>
      <c r="AA907" s="1"/>
    </row>
    <row r="908" spans="2:27" ht="13.2" x14ac:dyDescent="0.25">
      <c r="B908" s="1"/>
      <c r="C908" s="1"/>
      <c r="D908" s="1"/>
      <c r="E908" s="1"/>
      <c r="F908" s="1"/>
      <c r="G908" s="1"/>
      <c r="H908" s="1"/>
      <c r="K908" s="1"/>
      <c r="L908" s="1"/>
      <c r="M908" s="1"/>
      <c r="N908" s="1"/>
      <c r="O908" s="1"/>
      <c r="P908" s="1"/>
      <c r="Q908" s="1"/>
      <c r="R908" s="1"/>
      <c r="S908" s="1"/>
      <c r="T908" s="1"/>
      <c r="U908" s="1"/>
      <c r="V908" s="1"/>
      <c r="W908" s="1"/>
      <c r="X908" s="1"/>
      <c r="Y908" s="1"/>
      <c r="Z908" s="1"/>
      <c r="AA908" s="1"/>
    </row>
    <row r="909" spans="2:27" ht="13.2" x14ac:dyDescent="0.25">
      <c r="B909" s="1"/>
      <c r="C909" s="1"/>
      <c r="D909" s="1"/>
      <c r="E909" s="1"/>
      <c r="F909" s="1"/>
      <c r="G909" s="1"/>
      <c r="H909" s="1"/>
      <c r="K909" s="1"/>
      <c r="L909" s="1"/>
      <c r="M909" s="1"/>
      <c r="N909" s="1"/>
      <c r="O909" s="1"/>
      <c r="P909" s="1"/>
      <c r="Q909" s="1"/>
      <c r="R909" s="1"/>
      <c r="S909" s="1"/>
      <c r="T909" s="1"/>
      <c r="U909" s="1"/>
      <c r="V909" s="1"/>
      <c r="W909" s="1"/>
      <c r="X909" s="1"/>
      <c r="Y909" s="1"/>
      <c r="Z909" s="1"/>
      <c r="AA909" s="1"/>
    </row>
    <row r="910" spans="2:27" ht="13.2" x14ac:dyDescent="0.25">
      <c r="B910" s="1"/>
      <c r="C910" s="1"/>
      <c r="D910" s="1"/>
      <c r="E910" s="1"/>
      <c r="F910" s="1"/>
      <c r="G910" s="1"/>
      <c r="H910" s="1"/>
      <c r="K910" s="1"/>
      <c r="L910" s="1"/>
      <c r="M910" s="1"/>
      <c r="N910" s="1"/>
      <c r="O910" s="1"/>
      <c r="P910" s="1"/>
      <c r="Q910" s="1"/>
      <c r="R910" s="1"/>
      <c r="S910" s="1"/>
      <c r="T910" s="1"/>
      <c r="U910" s="1"/>
      <c r="V910" s="1"/>
      <c r="W910" s="1"/>
      <c r="X910" s="1"/>
      <c r="Y910" s="1"/>
      <c r="Z910" s="1"/>
      <c r="AA910" s="1"/>
    </row>
    <row r="911" spans="2:27" ht="13.2" x14ac:dyDescent="0.25">
      <c r="B911" s="1"/>
      <c r="C911" s="1"/>
      <c r="D911" s="1"/>
      <c r="E911" s="1"/>
      <c r="F911" s="1"/>
      <c r="G911" s="1"/>
      <c r="H911" s="1"/>
      <c r="K911" s="1"/>
      <c r="L911" s="1"/>
      <c r="M911" s="1"/>
      <c r="N911" s="1"/>
      <c r="O911" s="1"/>
      <c r="P911" s="1"/>
      <c r="Q911" s="1"/>
      <c r="R911" s="1"/>
      <c r="S911" s="1"/>
      <c r="T911" s="1"/>
      <c r="U911" s="1"/>
      <c r="V911" s="1"/>
      <c r="W911" s="1"/>
      <c r="X911" s="1"/>
      <c r="Y911" s="1"/>
      <c r="Z911" s="1"/>
      <c r="AA911" s="1"/>
    </row>
    <row r="912" spans="2:27" ht="13.2" x14ac:dyDescent="0.25">
      <c r="B912" s="1"/>
      <c r="C912" s="1"/>
      <c r="D912" s="1"/>
      <c r="E912" s="1"/>
      <c r="F912" s="1"/>
      <c r="G912" s="1"/>
      <c r="H912" s="1"/>
      <c r="K912" s="1"/>
      <c r="L912" s="1"/>
      <c r="M912" s="1"/>
      <c r="N912" s="1"/>
      <c r="O912" s="1"/>
      <c r="P912" s="1"/>
      <c r="Q912" s="1"/>
      <c r="R912" s="1"/>
      <c r="S912" s="1"/>
      <c r="T912" s="1"/>
      <c r="U912" s="1"/>
      <c r="V912" s="1"/>
      <c r="W912" s="1"/>
      <c r="X912" s="1"/>
      <c r="Y912" s="1"/>
      <c r="Z912" s="1"/>
      <c r="AA912" s="1"/>
    </row>
    <row r="913" spans="2:27" ht="13.2" x14ac:dyDescent="0.25">
      <c r="B913" s="1"/>
      <c r="C913" s="1"/>
      <c r="D913" s="1"/>
      <c r="E913" s="1"/>
      <c r="F913" s="1"/>
      <c r="G913" s="1"/>
      <c r="H913" s="1"/>
      <c r="K913" s="1"/>
      <c r="L913" s="1"/>
      <c r="M913" s="1"/>
      <c r="N913" s="1"/>
      <c r="O913" s="1"/>
      <c r="P913" s="1"/>
      <c r="Q913" s="1"/>
      <c r="R913" s="1"/>
      <c r="S913" s="1"/>
      <c r="T913" s="1"/>
      <c r="U913" s="1"/>
      <c r="V913" s="1"/>
      <c r="W913" s="1"/>
      <c r="X913" s="1"/>
      <c r="Y913" s="1"/>
      <c r="Z913" s="1"/>
      <c r="AA913" s="1"/>
    </row>
    <row r="914" spans="2:27" ht="13.2" x14ac:dyDescent="0.25">
      <c r="B914" s="1"/>
      <c r="C914" s="1"/>
      <c r="D914" s="1"/>
      <c r="E914" s="1"/>
      <c r="F914" s="1"/>
      <c r="G914" s="1"/>
      <c r="H914" s="1"/>
      <c r="K914" s="1"/>
      <c r="L914" s="1"/>
      <c r="M914" s="1"/>
      <c r="N914" s="1"/>
      <c r="O914" s="1"/>
      <c r="P914" s="1"/>
      <c r="Q914" s="1"/>
      <c r="R914" s="1"/>
      <c r="S914" s="1"/>
      <c r="T914" s="1"/>
      <c r="U914" s="1"/>
      <c r="V914" s="1"/>
      <c r="W914" s="1"/>
      <c r="X914" s="1"/>
      <c r="Y914" s="1"/>
      <c r="Z914" s="1"/>
      <c r="AA914" s="1"/>
    </row>
    <row r="915" spans="2:27" ht="13.2" x14ac:dyDescent="0.25">
      <c r="B915" s="1"/>
      <c r="C915" s="1"/>
      <c r="D915" s="1"/>
      <c r="E915" s="1"/>
      <c r="F915" s="1"/>
      <c r="G915" s="1"/>
      <c r="H915" s="1"/>
      <c r="K915" s="1"/>
      <c r="L915" s="1"/>
      <c r="M915" s="1"/>
      <c r="N915" s="1"/>
      <c r="O915" s="1"/>
      <c r="P915" s="1"/>
      <c r="Q915" s="1"/>
      <c r="R915" s="1"/>
      <c r="S915" s="1"/>
      <c r="T915" s="1"/>
      <c r="U915" s="1"/>
      <c r="V915" s="1"/>
      <c r="W915" s="1"/>
      <c r="X915" s="1"/>
      <c r="Y915" s="1"/>
      <c r="Z915" s="1"/>
      <c r="AA915" s="1"/>
    </row>
    <row r="916" spans="2:27" ht="13.2" x14ac:dyDescent="0.25">
      <c r="B916" s="1"/>
      <c r="C916" s="1"/>
      <c r="D916" s="1"/>
      <c r="E916" s="1"/>
      <c r="F916" s="1"/>
      <c r="G916" s="1"/>
      <c r="H916" s="1"/>
      <c r="K916" s="1"/>
      <c r="L916" s="1"/>
      <c r="M916" s="1"/>
      <c r="N916" s="1"/>
      <c r="O916" s="1"/>
      <c r="P916" s="1"/>
      <c r="Q916" s="1"/>
      <c r="R916" s="1"/>
      <c r="S916" s="1"/>
      <c r="T916" s="1"/>
      <c r="U916" s="1"/>
      <c r="V916" s="1"/>
      <c r="W916" s="1"/>
      <c r="X916" s="1"/>
      <c r="Y916" s="1"/>
      <c r="Z916" s="1"/>
      <c r="AA916" s="1"/>
    </row>
    <row r="917" spans="2:27" ht="13.2" x14ac:dyDescent="0.25">
      <c r="B917" s="1"/>
      <c r="C917" s="1"/>
      <c r="D917" s="1"/>
      <c r="E917" s="1"/>
      <c r="F917" s="1"/>
      <c r="G917" s="1"/>
      <c r="H917" s="1"/>
      <c r="K917" s="1"/>
      <c r="L917" s="1"/>
      <c r="M917" s="1"/>
      <c r="N917" s="1"/>
      <c r="O917" s="1"/>
      <c r="P917" s="1"/>
      <c r="Q917" s="1"/>
      <c r="R917" s="1"/>
      <c r="S917" s="1"/>
      <c r="T917" s="1"/>
      <c r="U917" s="1"/>
      <c r="V917" s="1"/>
      <c r="W917" s="1"/>
      <c r="X917" s="1"/>
      <c r="Y917" s="1"/>
      <c r="Z917" s="1"/>
      <c r="AA917" s="1"/>
    </row>
    <row r="918" spans="2:27" ht="13.2" x14ac:dyDescent="0.25">
      <c r="B918" s="1"/>
      <c r="C918" s="1"/>
      <c r="D918" s="1"/>
      <c r="E918" s="1"/>
      <c r="F918" s="1"/>
      <c r="G918" s="1"/>
      <c r="H918" s="1"/>
      <c r="K918" s="1"/>
      <c r="L918" s="1"/>
      <c r="M918" s="1"/>
      <c r="N918" s="1"/>
      <c r="O918" s="1"/>
      <c r="P918" s="1"/>
      <c r="Q918" s="1"/>
      <c r="R918" s="1"/>
      <c r="S918" s="1"/>
      <c r="T918" s="1"/>
      <c r="U918" s="1"/>
      <c r="V918" s="1"/>
      <c r="W918" s="1"/>
      <c r="X918" s="1"/>
      <c r="Y918" s="1"/>
      <c r="Z918" s="1"/>
      <c r="AA918" s="1"/>
    </row>
    <row r="919" spans="2:27" ht="13.2" x14ac:dyDescent="0.25">
      <c r="B919" s="1"/>
      <c r="C919" s="1"/>
      <c r="D919" s="1"/>
      <c r="E919" s="1"/>
      <c r="F919" s="1"/>
      <c r="G919" s="1"/>
      <c r="H919" s="1"/>
      <c r="K919" s="1"/>
      <c r="L919" s="1"/>
      <c r="M919" s="1"/>
      <c r="N919" s="1"/>
      <c r="O919" s="1"/>
      <c r="P919" s="1"/>
      <c r="Q919" s="1"/>
      <c r="R919" s="1"/>
      <c r="S919" s="1"/>
      <c r="T919" s="1"/>
      <c r="U919" s="1"/>
      <c r="V919" s="1"/>
      <c r="W919" s="1"/>
      <c r="X919" s="1"/>
      <c r="Y919" s="1"/>
      <c r="Z919" s="1"/>
      <c r="AA919" s="1"/>
    </row>
    <row r="920" spans="2:27" ht="13.2" x14ac:dyDescent="0.25">
      <c r="B920" s="1"/>
      <c r="C920" s="1"/>
      <c r="D920" s="1"/>
      <c r="E920" s="1"/>
      <c r="F920" s="1"/>
      <c r="G920" s="1"/>
      <c r="H920" s="1"/>
      <c r="K920" s="1"/>
      <c r="L920" s="1"/>
      <c r="M920" s="1"/>
      <c r="N920" s="1"/>
      <c r="O920" s="1"/>
      <c r="P920" s="1"/>
      <c r="Q920" s="1"/>
      <c r="R920" s="1"/>
      <c r="S920" s="1"/>
      <c r="T920" s="1"/>
      <c r="U920" s="1"/>
      <c r="V920" s="1"/>
      <c r="W920" s="1"/>
      <c r="X920" s="1"/>
      <c r="Y920" s="1"/>
      <c r="Z920" s="1"/>
      <c r="AA920" s="1"/>
    </row>
    <row r="921" spans="2:27" ht="13.2" x14ac:dyDescent="0.25">
      <c r="B921" s="1"/>
      <c r="C921" s="1"/>
      <c r="D921" s="1"/>
      <c r="E921" s="1"/>
      <c r="F921" s="1"/>
      <c r="G921" s="1"/>
      <c r="H921" s="1"/>
      <c r="K921" s="1"/>
      <c r="L921" s="1"/>
      <c r="M921" s="1"/>
      <c r="N921" s="1"/>
      <c r="O921" s="1"/>
      <c r="P921" s="1"/>
      <c r="Q921" s="1"/>
      <c r="R921" s="1"/>
      <c r="S921" s="1"/>
      <c r="T921" s="1"/>
      <c r="U921" s="1"/>
      <c r="V921" s="1"/>
      <c r="W921" s="1"/>
      <c r="X921" s="1"/>
      <c r="Y921" s="1"/>
      <c r="Z921" s="1"/>
      <c r="AA921" s="1"/>
    </row>
    <row r="922" spans="2:27" ht="13.2" x14ac:dyDescent="0.25">
      <c r="B922" s="1"/>
      <c r="C922" s="1"/>
      <c r="D922" s="1"/>
      <c r="E922" s="1"/>
      <c r="F922" s="1"/>
      <c r="G922" s="1"/>
      <c r="H922" s="1"/>
      <c r="K922" s="1"/>
      <c r="L922" s="1"/>
      <c r="M922" s="1"/>
      <c r="N922" s="1"/>
      <c r="O922" s="1"/>
      <c r="P922" s="1"/>
      <c r="Q922" s="1"/>
      <c r="R922" s="1"/>
      <c r="S922" s="1"/>
      <c r="T922" s="1"/>
      <c r="U922" s="1"/>
      <c r="V922" s="1"/>
      <c r="W922" s="1"/>
      <c r="X922" s="1"/>
      <c r="Y922" s="1"/>
      <c r="Z922" s="1"/>
      <c r="AA922" s="1"/>
    </row>
    <row r="923" spans="2:27" ht="13.2" x14ac:dyDescent="0.25">
      <c r="B923" s="1"/>
      <c r="C923" s="1"/>
      <c r="D923" s="1"/>
      <c r="E923" s="1"/>
      <c r="F923" s="1"/>
      <c r="G923" s="1"/>
      <c r="H923" s="1"/>
      <c r="K923" s="1"/>
      <c r="L923" s="1"/>
      <c r="M923" s="1"/>
      <c r="N923" s="1"/>
      <c r="O923" s="1"/>
      <c r="P923" s="1"/>
      <c r="Q923" s="1"/>
      <c r="R923" s="1"/>
      <c r="S923" s="1"/>
      <c r="T923" s="1"/>
      <c r="U923" s="1"/>
      <c r="V923" s="1"/>
      <c r="W923" s="1"/>
      <c r="X923" s="1"/>
      <c r="Y923" s="1"/>
      <c r="Z923" s="1"/>
      <c r="AA923" s="1"/>
    </row>
    <row r="924" spans="2:27" ht="13.2" x14ac:dyDescent="0.25">
      <c r="B924" s="1"/>
      <c r="C924" s="1"/>
      <c r="D924" s="1"/>
      <c r="E924" s="1"/>
      <c r="F924" s="1"/>
      <c r="G924" s="1"/>
      <c r="H924" s="1"/>
      <c r="K924" s="1"/>
      <c r="L924" s="1"/>
      <c r="M924" s="1"/>
      <c r="N924" s="1"/>
      <c r="O924" s="1"/>
      <c r="P924" s="1"/>
      <c r="Q924" s="1"/>
      <c r="R924" s="1"/>
      <c r="S924" s="1"/>
      <c r="T924" s="1"/>
      <c r="U924" s="1"/>
      <c r="V924" s="1"/>
      <c r="W924" s="1"/>
      <c r="X924" s="1"/>
      <c r="Y924" s="1"/>
      <c r="Z924" s="1"/>
      <c r="AA924" s="1"/>
    </row>
    <row r="925" spans="2:27" ht="13.2" x14ac:dyDescent="0.25">
      <c r="B925" s="1"/>
      <c r="C925" s="1"/>
      <c r="D925" s="1"/>
      <c r="E925" s="1"/>
      <c r="F925" s="1"/>
      <c r="G925" s="1"/>
      <c r="H925" s="1"/>
      <c r="K925" s="1"/>
      <c r="L925" s="1"/>
      <c r="M925" s="1"/>
      <c r="N925" s="1"/>
      <c r="O925" s="1"/>
      <c r="P925" s="1"/>
      <c r="Q925" s="1"/>
      <c r="R925" s="1"/>
      <c r="S925" s="1"/>
      <c r="T925" s="1"/>
      <c r="U925" s="1"/>
      <c r="V925" s="1"/>
      <c r="W925" s="1"/>
      <c r="X925" s="1"/>
      <c r="Y925" s="1"/>
      <c r="Z925" s="1"/>
      <c r="AA925" s="1"/>
    </row>
    <row r="926" spans="2:27" ht="13.2" x14ac:dyDescent="0.25">
      <c r="B926" s="1"/>
      <c r="C926" s="1"/>
      <c r="D926" s="1"/>
      <c r="E926" s="1"/>
      <c r="F926" s="1"/>
      <c r="G926" s="1"/>
      <c r="H926" s="1"/>
      <c r="K926" s="1"/>
      <c r="L926" s="1"/>
      <c r="M926" s="1"/>
      <c r="N926" s="1"/>
      <c r="O926" s="1"/>
      <c r="P926" s="1"/>
      <c r="Q926" s="1"/>
      <c r="R926" s="1"/>
      <c r="S926" s="1"/>
      <c r="T926" s="1"/>
      <c r="U926" s="1"/>
      <c r="V926" s="1"/>
      <c r="W926" s="1"/>
      <c r="X926" s="1"/>
      <c r="Y926" s="1"/>
      <c r="Z926" s="1"/>
      <c r="AA926" s="1"/>
    </row>
    <row r="927" spans="2:27" ht="13.2" x14ac:dyDescent="0.25">
      <c r="B927" s="1"/>
      <c r="C927" s="1"/>
      <c r="D927" s="1"/>
      <c r="E927" s="1"/>
      <c r="F927" s="1"/>
      <c r="G927" s="1"/>
      <c r="H927" s="1"/>
      <c r="K927" s="1"/>
      <c r="L927" s="1"/>
      <c r="M927" s="1"/>
      <c r="N927" s="1"/>
      <c r="O927" s="1"/>
      <c r="P927" s="1"/>
      <c r="Q927" s="1"/>
      <c r="R927" s="1"/>
      <c r="S927" s="1"/>
      <c r="T927" s="1"/>
      <c r="U927" s="1"/>
      <c r="V927" s="1"/>
      <c r="W927" s="1"/>
      <c r="X927" s="1"/>
      <c r="Y927" s="1"/>
      <c r="Z927" s="1"/>
      <c r="AA927" s="1"/>
    </row>
    <row r="928" spans="2:27" ht="13.2" x14ac:dyDescent="0.25">
      <c r="B928" s="1"/>
      <c r="C928" s="1"/>
      <c r="D928" s="1"/>
      <c r="E928" s="1"/>
      <c r="F928" s="1"/>
      <c r="G928" s="1"/>
      <c r="H928" s="1"/>
      <c r="K928" s="1"/>
      <c r="L928" s="1"/>
      <c r="M928" s="1"/>
      <c r="N928" s="1"/>
      <c r="O928" s="1"/>
      <c r="P928" s="1"/>
      <c r="Q928" s="1"/>
      <c r="R928" s="1"/>
      <c r="S928" s="1"/>
      <c r="T928" s="1"/>
      <c r="U928" s="1"/>
      <c r="V928" s="1"/>
      <c r="W928" s="1"/>
      <c r="X928" s="1"/>
      <c r="Y928" s="1"/>
      <c r="Z928" s="1"/>
      <c r="AA928" s="1"/>
    </row>
    <row r="929" spans="2:27" ht="13.2" x14ac:dyDescent="0.25">
      <c r="B929" s="1"/>
      <c r="C929" s="1"/>
      <c r="D929" s="1"/>
      <c r="E929" s="1"/>
      <c r="F929" s="1"/>
      <c r="G929" s="1"/>
      <c r="H929" s="1"/>
      <c r="K929" s="1"/>
      <c r="L929" s="1"/>
      <c r="M929" s="1"/>
      <c r="N929" s="1"/>
      <c r="O929" s="1"/>
      <c r="P929" s="1"/>
      <c r="Q929" s="1"/>
      <c r="R929" s="1"/>
      <c r="S929" s="1"/>
      <c r="T929" s="1"/>
      <c r="U929" s="1"/>
      <c r="V929" s="1"/>
      <c r="W929" s="1"/>
      <c r="X929" s="1"/>
      <c r="Y929" s="1"/>
      <c r="Z929" s="1"/>
      <c r="AA929" s="1"/>
    </row>
    <row r="930" spans="2:27" ht="13.2" x14ac:dyDescent="0.25">
      <c r="B930" s="1"/>
      <c r="C930" s="1"/>
      <c r="D930" s="1"/>
      <c r="E930" s="1"/>
      <c r="F930" s="1"/>
      <c r="G930" s="1"/>
      <c r="H930" s="1"/>
      <c r="K930" s="1"/>
      <c r="L930" s="1"/>
      <c r="M930" s="1"/>
      <c r="N930" s="1"/>
      <c r="O930" s="1"/>
      <c r="P930" s="1"/>
      <c r="Q930" s="1"/>
      <c r="R930" s="1"/>
      <c r="S930" s="1"/>
      <c r="T930" s="1"/>
      <c r="U930" s="1"/>
      <c r="V930" s="1"/>
      <c r="W930" s="1"/>
      <c r="X930" s="1"/>
      <c r="Y930" s="1"/>
      <c r="Z930" s="1"/>
      <c r="AA930" s="1"/>
    </row>
    <row r="931" spans="2:27" ht="13.2" x14ac:dyDescent="0.25">
      <c r="B931" s="1"/>
      <c r="C931" s="1"/>
      <c r="D931" s="1"/>
      <c r="E931" s="1"/>
      <c r="F931" s="1"/>
      <c r="G931" s="1"/>
      <c r="H931" s="1"/>
      <c r="K931" s="1"/>
      <c r="L931" s="1"/>
      <c r="M931" s="1"/>
      <c r="N931" s="1"/>
      <c r="O931" s="1"/>
      <c r="P931" s="1"/>
      <c r="Q931" s="1"/>
      <c r="R931" s="1"/>
      <c r="S931" s="1"/>
      <c r="T931" s="1"/>
      <c r="U931" s="1"/>
      <c r="V931" s="1"/>
      <c r="W931" s="1"/>
      <c r="X931" s="1"/>
      <c r="Y931" s="1"/>
      <c r="Z931" s="1"/>
      <c r="AA931" s="1"/>
    </row>
    <row r="932" spans="2:27" ht="13.2" x14ac:dyDescent="0.25">
      <c r="B932" s="1"/>
      <c r="C932" s="1"/>
      <c r="D932" s="1"/>
      <c r="E932" s="1"/>
      <c r="F932" s="1"/>
      <c r="G932" s="1"/>
      <c r="H932" s="1"/>
      <c r="K932" s="1"/>
      <c r="L932" s="1"/>
      <c r="M932" s="1"/>
      <c r="N932" s="1"/>
      <c r="O932" s="1"/>
      <c r="P932" s="1"/>
      <c r="Q932" s="1"/>
      <c r="R932" s="1"/>
      <c r="S932" s="1"/>
      <c r="T932" s="1"/>
      <c r="U932" s="1"/>
      <c r="V932" s="1"/>
      <c r="W932" s="1"/>
      <c r="X932" s="1"/>
      <c r="Y932" s="1"/>
      <c r="Z932" s="1"/>
      <c r="AA932" s="1"/>
    </row>
    <row r="933" spans="2:27" ht="13.2" x14ac:dyDescent="0.25">
      <c r="B933" s="1"/>
      <c r="C933" s="1"/>
      <c r="D933" s="1"/>
      <c r="E933" s="1"/>
      <c r="F933" s="1"/>
      <c r="G933" s="1"/>
      <c r="H933" s="1"/>
      <c r="K933" s="1"/>
      <c r="L933" s="1"/>
      <c r="M933" s="1"/>
      <c r="N933" s="1"/>
      <c r="O933" s="1"/>
      <c r="P933" s="1"/>
      <c r="Q933" s="1"/>
      <c r="R933" s="1"/>
      <c r="S933" s="1"/>
      <c r="T933" s="1"/>
      <c r="U933" s="1"/>
      <c r="V933" s="1"/>
      <c r="W933" s="1"/>
      <c r="X933" s="1"/>
      <c r="Y933" s="1"/>
      <c r="Z933" s="1"/>
      <c r="AA933" s="1"/>
    </row>
    <row r="934" spans="2:27" ht="13.2" x14ac:dyDescent="0.25">
      <c r="B934" s="1"/>
      <c r="C934" s="1"/>
      <c r="D934" s="1"/>
      <c r="E934" s="1"/>
      <c r="F934" s="1"/>
      <c r="G934" s="1"/>
      <c r="H934" s="1"/>
      <c r="K934" s="1"/>
      <c r="L934" s="1"/>
      <c r="M934" s="1"/>
      <c r="N934" s="1"/>
      <c r="O934" s="1"/>
      <c r="P934" s="1"/>
      <c r="Q934" s="1"/>
      <c r="R934" s="1"/>
      <c r="S934" s="1"/>
      <c r="T934" s="1"/>
      <c r="U934" s="1"/>
      <c r="V934" s="1"/>
      <c r="W934" s="1"/>
      <c r="X934" s="1"/>
      <c r="Y934" s="1"/>
      <c r="Z934" s="1"/>
      <c r="AA934" s="1"/>
    </row>
    <row r="935" spans="2:27" ht="13.2" x14ac:dyDescent="0.25">
      <c r="B935" s="1"/>
      <c r="C935" s="1"/>
      <c r="D935" s="1"/>
      <c r="E935" s="1"/>
      <c r="F935" s="1"/>
      <c r="G935" s="1"/>
      <c r="H935" s="1"/>
      <c r="K935" s="1"/>
      <c r="L935" s="1"/>
      <c r="M935" s="1"/>
      <c r="N935" s="1"/>
      <c r="O935" s="1"/>
      <c r="P935" s="1"/>
      <c r="Q935" s="1"/>
      <c r="R935" s="1"/>
      <c r="S935" s="1"/>
      <c r="T935" s="1"/>
      <c r="U935" s="1"/>
      <c r="V935" s="1"/>
      <c r="W935" s="1"/>
      <c r="X935" s="1"/>
      <c r="Y935" s="1"/>
      <c r="Z935" s="1"/>
      <c r="AA935" s="1"/>
    </row>
    <row r="936" spans="2:27" ht="13.2" x14ac:dyDescent="0.25">
      <c r="B936" s="1"/>
      <c r="C936" s="1"/>
      <c r="D936" s="1"/>
      <c r="E936" s="1"/>
      <c r="F936" s="1"/>
      <c r="G936" s="1"/>
      <c r="H936" s="1"/>
      <c r="K936" s="1"/>
      <c r="L936" s="1"/>
      <c r="M936" s="1"/>
      <c r="N936" s="1"/>
      <c r="O936" s="1"/>
      <c r="P936" s="1"/>
      <c r="Q936" s="1"/>
      <c r="R936" s="1"/>
      <c r="S936" s="1"/>
      <c r="T936" s="1"/>
      <c r="U936" s="1"/>
      <c r="V936" s="1"/>
      <c r="W936" s="1"/>
      <c r="X936" s="1"/>
      <c r="Y936" s="1"/>
      <c r="Z936" s="1"/>
      <c r="AA936" s="1"/>
    </row>
    <row r="937" spans="2:27" ht="13.2" x14ac:dyDescent="0.25">
      <c r="B937" s="1"/>
      <c r="C937" s="1"/>
      <c r="D937" s="1"/>
      <c r="E937" s="1"/>
      <c r="F937" s="1"/>
      <c r="G937" s="1"/>
      <c r="H937" s="1"/>
      <c r="K937" s="1"/>
      <c r="L937" s="1"/>
      <c r="M937" s="1"/>
      <c r="N937" s="1"/>
      <c r="O937" s="1"/>
      <c r="P937" s="1"/>
      <c r="Q937" s="1"/>
      <c r="R937" s="1"/>
      <c r="S937" s="1"/>
      <c r="T937" s="1"/>
      <c r="U937" s="1"/>
      <c r="V937" s="1"/>
      <c r="W937" s="1"/>
      <c r="X937" s="1"/>
      <c r="Y937" s="1"/>
      <c r="Z937" s="1"/>
      <c r="AA937" s="1"/>
    </row>
    <row r="938" spans="2:27" ht="13.2" x14ac:dyDescent="0.25">
      <c r="B938" s="1"/>
      <c r="C938" s="1"/>
      <c r="D938" s="1"/>
      <c r="E938" s="1"/>
      <c r="F938" s="1"/>
      <c r="G938" s="1"/>
      <c r="H938" s="1"/>
      <c r="K938" s="1"/>
      <c r="L938" s="1"/>
      <c r="M938" s="1"/>
      <c r="N938" s="1"/>
      <c r="O938" s="1"/>
      <c r="P938" s="1"/>
      <c r="Q938" s="1"/>
      <c r="R938" s="1"/>
      <c r="S938" s="1"/>
      <c r="T938" s="1"/>
      <c r="U938" s="1"/>
      <c r="V938" s="1"/>
      <c r="W938" s="1"/>
      <c r="X938" s="1"/>
      <c r="Y938" s="1"/>
      <c r="Z938" s="1"/>
      <c r="AA938" s="1"/>
    </row>
    <row r="939" spans="2:27" ht="13.2" x14ac:dyDescent="0.25">
      <c r="B939" s="1"/>
      <c r="C939" s="1"/>
      <c r="D939" s="1"/>
      <c r="E939" s="1"/>
      <c r="F939" s="1"/>
      <c r="G939" s="1"/>
      <c r="H939" s="1"/>
      <c r="K939" s="1"/>
      <c r="L939" s="1"/>
      <c r="M939" s="1"/>
      <c r="N939" s="1"/>
      <c r="O939" s="1"/>
      <c r="P939" s="1"/>
      <c r="Q939" s="1"/>
      <c r="R939" s="1"/>
      <c r="S939" s="1"/>
      <c r="T939" s="1"/>
      <c r="U939" s="1"/>
      <c r="V939" s="1"/>
      <c r="W939" s="1"/>
      <c r="X939" s="1"/>
      <c r="Y939" s="1"/>
      <c r="Z939" s="1"/>
      <c r="AA939" s="1"/>
    </row>
    <row r="940" spans="2:27" ht="13.2" x14ac:dyDescent="0.25">
      <c r="B940" s="1"/>
      <c r="C940" s="1"/>
      <c r="D940" s="1"/>
      <c r="E940" s="1"/>
      <c r="F940" s="1"/>
      <c r="G940" s="1"/>
      <c r="H940" s="1"/>
      <c r="K940" s="1"/>
      <c r="L940" s="1"/>
      <c r="M940" s="1"/>
      <c r="N940" s="1"/>
      <c r="O940" s="1"/>
      <c r="P940" s="1"/>
      <c r="Q940" s="1"/>
      <c r="R940" s="1"/>
      <c r="S940" s="1"/>
      <c r="T940" s="1"/>
      <c r="U940" s="1"/>
      <c r="V940" s="1"/>
      <c r="W940" s="1"/>
      <c r="X940" s="1"/>
      <c r="Y940" s="1"/>
      <c r="Z940" s="1"/>
      <c r="AA940" s="1"/>
    </row>
    <row r="941" spans="2:27" ht="13.2" x14ac:dyDescent="0.25">
      <c r="B941" s="1"/>
      <c r="C941" s="1"/>
      <c r="D941" s="1"/>
      <c r="E941" s="1"/>
      <c r="F941" s="1"/>
      <c r="G941" s="1"/>
      <c r="H941" s="1"/>
      <c r="K941" s="1"/>
      <c r="L941" s="1"/>
      <c r="M941" s="1"/>
      <c r="N941" s="1"/>
      <c r="O941" s="1"/>
      <c r="P941" s="1"/>
      <c r="Q941" s="1"/>
      <c r="R941" s="1"/>
      <c r="S941" s="1"/>
      <c r="T941" s="1"/>
      <c r="U941" s="1"/>
      <c r="V941" s="1"/>
      <c r="W941" s="1"/>
      <c r="X941" s="1"/>
      <c r="Y941" s="1"/>
      <c r="Z941" s="1"/>
      <c r="AA941" s="1"/>
    </row>
    <row r="942" spans="2:27" ht="13.2" x14ac:dyDescent="0.25">
      <c r="B942" s="1"/>
      <c r="C942" s="1"/>
      <c r="D942" s="1"/>
      <c r="E942" s="1"/>
      <c r="F942" s="1"/>
      <c r="G942" s="1"/>
      <c r="H942" s="1"/>
      <c r="K942" s="1"/>
      <c r="L942" s="1"/>
      <c r="M942" s="1"/>
      <c r="N942" s="1"/>
      <c r="O942" s="1"/>
      <c r="P942" s="1"/>
      <c r="Q942" s="1"/>
      <c r="R942" s="1"/>
      <c r="S942" s="1"/>
      <c r="T942" s="1"/>
      <c r="U942" s="1"/>
      <c r="V942" s="1"/>
      <c r="W942" s="1"/>
      <c r="X942" s="1"/>
      <c r="Y942" s="1"/>
      <c r="Z942" s="1"/>
      <c r="AA942" s="1"/>
    </row>
    <row r="943" spans="2:27" ht="13.2" x14ac:dyDescent="0.25">
      <c r="B943" s="1"/>
      <c r="C943" s="1"/>
      <c r="D943" s="1"/>
      <c r="E943" s="1"/>
      <c r="F943" s="1"/>
      <c r="G943" s="1"/>
      <c r="H943" s="1"/>
      <c r="K943" s="1"/>
      <c r="L943" s="1"/>
      <c r="M943" s="1"/>
      <c r="N943" s="1"/>
      <c r="O943" s="1"/>
      <c r="P943" s="1"/>
      <c r="Q943" s="1"/>
      <c r="R943" s="1"/>
      <c r="S943" s="1"/>
      <c r="T943" s="1"/>
      <c r="U943" s="1"/>
      <c r="V943" s="1"/>
      <c r="W943" s="1"/>
      <c r="X943" s="1"/>
      <c r="Y943" s="1"/>
      <c r="Z943" s="1"/>
      <c r="AA943" s="1"/>
    </row>
    <row r="944" spans="2:27" ht="13.2" x14ac:dyDescent="0.25">
      <c r="B944" s="1"/>
      <c r="C944" s="1"/>
      <c r="D944" s="1"/>
      <c r="E944" s="1"/>
      <c r="F944" s="1"/>
      <c r="G944" s="1"/>
      <c r="H944" s="1"/>
      <c r="K944" s="1"/>
      <c r="L944" s="1"/>
      <c r="M944" s="1"/>
      <c r="N944" s="1"/>
      <c r="O944" s="1"/>
      <c r="P944" s="1"/>
      <c r="Q944" s="1"/>
      <c r="R944" s="1"/>
      <c r="S944" s="1"/>
      <c r="T944" s="1"/>
      <c r="U944" s="1"/>
      <c r="V944" s="1"/>
      <c r="W944" s="1"/>
      <c r="X944" s="1"/>
      <c r="Y944" s="1"/>
      <c r="Z944" s="1"/>
      <c r="AA944" s="1"/>
    </row>
    <row r="945" spans="2:27" ht="13.2" x14ac:dyDescent="0.25">
      <c r="B945" s="1"/>
      <c r="C945" s="1"/>
      <c r="D945" s="1"/>
      <c r="E945" s="1"/>
      <c r="F945" s="1"/>
      <c r="G945" s="1"/>
      <c r="H945" s="1"/>
      <c r="K945" s="1"/>
      <c r="L945" s="1"/>
      <c r="M945" s="1"/>
      <c r="N945" s="1"/>
      <c r="O945" s="1"/>
      <c r="P945" s="1"/>
      <c r="Q945" s="1"/>
      <c r="R945" s="1"/>
      <c r="S945" s="1"/>
      <c r="T945" s="1"/>
      <c r="U945" s="1"/>
      <c r="V945" s="1"/>
      <c r="W945" s="1"/>
      <c r="X945" s="1"/>
      <c r="Y945" s="1"/>
      <c r="Z945" s="1"/>
      <c r="AA945" s="1"/>
    </row>
    <row r="946" spans="2:27" ht="13.2" x14ac:dyDescent="0.25">
      <c r="B946" s="1"/>
      <c r="C946" s="1"/>
      <c r="D946" s="1"/>
      <c r="E946" s="1"/>
      <c r="F946" s="1"/>
      <c r="G946" s="1"/>
      <c r="H946" s="1"/>
      <c r="K946" s="1"/>
      <c r="L946" s="1"/>
      <c r="M946" s="1"/>
      <c r="N946" s="1"/>
      <c r="O946" s="1"/>
      <c r="P946" s="1"/>
      <c r="Q946" s="1"/>
      <c r="R946" s="1"/>
      <c r="S946" s="1"/>
      <c r="T946" s="1"/>
      <c r="U946" s="1"/>
      <c r="V946" s="1"/>
      <c r="W946" s="1"/>
      <c r="X946" s="1"/>
      <c r="Y946" s="1"/>
      <c r="Z946" s="1"/>
      <c r="AA946" s="1"/>
    </row>
    <row r="947" spans="2:27" ht="13.2" x14ac:dyDescent="0.25">
      <c r="B947" s="1"/>
      <c r="C947" s="1"/>
      <c r="D947" s="1"/>
      <c r="E947" s="1"/>
      <c r="F947" s="1"/>
      <c r="G947" s="1"/>
      <c r="H947" s="1"/>
      <c r="K947" s="1"/>
      <c r="L947" s="1"/>
      <c r="M947" s="1"/>
      <c r="N947" s="1"/>
      <c r="O947" s="1"/>
      <c r="P947" s="1"/>
      <c r="Q947" s="1"/>
      <c r="R947" s="1"/>
      <c r="S947" s="1"/>
      <c r="T947" s="1"/>
      <c r="U947" s="1"/>
      <c r="V947" s="1"/>
      <c r="W947" s="1"/>
      <c r="X947" s="1"/>
      <c r="Y947" s="1"/>
      <c r="Z947" s="1"/>
      <c r="AA947" s="1"/>
    </row>
    <row r="948" spans="2:27" ht="13.2" x14ac:dyDescent="0.25">
      <c r="B948" s="1"/>
      <c r="C948" s="1"/>
      <c r="D948" s="1"/>
      <c r="E948" s="1"/>
      <c r="F948" s="1"/>
      <c r="G948" s="1"/>
      <c r="H948" s="1"/>
      <c r="K948" s="1"/>
      <c r="L948" s="1"/>
      <c r="M948" s="1"/>
      <c r="N948" s="1"/>
      <c r="O948" s="1"/>
      <c r="P948" s="1"/>
      <c r="Q948" s="1"/>
      <c r="R948" s="1"/>
      <c r="S948" s="1"/>
      <c r="T948" s="1"/>
      <c r="U948" s="1"/>
      <c r="V948" s="1"/>
      <c r="W948" s="1"/>
      <c r="X948" s="1"/>
      <c r="Y948" s="1"/>
      <c r="Z948" s="1"/>
      <c r="AA948" s="1"/>
    </row>
    <row r="949" spans="2:27" ht="13.2" x14ac:dyDescent="0.25">
      <c r="B949" s="1"/>
      <c r="C949" s="1"/>
      <c r="D949" s="1"/>
      <c r="E949" s="1"/>
      <c r="F949" s="1"/>
      <c r="G949" s="1"/>
      <c r="H949" s="1"/>
      <c r="K949" s="1"/>
      <c r="L949" s="1"/>
      <c r="M949" s="1"/>
      <c r="N949" s="1"/>
      <c r="O949" s="1"/>
      <c r="P949" s="1"/>
      <c r="Q949" s="1"/>
      <c r="R949" s="1"/>
      <c r="S949" s="1"/>
      <c r="T949" s="1"/>
      <c r="U949" s="1"/>
      <c r="V949" s="1"/>
      <c r="W949" s="1"/>
      <c r="X949" s="1"/>
      <c r="Y949" s="1"/>
      <c r="Z949" s="1"/>
      <c r="AA949" s="1"/>
    </row>
    <row r="950" spans="2:27" ht="13.2" x14ac:dyDescent="0.25">
      <c r="B950" s="1"/>
      <c r="C950" s="1"/>
      <c r="D950" s="1"/>
      <c r="E950" s="1"/>
      <c r="F950" s="1"/>
      <c r="G950" s="1"/>
      <c r="H950" s="1"/>
      <c r="K950" s="1"/>
      <c r="L950" s="1"/>
      <c r="M950" s="1"/>
      <c r="N950" s="1"/>
      <c r="O950" s="1"/>
      <c r="P950" s="1"/>
      <c r="Q950" s="1"/>
      <c r="R950" s="1"/>
      <c r="S950" s="1"/>
      <c r="T950" s="1"/>
      <c r="U950" s="1"/>
      <c r="V950" s="1"/>
      <c r="W950" s="1"/>
      <c r="X950" s="1"/>
      <c r="Y950" s="1"/>
      <c r="Z950" s="1"/>
      <c r="AA950" s="1"/>
    </row>
    <row r="951" spans="2:27" ht="13.2" x14ac:dyDescent="0.25">
      <c r="B951" s="1"/>
      <c r="C951" s="1"/>
      <c r="D951" s="1"/>
      <c r="E951" s="1"/>
      <c r="F951" s="1"/>
      <c r="G951" s="1"/>
      <c r="H951" s="1"/>
      <c r="K951" s="1"/>
      <c r="L951" s="1"/>
      <c r="M951" s="1"/>
      <c r="N951" s="1"/>
      <c r="O951" s="1"/>
      <c r="P951" s="1"/>
      <c r="Q951" s="1"/>
      <c r="R951" s="1"/>
      <c r="S951" s="1"/>
      <c r="T951" s="1"/>
      <c r="U951" s="1"/>
      <c r="V951" s="1"/>
      <c r="W951" s="1"/>
      <c r="X951" s="1"/>
      <c r="Y951" s="1"/>
      <c r="Z951" s="1"/>
      <c r="AA951" s="1"/>
    </row>
    <row r="952" spans="2:27" ht="13.2" x14ac:dyDescent="0.25">
      <c r="B952" s="1"/>
      <c r="C952" s="1"/>
      <c r="D952" s="1"/>
      <c r="E952" s="1"/>
      <c r="F952" s="1"/>
      <c r="G952" s="1"/>
      <c r="H952" s="1"/>
      <c r="K952" s="1"/>
      <c r="L952" s="1"/>
      <c r="M952" s="1"/>
      <c r="N952" s="1"/>
      <c r="O952" s="1"/>
      <c r="P952" s="1"/>
      <c r="Q952" s="1"/>
      <c r="R952" s="1"/>
      <c r="S952" s="1"/>
      <c r="T952" s="1"/>
      <c r="U952" s="1"/>
      <c r="V952" s="1"/>
      <c r="W952" s="1"/>
      <c r="X952" s="1"/>
      <c r="Y952" s="1"/>
      <c r="Z952" s="1"/>
      <c r="AA952" s="1"/>
    </row>
    <row r="953" spans="2:27" ht="13.2" x14ac:dyDescent="0.25">
      <c r="B953" s="1"/>
      <c r="C953" s="1"/>
      <c r="D953" s="1"/>
      <c r="E953" s="1"/>
      <c r="F953" s="1"/>
      <c r="G953" s="1"/>
      <c r="H953" s="1"/>
      <c r="K953" s="1"/>
      <c r="L953" s="1"/>
      <c r="M953" s="1"/>
      <c r="N953" s="1"/>
      <c r="O953" s="1"/>
      <c r="P953" s="1"/>
      <c r="Q953" s="1"/>
      <c r="R953" s="1"/>
      <c r="S953" s="1"/>
      <c r="T953" s="1"/>
      <c r="U953" s="1"/>
      <c r="V953" s="1"/>
      <c r="W953" s="1"/>
      <c r="X953" s="1"/>
      <c r="Y953" s="1"/>
      <c r="Z953" s="1"/>
      <c r="AA953" s="1"/>
    </row>
    <row r="954" spans="2:27" ht="13.2" x14ac:dyDescent="0.25">
      <c r="B954" s="1"/>
      <c r="C954" s="1"/>
      <c r="D954" s="1"/>
      <c r="E954" s="1"/>
      <c r="F954" s="1"/>
      <c r="G954" s="1"/>
      <c r="H954" s="1"/>
      <c r="K954" s="1"/>
      <c r="L954" s="1"/>
      <c r="M954" s="1"/>
      <c r="N954" s="1"/>
      <c r="O954" s="1"/>
      <c r="P954" s="1"/>
      <c r="Q954" s="1"/>
      <c r="R954" s="1"/>
      <c r="S954" s="1"/>
      <c r="T954" s="1"/>
      <c r="U954" s="1"/>
      <c r="V954" s="1"/>
      <c r="W954" s="1"/>
      <c r="X954" s="1"/>
      <c r="Y954" s="1"/>
      <c r="Z954" s="1"/>
      <c r="AA954" s="1"/>
    </row>
    <row r="955" spans="2:27" ht="13.2" x14ac:dyDescent="0.25">
      <c r="B955" s="1"/>
      <c r="C955" s="1"/>
      <c r="D955" s="1"/>
      <c r="E955" s="1"/>
      <c r="F955" s="1"/>
      <c r="G955" s="1"/>
      <c r="H955" s="1"/>
      <c r="K955" s="1"/>
      <c r="L955" s="1"/>
      <c r="M955" s="1"/>
      <c r="N955" s="1"/>
      <c r="O955" s="1"/>
      <c r="P955" s="1"/>
      <c r="Q955" s="1"/>
      <c r="R955" s="1"/>
      <c r="S955" s="1"/>
      <c r="T955" s="1"/>
      <c r="U955" s="1"/>
      <c r="V955" s="1"/>
      <c r="W955" s="1"/>
      <c r="X955" s="1"/>
      <c r="Y955" s="1"/>
      <c r="Z955" s="1"/>
      <c r="AA955" s="1"/>
    </row>
    <row r="956" spans="2:27" ht="13.2" x14ac:dyDescent="0.25">
      <c r="B956" s="1"/>
      <c r="C956" s="1"/>
      <c r="D956" s="1"/>
      <c r="E956" s="1"/>
      <c r="F956" s="1"/>
      <c r="G956" s="1"/>
      <c r="H956" s="1"/>
      <c r="K956" s="1"/>
      <c r="L956" s="1"/>
      <c r="M956" s="1"/>
      <c r="N956" s="1"/>
      <c r="O956" s="1"/>
      <c r="P956" s="1"/>
      <c r="Q956" s="1"/>
      <c r="R956" s="1"/>
      <c r="S956" s="1"/>
      <c r="T956" s="1"/>
      <c r="U956" s="1"/>
      <c r="V956" s="1"/>
      <c r="W956" s="1"/>
      <c r="X956" s="1"/>
      <c r="Y956" s="1"/>
      <c r="Z956" s="1"/>
      <c r="AA956" s="1"/>
    </row>
    <row r="957" spans="2:27" ht="13.2" x14ac:dyDescent="0.25">
      <c r="B957" s="1"/>
      <c r="C957" s="1"/>
      <c r="D957" s="1"/>
      <c r="E957" s="1"/>
      <c r="F957" s="1"/>
      <c r="G957" s="1"/>
      <c r="H957" s="1"/>
      <c r="K957" s="1"/>
      <c r="L957" s="1"/>
      <c r="M957" s="1"/>
      <c r="N957" s="1"/>
      <c r="O957" s="1"/>
      <c r="P957" s="1"/>
      <c r="Q957" s="1"/>
      <c r="R957" s="1"/>
      <c r="S957" s="1"/>
      <c r="T957" s="1"/>
      <c r="U957" s="1"/>
      <c r="V957" s="1"/>
      <c r="W957" s="1"/>
      <c r="X957" s="1"/>
      <c r="Y957" s="1"/>
      <c r="Z957" s="1"/>
      <c r="AA957" s="1"/>
    </row>
    <row r="958" spans="2:27" ht="13.2" x14ac:dyDescent="0.25">
      <c r="B958" s="1"/>
      <c r="C958" s="1"/>
      <c r="D958" s="1"/>
      <c r="E958" s="1"/>
      <c r="F958" s="1"/>
      <c r="G958" s="1"/>
      <c r="H958" s="1"/>
      <c r="K958" s="1"/>
      <c r="L958" s="1"/>
      <c r="M958" s="1"/>
      <c r="N958" s="1"/>
      <c r="O958" s="1"/>
      <c r="P958" s="1"/>
      <c r="Q958" s="1"/>
      <c r="R958" s="1"/>
      <c r="S958" s="1"/>
      <c r="T958" s="1"/>
      <c r="U958" s="1"/>
      <c r="V958" s="1"/>
      <c r="W958" s="1"/>
      <c r="X958" s="1"/>
      <c r="Y958" s="1"/>
      <c r="Z958" s="1"/>
      <c r="AA958" s="1"/>
    </row>
    <row r="959" spans="2:27" ht="13.2" x14ac:dyDescent="0.25">
      <c r="B959" s="1"/>
      <c r="C959" s="1"/>
      <c r="D959" s="1"/>
      <c r="E959" s="1"/>
      <c r="F959" s="1"/>
      <c r="G959" s="1"/>
      <c r="H959" s="1"/>
      <c r="K959" s="1"/>
      <c r="L959" s="1"/>
      <c r="M959" s="1"/>
      <c r="N959" s="1"/>
      <c r="O959" s="1"/>
      <c r="P959" s="1"/>
      <c r="Q959" s="1"/>
      <c r="R959" s="1"/>
      <c r="S959" s="1"/>
      <c r="T959" s="1"/>
      <c r="U959" s="1"/>
      <c r="V959" s="1"/>
      <c r="W959" s="1"/>
      <c r="X959" s="1"/>
      <c r="Y959" s="1"/>
      <c r="Z959" s="1"/>
      <c r="AA959" s="1"/>
    </row>
    <row r="960" spans="2:27" ht="13.2" x14ac:dyDescent="0.25">
      <c r="B960" s="1"/>
      <c r="C960" s="1"/>
      <c r="D960" s="1"/>
      <c r="E960" s="1"/>
      <c r="F960" s="1"/>
      <c r="G960" s="1"/>
      <c r="H960" s="1"/>
      <c r="K960" s="1"/>
      <c r="L960" s="1"/>
      <c r="M960" s="1"/>
      <c r="N960" s="1"/>
      <c r="O960" s="1"/>
      <c r="P960" s="1"/>
      <c r="Q960" s="1"/>
      <c r="R960" s="1"/>
      <c r="S960" s="1"/>
      <c r="T960" s="1"/>
      <c r="U960" s="1"/>
      <c r="V960" s="1"/>
      <c r="W960" s="1"/>
      <c r="X960" s="1"/>
      <c r="Y960" s="1"/>
      <c r="Z960" s="1"/>
      <c r="AA960" s="1"/>
    </row>
    <row r="961" spans="2:27" ht="13.2" x14ac:dyDescent="0.25">
      <c r="B961" s="1"/>
      <c r="C961" s="1"/>
      <c r="D961" s="1"/>
      <c r="E961" s="1"/>
      <c r="F961" s="1"/>
      <c r="G961" s="1"/>
      <c r="H961" s="1"/>
      <c r="K961" s="1"/>
      <c r="L961" s="1"/>
      <c r="M961" s="1"/>
      <c r="N961" s="1"/>
      <c r="O961" s="1"/>
      <c r="P961" s="1"/>
      <c r="Q961" s="1"/>
      <c r="R961" s="1"/>
      <c r="S961" s="1"/>
      <c r="T961" s="1"/>
      <c r="U961" s="1"/>
      <c r="V961" s="1"/>
      <c r="W961" s="1"/>
      <c r="X961" s="1"/>
      <c r="Y961" s="1"/>
      <c r="Z961" s="1"/>
      <c r="AA961" s="1"/>
    </row>
    <row r="962" spans="2:27" ht="13.2" x14ac:dyDescent="0.25">
      <c r="B962" s="1"/>
      <c r="C962" s="1"/>
      <c r="D962" s="1"/>
      <c r="E962" s="1"/>
      <c r="F962" s="1"/>
      <c r="G962" s="1"/>
      <c r="H962" s="1"/>
      <c r="K962" s="1"/>
      <c r="L962" s="1"/>
      <c r="M962" s="1"/>
      <c r="N962" s="1"/>
      <c r="O962" s="1"/>
      <c r="P962" s="1"/>
      <c r="Q962" s="1"/>
      <c r="R962" s="1"/>
      <c r="S962" s="1"/>
      <c r="T962" s="1"/>
      <c r="U962" s="1"/>
      <c r="V962" s="1"/>
      <c r="W962" s="1"/>
      <c r="X962" s="1"/>
      <c r="Y962" s="1"/>
      <c r="Z962" s="1"/>
      <c r="AA962" s="1"/>
    </row>
    <row r="963" spans="2:27" ht="13.2" x14ac:dyDescent="0.25">
      <c r="B963" s="1"/>
      <c r="C963" s="1"/>
      <c r="D963" s="1"/>
      <c r="E963" s="1"/>
      <c r="F963" s="1"/>
      <c r="G963" s="1"/>
      <c r="H963" s="1"/>
      <c r="K963" s="1"/>
      <c r="L963" s="1"/>
      <c r="M963" s="1"/>
      <c r="N963" s="1"/>
      <c r="O963" s="1"/>
      <c r="P963" s="1"/>
      <c r="Q963" s="1"/>
      <c r="R963" s="1"/>
      <c r="S963" s="1"/>
      <c r="T963" s="1"/>
      <c r="U963" s="1"/>
      <c r="V963" s="1"/>
      <c r="W963" s="1"/>
      <c r="X963" s="1"/>
      <c r="Y963" s="1"/>
      <c r="Z963" s="1"/>
      <c r="AA963" s="1"/>
    </row>
    <row r="964" spans="2:27" ht="13.2" x14ac:dyDescent="0.25">
      <c r="B964" s="1"/>
      <c r="C964" s="1"/>
      <c r="D964" s="1"/>
      <c r="E964" s="1"/>
      <c r="F964" s="1"/>
      <c r="G964" s="1"/>
      <c r="H964" s="1"/>
      <c r="K964" s="1"/>
      <c r="L964" s="1"/>
      <c r="M964" s="1"/>
      <c r="N964" s="1"/>
      <c r="O964" s="1"/>
      <c r="P964" s="1"/>
      <c r="Q964" s="1"/>
      <c r="R964" s="1"/>
      <c r="S964" s="1"/>
      <c r="T964" s="1"/>
      <c r="U964" s="1"/>
      <c r="V964" s="1"/>
      <c r="W964" s="1"/>
      <c r="X964" s="1"/>
      <c r="Y964" s="1"/>
      <c r="Z964" s="1"/>
      <c r="AA964" s="1"/>
    </row>
    <row r="965" spans="2:27" ht="13.2" x14ac:dyDescent="0.25">
      <c r="B965" s="1"/>
      <c r="C965" s="1"/>
      <c r="D965" s="1"/>
      <c r="E965" s="1"/>
      <c r="F965" s="1"/>
      <c r="G965" s="1"/>
      <c r="H965" s="1"/>
      <c r="K965" s="1"/>
      <c r="L965" s="1"/>
      <c r="M965" s="1"/>
      <c r="N965" s="1"/>
      <c r="O965" s="1"/>
      <c r="P965" s="1"/>
      <c r="Q965" s="1"/>
      <c r="R965" s="1"/>
      <c r="S965" s="1"/>
      <c r="T965" s="1"/>
      <c r="U965" s="1"/>
      <c r="V965" s="1"/>
      <c r="W965" s="1"/>
      <c r="X965" s="1"/>
      <c r="Y965" s="1"/>
      <c r="Z965" s="1"/>
      <c r="AA965" s="1"/>
    </row>
    <row r="966" spans="2:27" ht="13.2" x14ac:dyDescent="0.25">
      <c r="B966" s="1"/>
      <c r="C966" s="1"/>
      <c r="D966" s="1"/>
      <c r="E966" s="1"/>
      <c r="F966" s="1"/>
      <c r="G966" s="1"/>
      <c r="H966" s="1"/>
      <c r="K966" s="1"/>
      <c r="L966" s="1"/>
      <c r="M966" s="1"/>
      <c r="N966" s="1"/>
      <c r="O966" s="1"/>
      <c r="P966" s="1"/>
      <c r="Q966" s="1"/>
      <c r="R966" s="1"/>
      <c r="S966" s="1"/>
      <c r="T966" s="1"/>
      <c r="U966" s="1"/>
      <c r="V966" s="1"/>
      <c r="W966" s="1"/>
      <c r="X966" s="1"/>
      <c r="Y966" s="1"/>
      <c r="Z966" s="1"/>
      <c r="AA966" s="1"/>
    </row>
    <row r="967" spans="2:27" ht="13.2" x14ac:dyDescent="0.25">
      <c r="B967" s="1"/>
      <c r="C967" s="1"/>
      <c r="D967" s="1"/>
      <c r="E967" s="1"/>
      <c r="F967" s="1"/>
      <c r="G967" s="1"/>
      <c r="H967" s="1"/>
      <c r="K967" s="1"/>
      <c r="L967" s="1"/>
      <c r="M967" s="1"/>
      <c r="N967" s="1"/>
      <c r="O967" s="1"/>
      <c r="P967" s="1"/>
      <c r="Q967" s="1"/>
      <c r="R967" s="1"/>
      <c r="S967" s="1"/>
      <c r="T967" s="1"/>
      <c r="U967" s="1"/>
      <c r="V967" s="1"/>
      <c r="W967" s="1"/>
      <c r="X967" s="1"/>
      <c r="Y967" s="1"/>
      <c r="Z967" s="1"/>
      <c r="AA967" s="1"/>
    </row>
    <row r="968" spans="2:27" ht="13.2" x14ac:dyDescent="0.25">
      <c r="B968" s="1"/>
      <c r="C968" s="1"/>
      <c r="D968" s="1"/>
      <c r="E968" s="1"/>
      <c r="F968" s="1"/>
      <c r="G968" s="1"/>
      <c r="H968" s="1"/>
      <c r="K968" s="1"/>
      <c r="L968" s="1"/>
      <c r="M968" s="1"/>
      <c r="N968" s="1"/>
      <c r="O968" s="1"/>
      <c r="P968" s="1"/>
      <c r="Q968" s="1"/>
      <c r="R968" s="1"/>
      <c r="S968" s="1"/>
      <c r="T968" s="1"/>
      <c r="U968" s="1"/>
      <c r="V968" s="1"/>
      <c r="W968" s="1"/>
      <c r="X968" s="1"/>
      <c r="Y968" s="1"/>
      <c r="Z968" s="1"/>
      <c r="AA968" s="1"/>
    </row>
    <row r="969" spans="2:27" ht="13.2" x14ac:dyDescent="0.25">
      <c r="B969" s="1"/>
      <c r="C969" s="1"/>
      <c r="D969" s="1"/>
      <c r="E969" s="1"/>
      <c r="F969" s="1"/>
      <c r="G969" s="1"/>
      <c r="H969" s="1"/>
      <c r="K969" s="1"/>
      <c r="L969" s="1"/>
      <c r="M969" s="1"/>
      <c r="N969" s="1"/>
      <c r="O969" s="1"/>
      <c r="P969" s="1"/>
      <c r="Q969" s="1"/>
      <c r="R969" s="1"/>
      <c r="S969" s="1"/>
      <c r="T969" s="1"/>
      <c r="U969" s="1"/>
      <c r="V969" s="1"/>
      <c r="W969" s="1"/>
      <c r="X969" s="1"/>
      <c r="Y969" s="1"/>
      <c r="Z969" s="1"/>
      <c r="AA969" s="1"/>
    </row>
    <row r="970" spans="2:27" ht="13.2" x14ac:dyDescent="0.25">
      <c r="B970" s="1"/>
      <c r="C970" s="1"/>
      <c r="D970" s="1"/>
      <c r="E970" s="1"/>
      <c r="F970" s="1"/>
      <c r="G970" s="1"/>
      <c r="H970" s="1"/>
      <c r="K970" s="1"/>
      <c r="L970" s="1"/>
      <c r="M970" s="1"/>
      <c r="N970" s="1"/>
      <c r="O970" s="1"/>
      <c r="P970" s="1"/>
      <c r="Q970" s="1"/>
      <c r="R970" s="1"/>
      <c r="S970" s="1"/>
      <c r="T970" s="1"/>
      <c r="U970" s="1"/>
      <c r="V970" s="1"/>
      <c r="W970" s="1"/>
      <c r="X970" s="1"/>
      <c r="Y970" s="1"/>
      <c r="Z970" s="1"/>
      <c r="AA970" s="1"/>
    </row>
    <row r="971" spans="2:27" ht="13.2" x14ac:dyDescent="0.25">
      <c r="B971" s="1"/>
      <c r="C971" s="1"/>
      <c r="D971" s="1"/>
      <c r="E971" s="1"/>
      <c r="F971" s="1"/>
      <c r="G971" s="1"/>
      <c r="H971" s="1"/>
      <c r="K971" s="1"/>
      <c r="L971" s="1"/>
      <c r="M971" s="1"/>
      <c r="N971" s="1"/>
      <c r="O971" s="1"/>
      <c r="P971" s="1"/>
      <c r="Q971" s="1"/>
      <c r="R971" s="1"/>
      <c r="S971" s="1"/>
      <c r="T971" s="1"/>
      <c r="U971" s="1"/>
      <c r="V971" s="1"/>
      <c r="W971" s="1"/>
      <c r="X971" s="1"/>
      <c r="Y971" s="1"/>
      <c r="Z971" s="1"/>
      <c r="AA971" s="1"/>
    </row>
    <row r="972" spans="2:27" ht="13.2" x14ac:dyDescent="0.25">
      <c r="B972" s="1"/>
      <c r="C972" s="1"/>
      <c r="D972" s="1"/>
      <c r="E972" s="1"/>
      <c r="F972" s="1"/>
      <c r="G972" s="1"/>
      <c r="H972" s="1"/>
      <c r="K972" s="1"/>
      <c r="L972" s="1"/>
      <c r="M972" s="1"/>
      <c r="N972" s="1"/>
      <c r="O972" s="1"/>
      <c r="P972" s="1"/>
      <c r="Q972" s="1"/>
      <c r="R972" s="1"/>
      <c r="S972" s="1"/>
      <c r="T972" s="1"/>
      <c r="U972" s="1"/>
      <c r="V972" s="1"/>
      <c r="W972" s="1"/>
      <c r="X972" s="1"/>
      <c r="Y972" s="1"/>
      <c r="Z972" s="1"/>
      <c r="AA972" s="1"/>
    </row>
    <row r="973" spans="2:27" ht="13.2" x14ac:dyDescent="0.25">
      <c r="B973" s="1"/>
      <c r="C973" s="1"/>
      <c r="D973" s="1"/>
      <c r="E973" s="1"/>
      <c r="F973" s="1"/>
      <c r="G973" s="1"/>
      <c r="H973" s="1"/>
      <c r="K973" s="1"/>
      <c r="L973" s="1"/>
      <c r="M973" s="1"/>
      <c r="N973" s="1"/>
      <c r="O973" s="1"/>
      <c r="P973" s="1"/>
      <c r="Q973" s="1"/>
      <c r="R973" s="1"/>
      <c r="S973" s="1"/>
      <c r="T973" s="1"/>
      <c r="U973" s="1"/>
      <c r="V973" s="1"/>
      <c r="W973" s="1"/>
      <c r="X973" s="1"/>
      <c r="Y973" s="1"/>
      <c r="Z973" s="1"/>
      <c r="AA973" s="1"/>
    </row>
    <row r="974" spans="2:27" ht="13.2" x14ac:dyDescent="0.25">
      <c r="B974" s="1"/>
      <c r="C974" s="1"/>
      <c r="D974" s="1"/>
      <c r="E974" s="1"/>
      <c r="F974" s="1"/>
      <c r="G974" s="1"/>
      <c r="H974" s="1"/>
      <c r="K974" s="1"/>
      <c r="L974" s="1"/>
      <c r="M974" s="1"/>
      <c r="N974" s="1"/>
      <c r="O974" s="1"/>
      <c r="P974" s="1"/>
      <c r="Q974" s="1"/>
      <c r="R974" s="1"/>
      <c r="S974" s="1"/>
      <c r="T974" s="1"/>
      <c r="U974" s="1"/>
      <c r="V974" s="1"/>
      <c r="W974" s="1"/>
      <c r="X974" s="1"/>
      <c r="Y974" s="1"/>
      <c r="Z974" s="1"/>
      <c r="AA974" s="1"/>
    </row>
    <row r="975" spans="2:27" ht="13.2" x14ac:dyDescent="0.25">
      <c r="B975" s="1"/>
      <c r="C975" s="1"/>
      <c r="D975" s="1"/>
      <c r="E975" s="1"/>
      <c r="F975" s="1"/>
      <c r="G975" s="1"/>
      <c r="H975" s="1"/>
      <c r="K975" s="1"/>
      <c r="L975" s="1"/>
      <c r="M975" s="1"/>
      <c r="N975" s="1"/>
      <c r="O975" s="1"/>
      <c r="P975" s="1"/>
      <c r="Q975" s="1"/>
      <c r="R975" s="1"/>
      <c r="S975" s="1"/>
      <c r="T975" s="1"/>
      <c r="U975" s="1"/>
      <c r="V975" s="1"/>
      <c r="W975" s="1"/>
      <c r="X975" s="1"/>
      <c r="Y975" s="1"/>
      <c r="Z975" s="1"/>
      <c r="AA975" s="1"/>
    </row>
    <row r="976" spans="2:27" ht="13.2" x14ac:dyDescent="0.25">
      <c r="B976" s="1"/>
      <c r="C976" s="1"/>
      <c r="D976" s="1"/>
      <c r="E976" s="1"/>
      <c r="F976" s="1"/>
      <c r="G976" s="1"/>
      <c r="H976" s="1"/>
      <c r="K976" s="1"/>
      <c r="L976" s="1"/>
      <c r="M976" s="1"/>
      <c r="N976" s="1"/>
      <c r="O976" s="1"/>
      <c r="P976" s="1"/>
      <c r="Q976" s="1"/>
      <c r="R976" s="1"/>
      <c r="S976" s="1"/>
      <c r="T976" s="1"/>
      <c r="U976" s="1"/>
      <c r="V976" s="1"/>
      <c r="W976" s="1"/>
      <c r="X976" s="1"/>
      <c r="Y976" s="1"/>
      <c r="Z976" s="1"/>
      <c r="AA976" s="1"/>
    </row>
    <row r="977" spans="2:27" ht="13.2" x14ac:dyDescent="0.25">
      <c r="B977" s="1"/>
      <c r="C977" s="1"/>
      <c r="D977" s="1"/>
      <c r="E977" s="1"/>
      <c r="F977" s="1"/>
      <c r="G977" s="1"/>
      <c r="H977" s="1"/>
      <c r="K977" s="1"/>
      <c r="L977" s="1"/>
      <c r="M977" s="1"/>
      <c r="N977" s="1"/>
      <c r="O977" s="1"/>
      <c r="P977" s="1"/>
      <c r="Q977" s="1"/>
      <c r="R977" s="1"/>
      <c r="S977" s="1"/>
      <c r="T977" s="1"/>
      <c r="U977" s="1"/>
      <c r="V977" s="1"/>
      <c r="W977" s="1"/>
      <c r="X977" s="1"/>
      <c r="Y977" s="1"/>
      <c r="Z977" s="1"/>
      <c r="AA977" s="1"/>
    </row>
    <row r="978" spans="2:27" ht="13.2" x14ac:dyDescent="0.25">
      <c r="B978" s="1"/>
      <c r="C978" s="1"/>
      <c r="D978" s="1"/>
      <c r="E978" s="1"/>
      <c r="F978" s="1"/>
      <c r="G978" s="1"/>
      <c r="H978" s="1"/>
      <c r="K978" s="1"/>
      <c r="L978" s="1"/>
      <c r="M978" s="1"/>
      <c r="N978" s="1"/>
      <c r="O978" s="1"/>
      <c r="P978" s="1"/>
      <c r="Q978" s="1"/>
      <c r="R978" s="1"/>
      <c r="S978" s="1"/>
      <c r="T978" s="1"/>
      <c r="U978" s="1"/>
      <c r="V978" s="1"/>
      <c r="W978" s="1"/>
      <c r="X978" s="1"/>
      <c r="Y978" s="1"/>
      <c r="Z978" s="1"/>
      <c r="AA978" s="1"/>
    </row>
    <row r="979" spans="2:27" ht="13.2" x14ac:dyDescent="0.25">
      <c r="B979" s="1"/>
      <c r="C979" s="1"/>
      <c r="D979" s="1"/>
      <c r="E979" s="1"/>
      <c r="F979" s="1"/>
      <c r="G979" s="1"/>
      <c r="H979" s="1"/>
      <c r="K979" s="1"/>
      <c r="L979" s="1"/>
      <c r="M979" s="1"/>
      <c r="N979" s="1"/>
      <c r="O979" s="1"/>
      <c r="P979" s="1"/>
      <c r="Q979" s="1"/>
      <c r="R979" s="1"/>
      <c r="S979" s="1"/>
      <c r="T979" s="1"/>
      <c r="U979" s="1"/>
      <c r="V979" s="1"/>
      <c r="W979" s="1"/>
      <c r="X979" s="1"/>
      <c r="Y979" s="1"/>
      <c r="Z979" s="1"/>
      <c r="AA979" s="1"/>
    </row>
    <row r="980" spans="2:27" ht="13.2" x14ac:dyDescent="0.25">
      <c r="B980" s="1"/>
      <c r="C980" s="1"/>
      <c r="D980" s="1"/>
      <c r="E980" s="1"/>
      <c r="F980" s="1"/>
      <c r="G980" s="1"/>
      <c r="H980" s="1"/>
      <c r="K980" s="1"/>
      <c r="L980" s="1"/>
      <c r="M980" s="1"/>
      <c r="N980" s="1"/>
      <c r="O980" s="1"/>
      <c r="P980" s="1"/>
      <c r="Q980" s="1"/>
      <c r="R980" s="1"/>
      <c r="S980" s="1"/>
      <c r="T980" s="1"/>
      <c r="U980" s="1"/>
      <c r="V980" s="1"/>
      <c r="W980" s="1"/>
      <c r="X980" s="1"/>
      <c r="Y980" s="1"/>
      <c r="Z980" s="1"/>
      <c r="AA980" s="1"/>
    </row>
    <row r="981" spans="2:27" ht="13.2" x14ac:dyDescent="0.25">
      <c r="B981" s="1"/>
      <c r="C981" s="1"/>
      <c r="D981" s="1"/>
      <c r="E981" s="1"/>
      <c r="F981" s="1"/>
      <c r="G981" s="1"/>
      <c r="H981" s="1"/>
      <c r="K981" s="1"/>
      <c r="L981" s="1"/>
      <c r="M981" s="1"/>
      <c r="N981" s="1"/>
      <c r="O981" s="1"/>
      <c r="P981" s="1"/>
      <c r="Q981" s="1"/>
      <c r="R981" s="1"/>
      <c r="S981" s="1"/>
      <c r="T981" s="1"/>
      <c r="U981" s="1"/>
      <c r="V981" s="1"/>
      <c r="W981" s="1"/>
      <c r="X981" s="1"/>
      <c r="Y981" s="1"/>
      <c r="Z981" s="1"/>
      <c r="AA981" s="1"/>
    </row>
    <row r="982" spans="2:27" ht="13.2" x14ac:dyDescent="0.25">
      <c r="B982" s="1"/>
      <c r="C982" s="1"/>
      <c r="D982" s="1"/>
      <c r="E982" s="1"/>
      <c r="F982" s="1"/>
      <c r="G982" s="1"/>
      <c r="H982" s="1"/>
      <c r="K982" s="1"/>
      <c r="L982" s="1"/>
      <c r="M982" s="1"/>
      <c r="N982" s="1"/>
      <c r="O982" s="1"/>
      <c r="P982" s="1"/>
      <c r="Q982" s="1"/>
      <c r="R982" s="1"/>
      <c r="S982" s="1"/>
      <c r="T982" s="1"/>
      <c r="U982" s="1"/>
      <c r="V982" s="1"/>
      <c r="W982" s="1"/>
      <c r="X982" s="1"/>
      <c r="Y982" s="1"/>
      <c r="Z982" s="1"/>
      <c r="AA982" s="1"/>
    </row>
    <row r="983" spans="2:27" ht="13.2" x14ac:dyDescent="0.25">
      <c r="B983" s="1"/>
      <c r="C983" s="1"/>
      <c r="D983" s="1"/>
      <c r="E983" s="1"/>
      <c r="F983" s="1"/>
      <c r="G983" s="1"/>
      <c r="H983" s="1"/>
      <c r="K983" s="1"/>
      <c r="L983" s="1"/>
      <c r="M983" s="1"/>
      <c r="N983" s="1"/>
      <c r="O983" s="1"/>
      <c r="P983" s="1"/>
      <c r="Q983" s="1"/>
      <c r="R983" s="1"/>
      <c r="S983" s="1"/>
      <c r="T983" s="1"/>
      <c r="U983" s="1"/>
      <c r="V983" s="1"/>
      <c r="W983" s="1"/>
      <c r="X983" s="1"/>
      <c r="Y983" s="1"/>
      <c r="Z983" s="1"/>
      <c r="AA983" s="1"/>
    </row>
    <row r="984" spans="2:27" ht="13.2" x14ac:dyDescent="0.25">
      <c r="B984" s="1"/>
      <c r="C984" s="1"/>
      <c r="D984" s="1"/>
      <c r="E984" s="1"/>
      <c r="F984" s="1"/>
      <c r="G984" s="1"/>
      <c r="H984" s="1"/>
      <c r="K984" s="1"/>
      <c r="L984" s="1"/>
      <c r="M984" s="1"/>
      <c r="N984" s="1"/>
      <c r="O984" s="1"/>
      <c r="P984" s="1"/>
      <c r="Q984" s="1"/>
      <c r="R984" s="1"/>
      <c r="S984" s="1"/>
      <c r="T984" s="1"/>
      <c r="U984" s="1"/>
      <c r="V984" s="1"/>
      <c r="W984" s="1"/>
      <c r="X984" s="1"/>
      <c r="Y984" s="1"/>
      <c r="Z984" s="1"/>
      <c r="AA984" s="1"/>
    </row>
    <row r="985" spans="2:27" ht="13.2" x14ac:dyDescent="0.25">
      <c r="B985" s="1"/>
      <c r="C985" s="1"/>
      <c r="D985" s="1"/>
      <c r="E985" s="1"/>
      <c r="F985" s="1"/>
      <c r="G985" s="1"/>
      <c r="H985" s="1"/>
      <c r="K985" s="1"/>
      <c r="L985" s="1"/>
      <c r="M985" s="1"/>
      <c r="N985" s="1"/>
      <c r="O985" s="1"/>
      <c r="P985" s="1"/>
      <c r="Q985" s="1"/>
      <c r="R985" s="1"/>
      <c r="S985" s="1"/>
      <c r="T985" s="1"/>
      <c r="U985" s="1"/>
      <c r="V985" s="1"/>
      <c r="W985" s="1"/>
      <c r="X985" s="1"/>
      <c r="Y985" s="1"/>
      <c r="Z985" s="1"/>
      <c r="AA985" s="1"/>
    </row>
    <row r="986" spans="2:27" ht="13.2" x14ac:dyDescent="0.25">
      <c r="B986" s="1"/>
      <c r="C986" s="1"/>
      <c r="D986" s="1"/>
      <c r="E986" s="1"/>
      <c r="F986" s="1"/>
      <c r="G986" s="1"/>
      <c r="H986" s="1"/>
      <c r="K986" s="1"/>
      <c r="L986" s="1"/>
      <c r="M986" s="1"/>
      <c r="N986" s="1"/>
      <c r="O986" s="1"/>
      <c r="P986" s="1"/>
      <c r="Q986" s="1"/>
      <c r="R986" s="1"/>
      <c r="S986" s="1"/>
      <c r="T986" s="1"/>
      <c r="U986" s="1"/>
      <c r="V986" s="1"/>
      <c r="W986" s="1"/>
      <c r="X986" s="1"/>
      <c r="Y986" s="1"/>
      <c r="Z986" s="1"/>
      <c r="AA986" s="1"/>
    </row>
    <row r="987" spans="2:27" ht="13.2" x14ac:dyDescent="0.25">
      <c r="B987" s="1"/>
      <c r="C987" s="1"/>
      <c r="D987" s="1"/>
      <c r="E987" s="1"/>
      <c r="F987" s="1"/>
      <c r="G987" s="1"/>
      <c r="H987" s="1"/>
      <c r="K987" s="1"/>
      <c r="L987" s="1"/>
      <c r="M987" s="1"/>
      <c r="N987" s="1"/>
      <c r="O987" s="1"/>
      <c r="P987" s="1"/>
      <c r="Q987" s="1"/>
      <c r="R987" s="1"/>
      <c r="S987" s="1"/>
      <c r="T987" s="1"/>
      <c r="U987" s="1"/>
      <c r="V987" s="1"/>
      <c r="W987" s="1"/>
      <c r="X987" s="1"/>
      <c r="Y987" s="1"/>
      <c r="Z987" s="1"/>
      <c r="AA987" s="1"/>
    </row>
    <row r="988" spans="2:27" ht="13.2" x14ac:dyDescent="0.25">
      <c r="B988" s="1"/>
      <c r="C988" s="1"/>
      <c r="D988" s="1"/>
      <c r="E988" s="1"/>
      <c r="F988" s="1"/>
      <c r="G988" s="1"/>
      <c r="H988" s="1"/>
      <c r="K988" s="1"/>
      <c r="L988" s="1"/>
      <c r="M988" s="1"/>
      <c r="N988" s="1"/>
      <c r="O988" s="1"/>
      <c r="P988" s="1"/>
      <c r="Q988" s="1"/>
      <c r="R988" s="1"/>
      <c r="S988" s="1"/>
      <c r="T988" s="1"/>
      <c r="U988" s="1"/>
      <c r="V988" s="1"/>
      <c r="W988" s="1"/>
      <c r="X988" s="1"/>
      <c r="Y988" s="1"/>
      <c r="Z988" s="1"/>
      <c r="AA988" s="1"/>
    </row>
    <row r="989" spans="2:27" ht="13.2" x14ac:dyDescent="0.25">
      <c r="B989" s="1"/>
      <c r="C989" s="1"/>
      <c r="D989" s="1"/>
      <c r="E989" s="1"/>
      <c r="F989" s="1"/>
      <c r="G989" s="1"/>
      <c r="H989" s="1"/>
      <c r="K989" s="1"/>
      <c r="L989" s="1"/>
      <c r="M989" s="1"/>
      <c r="N989" s="1"/>
      <c r="O989" s="1"/>
      <c r="P989" s="1"/>
      <c r="Q989" s="1"/>
      <c r="R989" s="1"/>
      <c r="S989" s="1"/>
      <c r="T989" s="1"/>
      <c r="U989" s="1"/>
      <c r="V989" s="1"/>
      <c r="W989" s="1"/>
      <c r="X989" s="1"/>
      <c r="Y989" s="1"/>
      <c r="Z989" s="1"/>
      <c r="AA989" s="1"/>
    </row>
    <row r="990" spans="2:27" ht="13.2" x14ac:dyDescent="0.25">
      <c r="B990" s="1"/>
      <c r="C990" s="1"/>
      <c r="D990" s="1"/>
      <c r="E990" s="1"/>
      <c r="F990" s="1"/>
      <c r="G990" s="1"/>
      <c r="H990" s="1"/>
      <c r="K990" s="1"/>
      <c r="L990" s="1"/>
      <c r="M990" s="1"/>
      <c r="N990" s="1"/>
      <c r="O990" s="1"/>
      <c r="P990" s="1"/>
      <c r="Q990" s="1"/>
      <c r="R990" s="1"/>
      <c r="S990" s="1"/>
      <c r="T990" s="1"/>
      <c r="U990" s="1"/>
      <c r="V990" s="1"/>
      <c r="W990" s="1"/>
      <c r="X990" s="1"/>
      <c r="Y990" s="1"/>
      <c r="Z990" s="1"/>
      <c r="AA990" s="1"/>
    </row>
    <row r="991" spans="2:27" ht="13.2" x14ac:dyDescent="0.25">
      <c r="B991" s="1"/>
      <c r="C991" s="1"/>
      <c r="D991" s="1"/>
      <c r="E991" s="1"/>
      <c r="F991" s="1"/>
      <c r="G991" s="1"/>
      <c r="H991" s="1"/>
      <c r="K991" s="1"/>
      <c r="L991" s="1"/>
      <c r="M991" s="1"/>
      <c r="N991" s="1"/>
      <c r="O991" s="1"/>
      <c r="P991" s="1"/>
      <c r="Q991" s="1"/>
      <c r="R991" s="1"/>
      <c r="S991" s="1"/>
      <c r="T991" s="1"/>
      <c r="U991" s="1"/>
      <c r="V991" s="1"/>
      <c r="W991" s="1"/>
      <c r="X991" s="1"/>
      <c r="Y991" s="1"/>
      <c r="Z991" s="1"/>
      <c r="AA991" s="1"/>
    </row>
    <row r="992" spans="2:27" ht="13.2" x14ac:dyDescent="0.25">
      <c r="B992" s="1"/>
      <c r="C992" s="1"/>
      <c r="D992" s="1"/>
      <c r="E992" s="1"/>
      <c r="F992" s="1"/>
      <c r="G992" s="1"/>
      <c r="H992" s="1"/>
      <c r="K992" s="1"/>
      <c r="L992" s="1"/>
      <c r="M992" s="1"/>
      <c r="N992" s="1"/>
      <c r="O992" s="1"/>
      <c r="P992" s="1"/>
      <c r="Q992" s="1"/>
      <c r="R992" s="1"/>
      <c r="S992" s="1"/>
      <c r="T992" s="1"/>
      <c r="U992" s="1"/>
      <c r="V992" s="1"/>
      <c r="W992" s="1"/>
      <c r="X992" s="1"/>
      <c r="Y992" s="1"/>
      <c r="Z992" s="1"/>
      <c r="AA992" s="1"/>
    </row>
    <row r="993" spans="2:27" ht="13.2" x14ac:dyDescent="0.25">
      <c r="B993" s="1"/>
      <c r="C993" s="1"/>
      <c r="D993" s="1"/>
      <c r="E993" s="1"/>
      <c r="F993" s="1"/>
      <c r="G993" s="1"/>
      <c r="H993" s="1"/>
      <c r="K993" s="1"/>
      <c r="L993" s="1"/>
      <c r="M993" s="1"/>
      <c r="N993" s="1"/>
      <c r="O993" s="1"/>
      <c r="P993" s="1"/>
      <c r="Q993" s="1"/>
      <c r="R993" s="1"/>
      <c r="S993" s="1"/>
      <c r="T993" s="1"/>
      <c r="U993" s="1"/>
      <c r="V993" s="1"/>
      <c r="W993" s="1"/>
      <c r="X993" s="1"/>
      <c r="Y993" s="1"/>
      <c r="Z993" s="1"/>
      <c r="AA993" s="1"/>
    </row>
    <row r="994" spans="2:27" ht="13.2" x14ac:dyDescent="0.25">
      <c r="B994" s="1"/>
      <c r="C994" s="1"/>
      <c r="D994" s="1"/>
      <c r="E994" s="1"/>
      <c r="F994" s="1"/>
      <c r="G994" s="1"/>
      <c r="H994" s="1"/>
      <c r="K994" s="1"/>
      <c r="L994" s="1"/>
      <c r="M994" s="1"/>
      <c r="N994" s="1"/>
      <c r="O994" s="1"/>
      <c r="P994" s="1"/>
      <c r="Q994" s="1"/>
      <c r="R994" s="1"/>
      <c r="S994" s="1"/>
      <c r="T994" s="1"/>
      <c r="U994" s="1"/>
      <c r="V994" s="1"/>
      <c r="W994" s="1"/>
      <c r="X994" s="1"/>
      <c r="Y994" s="1"/>
      <c r="Z994" s="1"/>
      <c r="AA994" s="1"/>
    </row>
    <row r="995" spans="2:27" ht="13.2" x14ac:dyDescent="0.25">
      <c r="B995" s="1"/>
      <c r="C995" s="1"/>
      <c r="D995" s="1"/>
      <c r="E995" s="1"/>
      <c r="F995" s="1"/>
      <c r="G995" s="1"/>
      <c r="H995" s="1"/>
      <c r="K995" s="1"/>
      <c r="L995" s="1"/>
      <c r="M995" s="1"/>
      <c r="N995" s="1"/>
      <c r="O995" s="1"/>
      <c r="P995" s="1"/>
      <c r="Q995" s="1"/>
      <c r="R995" s="1"/>
      <c r="S995" s="1"/>
      <c r="T995" s="1"/>
      <c r="U995" s="1"/>
      <c r="V995" s="1"/>
      <c r="W995" s="1"/>
      <c r="X995" s="1"/>
      <c r="Y995" s="1"/>
      <c r="Z995" s="1"/>
      <c r="AA995" s="1"/>
    </row>
  </sheetData>
  <mergeCells count="2">
    <mergeCell ref="B1:F1"/>
    <mergeCell ref="M1:S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A3990-3E58-4358-A7CB-9C59D516F451}">
  <dimension ref="C1:F998"/>
  <sheetViews>
    <sheetView showGridLines="0" workbookViewId="0">
      <selection activeCell="C8" sqref="C8"/>
    </sheetView>
  </sheetViews>
  <sheetFormatPr defaultRowHeight="13.2" x14ac:dyDescent="0.25"/>
  <cols>
    <col min="1" max="2" width="8.88671875" style="11"/>
    <col min="3" max="3" width="60.109375" style="11" customWidth="1"/>
    <col min="4" max="4" width="53.33203125" style="11" customWidth="1"/>
    <col min="5" max="16384" width="8.88671875" style="11"/>
  </cols>
  <sheetData>
    <row r="1" spans="3:6" x14ac:dyDescent="0.25">
      <c r="C1" s="311" t="s">
        <v>145</v>
      </c>
      <c r="D1" s="317"/>
    </row>
    <row r="2" spans="3:6" ht="72" customHeight="1" x14ac:dyDescent="0.25">
      <c r="C2" s="68" t="s">
        <v>6</v>
      </c>
      <c r="D2" s="72">
        <v>22</v>
      </c>
    </row>
    <row r="3" spans="3:6" ht="52.2" customHeight="1" x14ac:dyDescent="0.25">
      <c r="C3" s="68" t="s">
        <v>17</v>
      </c>
      <c r="D3" s="72" t="s">
        <v>18</v>
      </c>
      <c r="F3" s="75"/>
    </row>
    <row r="4" spans="3:6" ht="54" customHeight="1" x14ac:dyDescent="0.25">
      <c r="C4" s="68" t="s">
        <v>20</v>
      </c>
      <c r="D4" s="72" t="s">
        <v>21</v>
      </c>
    </row>
    <row r="5" spans="3:6" ht="46.2" customHeight="1" x14ac:dyDescent="0.25">
      <c r="C5" s="68" t="s">
        <v>26</v>
      </c>
      <c r="D5" s="72" t="s">
        <v>27</v>
      </c>
    </row>
    <row r="6" spans="3:6" ht="43.8" customHeight="1" x14ac:dyDescent="0.25">
      <c r="C6" s="68" t="s">
        <v>32</v>
      </c>
      <c r="D6" s="72" t="s">
        <v>631</v>
      </c>
    </row>
    <row r="7" spans="3:6" ht="34.200000000000003" customHeight="1" x14ac:dyDescent="0.25">
      <c r="C7" s="68" t="s">
        <v>39</v>
      </c>
      <c r="D7" s="72" t="s">
        <v>40</v>
      </c>
    </row>
    <row r="8" spans="3:6" ht="47.4" customHeight="1" x14ac:dyDescent="0.25">
      <c r="C8" s="68" t="s">
        <v>44</v>
      </c>
      <c r="D8" s="72">
        <v>85</v>
      </c>
    </row>
    <row r="10" spans="3:6" x14ac:dyDescent="0.25">
      <c r="C10" s="13"/>
      <c r="D10" s="13"/>
    </row>
    <row r="11" spans="3:6" x14ac:dyDescent="0.25">
      <c r="C11" s="13"/>
      <c r="D11" s="13"/>
    </row>
    <row r="12" spans="3:6" x14ac:dyDescent="0.25">
      <c r="C12" s="13"/>
      <c r="D12" s="13"/>
    </row>
    <row r="13" spans="3:6" x14ac:dyDescent="0.25">
      <c r="C13" s="13"/>
      <c r="D13" s="13"/>
    </row>
    <row r="14" spans="3:6" x14ac:dyDescent="0.25">
      <c r="C14" s="13"/>
      <c r="D14" s="13"/>
    </row>
    <row r="15" spans="3:6" x14ac:dyDescent="0.25">
      <c r="C15" s="13"/>
      <c r="D15" s="13"/>
    </row>
    <row r="16" spans="3:6" x14ac:dyDescent="0.25">
      <c r="C16" s="13"/>
      <c r="D16" s="13"/>
    </row>
    <row r="17" spans="3:4" x14ac:dyDescent="0.25">
      <c r="C17" s="13"/>
      <c r="D17" s="13"/>
    </row>
    <row r="18" spans="3:4" x14ac:dyDescent="0.25">
      <c r="C18" s="13"/>
      <c r="D18" s="13"/>
    </row>
    <row r="19" spans="3:4" x14ac:dyDescent="0.25">
      <c r="C19" s="13"/>
      <c r="D19" s="13"/>
    </row>
    <row r="20" spans="3:4" x14ac:dyDescent="0.25">
      <c r="C20" s="13"/>
      <c r="D20" s="13"/>
    </row>
    <row r="21" spans="3:4" x14ac:dyDescent="0.25">
      <c r="C21" s="13"/>
      <c r="D21" s="13"/>
    </row>
    <row r="22" spans="3:4" x14ac:dyDescent="0.25">
      <c r="C22" s="13"/>
      <c r="D22" s="13"/>
    </row>
    <row r="23" spans="3:4" x14ac:dyDescent="0.25">
      <c r="C23" s="13"/>
      <c r="D23" s="13"/>
    </row>
    <row r="24" spans="3:4" x14ac:dyDescent="0.25">
      <c r="C24" s="13"/>
      <c r="D24" s="13"/>
    </row>
    <row r="25" spans="3:4" x14ac:dyDescent="0.25">
      <c r="C25" s="13"/>
      <c r="D25" s="13"/>
    </row>
    <row r="26" spans="3:4" x14ac:dyDescent="0.25">
      <c r="C26" s="13"/>
      <c r="D26" s="13"/>
    </row>
    <row r="27" spans="3:4" x14ac:dyDescent="0.25">
      <c r="C27" s="13"/>
      <c r="D27" s="13"/>
    </row>
    <row r="28" spans="3:4" x14ac:dyDescent="0.25">
      <c r="C28" s="13"/>
      <c r="D28" s="13"/>
    </row>
    <row r="29" spans="3:4" x14ac:dyDescent="0.25">
      <c r="C29" s="13"/>
      <c r="D29" s="13"/>
    </row>
    <row r="30" spans="3:4" x14ac:dyDescent="0.25">
      <c r="C30" s="13"/>
      <c r="D30" s="13"/>
    </row>
    <row r="31" spans="3:4" x14ac:dyDescent="0.25">
      <c r="C31" s="13"/>
      <c r="D31" s="13"/>
    </row>
    <row r="32" spans="3:4" x14ac:dyDescent="0.25">
      <c r="C32" s="13"/>
      <c r="D32" s="13"/>
    </row>
    <row r="33" spans="3:4" x14ac:dyDescent="0.25">
      <c r="C33" s="13"/>
      <c r="D33" s="13"/>
    </row>
    <row r="34" spans="3:4" x14ac:dyDescent="0.25">
      <c r="C34" s="13"/>
      <c r="D34" s="13"/>
    </row>
    <row r="35" spans="3:4" x14ac:dyDescent="0.25">
      <c r="C35" s="13"/>
      <c r="D35" s="13"/>
    </row>
    <row r="36" spans="3:4" x14ac:dyDescent="0.25">
      <c r="C36" s="13"/>
      <c r="D36" s="13"/>
    </row>
    <row r="37" spans="3:4" x14ac:dyDescent="0.25">
      <c r="C37" s="13"/>
      <c r="D37" s="13"/>
    </row>
    <row r="38" spans="3:4" x14ac:dyDescent="0.25">
      <c r="C38" s="13"/>
      <c r="D38" s="13"/>
    </row>
    <row r="39" spans="3:4" x14ac:dyDescent="0.25">
      <c r="C39" s="13"/>
      <c r="D39" s="13"/>
    </row>
    <row r="40" spans="3:4" x14ac:dyDescent="0.25">
      <c r="C40" s="13"/>
      <c r="D40" s="13"/>
    </row>
    <row r="41" spans="3:4" x14ac:dyDescent="0.25">
      <c r="C41" s="13"/>
      <c r="D41" s="13"/>
    </row>
    <row r="42" spans="3:4" x14ac:dyDescent="0.25">
      <c r="C42" s="13"/>
      <c r="D42" s="13"/>
    </row>
    <row r="43" spans="3:4" x14ac:dyDescent="0.25">
      <c r="C43" s="13"/>
      <c r="D43" s="13"/>
    </row>
    <row r="44" spans="3:4" x14ac:dyDescent="0.25">
      <c r="C44" s="13"/>
      <c r="D44" s="13"/>
    </row>
    <row r="45" spans="3:4" x14ac:dyDescent="0.25">
      <c r="C45" s="13"/>
      <c r="D45" s="13"/>
    </row>
    <row r="46" spans="3:4" x14ac:dyDescent="0.25">
      <c r="C46" s="13"/>
      <c r="D46" s="13"/>
    </row>
    <row r="47" spans="3:4" x14ac:dyDescent="0.25">
      <c r="C47" s="13"/>
      <c r="D47" s="13"/>
    </row>
    <row r="48" spans="3:4" x14ac:dyDescent="0.25">
      <c r="C48" s="13"/>
      <c r="D48" s="13"/>
    </row>
    <row r="49" spans="3:4" x14ac:dyDescent="0.25">
      <c r="C49" s="13"/>
      <c r="D49" s="13"/>
    </row>
    <row r="50" spans="3:4" x14ac:dyDescent="0.25">
      <c r="C50" s="13"/>
      <c r="D50" s="13"/>
    </row>
    <row r="51" spans="3:4" x14ac:dyDescent="0.25">
      <c r="C51" s="13"/>
      <c r="D51" s="13"/>
    </row>
    <row r="52" spans="3:4" x14ac:dyDescent="0.25">
      <c r="C52" s="13"/>
      <c r="D52" s="13"/>
    </row>
    <row r="53" spans="3:4" x14ac:dyDescent="0.25">
      <c r="C53" s="13"/>
      <c r="D53" s="13"/>
    </row>
    <row r="54" spans="3:4" x14ac:dyDescent="0.25">
      <c r="C54" s="13"/>
      <c r="D54" s="13"/>
    </row>
    <row r="55" spans="3:4" x14ac:dyDescent="0.25">
      <c r="C55" s="13"/>
      <c r="D55" s="13"/>
    </row>
    <row r="56" spans="3:4" x14ac:dyDescent="0.25">
      <c r="C56" s="13"/>
      <c r="D56" s="13"/>
    </row>
    <row r="57" spans="3:4" x14ac:dyDescent="0.25">
      <c r="C57" s="13"/>
      <c r="D57" s="13"/>
    </row>
    <row r="58" spans="3:4" x14ac:dyDescent="0.25">
      <c r="C58" s="13"/>
      <c r="D58" s="13"/>
    </row>
    <row r="59" spans="3:4" x14ac:dyDescent="0.25">
      <c r="C59" s="13"/>
      <c r="D59" s="13"/>
    </row>
    <row r="60" spans="3:4" x14ac:dyDescent="0.25">
      <c r="C60" s="13"/>
      <c r="D60" s="13"/>
    </row>
    <row r="61" spans="3:4" x14ac:dyDescent="0.25">
      <c r="C61" s="13"/>
      <c r="D61" s="13"/>
    </row>
    <row r="62" spans="3:4" x14ac:dyDescent="0.25">
      <c r="C62" s="13"/>
      <c r="D62" s="13"/>
    </row>
    <row r="63" spans="3:4" x14ac:dyDescent="0.25">
      <c r="C63" s="13"/>
      <c r="D63" s="13"/>
    </row>
    <row r="64" spans="3:4" x14ac:dyDescent="0.25">
      <c r="C64" s="13"/>
      <c r="D64" s="13"/>
    </row>
    <row r="65" spans="3:4" x14ac:dyDescent="0.25">
      <c r="C65" s="13"/>
      <c r="D65" s="13"/>
    </row>
    <row r="66" spans="3:4" x14ac:dyDescent="0.25">
      <c r="C66" s="13"/>
      <c r="D66" s="13"/>
    </row>
    <row r="67" spans="3:4" x14ac:dyDescent="0.25">
      <c r="C67" s="13"/>
      <c r="D67" s="13"/>
    </row>
    <row r="68" spans="3:4" x14ac:dyDescent="0.25">
      <c r="C68" s="13"/>
      <c r="D68" s="13"/>
    </row>
    <row r="69" spans="3:4" x14ac:dyDescent="0.25">
      <c r="C69" s="13"/>
      <c r="D69" s="13"/>
    </row>
    <row r="70" spans="3:4" x14ac:dyDescent="0.25">
      <c r="C70" s="13"/>
      <c r="D70" s="13"/>
    </row>
    <row r="71" spans="3:4" x14ac:dyDescent="0.25">
      <c r="C71" s="13"/>
      <c r="D71" s="13"/>
    </row>
    <row r="72" spans="3:4" x14ac:dyDescent="0.25">
      <c r="C72" s="13"/>
      <c r="D72" s="13"/>
    </row>
    <row r="73" spans="3:4" x14ac:dyDescent="0.25">
      <c r="C73" s="13"/>
      <c r="D73" s="13"/>
    </row>
    <row r="74" spans="3:4" x14ac:dyDescent="0.25">
      <c r="C74" s="13"/>
      <c r="D74" s="13"/>
    </row>
    <row r="75" spans="3:4" x14ac:dyDescent="0.25">
      <c r="C75" s="13"/>
      <c r="D75" s="13"/>
    </row>
    <row r="76" spans="3:4" x14ac:dyDescent="0.25">
      <c r="C76" s="13"/>
      <c r="D76" s="13"/>
    </row>
    <row r="77" spans="3:4" x14ac:dyDescent="0.25">
      <c r="C77" s="13"/>
      <c r="D77" s="13"/>
    </row>
    <row r="78" spans="3:4" x14ac:dyDescent="0.25">
      <c r="C78" s="13"/>
      <c r="D78" s="13"/>
    </row>
    <row r="79" spans="3:4" x14ac:dyDescent="0.25">
      <c r="C79" s="13"/>
      <c r="D79" s="13"/>
    </row>
    <row r="80" spans="3:4" x14ac:dyDescent="0.25">
      <c r="C80" s="13"/>
      <c r="D80" s="13"/>
    </row>
    <row r="81" spans="3:4" x14ac:dyDescent="0.25">
      <c r="C81" s="13"/>
      <c r="D81" s="13"/>
    </row>
    <row r="82" spans="3:4" x14ac:dyDescent="0.25">
      <c r="C82" s="13"/>
      <c r="D82" s="13"/>
    </row>
    <row r="83" spans="3:4" x14ac:dyDescent="0.25">
      <c r="C83" s="13"/>
      <c r="D83" s="13"/>
    </row>
    <row r="84" spans="3:4" x14ac:dyDescent="0.25">
      <c r="C84" s="13"/>
      <c r="D84" s="13"/>
    </row>
    <row r="85" spans="3:4" x14ac:dyDescent="0.25">
      <c r="C85" s="13"/>
      <c r="D85" s="13"/>
    </row>
    <row r="86" spans="3:4" x14ac:dyDescent="0.25">
      <c r="C86" s="13"/>
      <c r="D86" s="13"/>
    </row>
    <row r="87" spans="3:4" x14ac:dyDescent="0.25">
      <c r="C87" s="13"/>
      <c r="D87" s="13"/>
    </row>
    <row r="88" spans="3:4" x14ac:dyDescent="0.25">
      <c r="C88" s="13"/>
      <c r="D88" s="13"/>
    </row>
    <row r="89" spans="3:4" x14ac:dyDescent="0.25">
      <c r="C89" s="13"/>
      <c r="D89" s="13"/>
    </row>
    <row r="90" spans="3:4" x14ac:dyDescent="0.25">
      <c r="C90" s="13"/>
      <c r="D90" s="13"/>
    </row>
    <row r="91" spans="3:4" x14ac:dyDescent="0.25">
      <c r="C91" s="13"/>
      <c r="D91" s="13"/>
    </row>
    <row r="92" spans="3:4" x14ac:dyDescent="0.25">
      <c r="C92" s="13"/>
      <c r="D92" s="13"/>
    </row>
    <row r="93" spans="3:4" x14ac:dyDescent="0.25">
      <c r="C93" s="13"/>
      <c r="D93" s="13"/>
    </row>
    <row r="94" spans="3:4" x14ac:dyDescent="0.25">
      <c r="C94" s="13"/>
      <c r="D94" s="13"/>
    </row>
    <row r="95" spans="3:4" x14ac:dyDescent="0.25">
      <c r="C95" s="13"/>
      <c r="D95" s="13"/>
    </row>
    <row r="96" spans="3:4" x14ac:dyDescent="0.25">
      <c r="C96" s="13"/>
      <c r="D96" s="13"/>
    </row>
    <row r="97" spans="3:4" x14ac:dyDescent="0.25">
      <c r="C97" s="13"/>
      <c r="D97" s="13"/>
    </row>
    <row r="98" spans="3:4" x14ac:dyDescent="0.25">
      <c r="C98" s="13"/>
      <c r="D98" s="13"/>
    </row>
    <row r="99" spans="3:4" x14ac:dyDescent="0.25">
      <c r="C99" s="13"/>
      <c r="D99" s="13"/>
    </row>
    <row r="100" spans="3:4" x14ac:dyDescent="0.25">
      <c r="C100" s="13"/>
      <c r="D100" s="13"/>
    </row>
    <row r="101" spans="3:4" x14ac:dyDescent="0.25">
      <c r="C101" s="13"/>
      <c r="D101" s="13"/>
    </row>
    <row r="102" spans="3:4" x14ac:dyDescent="0.25">
      <c r="C102" s="13"/>
      <c r="D102" s="13"/>
    </row>
    <row r="103" spans="3:4" x14ac:dyDescent="0.25">
      <c r="C103" s="13"/>
      <c r="D103" s="13"/>
    </row>
    <row r="104" spans="3:4" x14ac:dyDescent="0.25">
      <c r="C104" s="13"/>
      <c r="D104" s="13"/>
    </row>
    <row r="105" spans="3:4" x14ac:dyDescent="0.25">
      <c r="C105" s="13"/>
      <c r="D105" s="13"/>
    </row>
    <row r="106" spans="3:4" x14ac:dyDescent="0.25">
      <c r="C106" s="13"/>
      <c r="D106" s="13"/>
    </row>
    <row r="107" spans="3:4" x14ac:dyDescent="0.25">
      <c r="C107" s="13"/>
      <c r="D107" s="13"/>
    </row>
    <row r="108" spans="3:4" x14ac:dyDescent="0.25">
      <c r="C108" s="13"/>
      <c r="D108" s="13"/>
    </row>
    <row r="109" spans="3:4" x14ac:dyDescent="0.25">
      <c r="C109" s="13"/>
      <c r="D109" s="13"/>
    </row>
    <row r="110" spans="3:4" x14ac:dyDescent="0.25">
      <c r="C110" s="13"/>
      <c r="D110" s="13"/>
    </row>
    <row r="111" spans="3:4" x14ac:dyDescent="0.25">
      <c r="C111" s="13"/>
      <c r="D111" s="13"/>
    </row>
    <row r="112" spans="3:4" x14ac:dyDescent="0.25">
      <c r="C112" s="13"/>
      <c r="D112" s="13"/>
    </row>
    <row r="113" spans="3:4" x14ac:dyDescent="0.25">
      <c r="C113" s="13"/>
      <c r="D113" s="13"/>
    </row>
    <row r="114" spans="3:4" x14ac:dyDescent="0.25">
      <c r="C114" s="13"/>
      <c r="D114" s="13"/>
    </row>
    <row r="115" spans="3:4" x14ac:dyDescent="0.25">
      <c r="C115" s="13"/>
      <c r="D115" s="13"/>
    </row>
    <row r="116" spans="3:4" x14ac:dyDescent="0.25">
      <c r="C116" s="13"/>
      <c r="D116" s="13"/>
    </row>
    <row r="117" spans="3:4" x14ac:dyDescent="0.25">
      <c r="C117" s="13"/>
      <c r="D117" s="13"/>
    </row>
    <row r="118" spans="3:4" x14ac:dyDescent="0.25">
      <c r="C118" s="13"/>
      <c r="D118" s="13"/>
    </row>
    <row r="119" spans="3:4" x14ac:dyDescent="0.25">
      <c r="C119" s="13"/>
      <c r="D119" s="13"/>
    </row>
    <row r="120" spans="3:4" x14ac:dyDescent="0.25">
      <c r="C120" s="13"/>
      <c r="D120" s="13"/>
    </row>
    <row r="121" spans="3:4" x14ac:dyDescent="0.25">
      <c r="C121" s="13"/>
      <c r="D121" s="13"/>
    </row>
    <row r="122" spans="3:4" x14ac:dyDescent="0.25">
      <c r="C122" s="13"/>
      <c r="D122" s="13"/>
    </row>
    <row r="123" spans="3:4" x14ac:dyDescent="0.25">
      <c r="C123" s="13"/>
      <c r="D123" s="13"/>
    </row>
    <row r="124" spans="3:4" x14ac:dyDescent="0.25">
      <c r="C124" s="13"/>
      <c r="D124" s="13"/>
    </row>
    <row r="125" spans="3:4" x14ac:dyDescent="0.25">
      <c r="C125" s="13"/>
      <c r="D125" s="13"/>
    </row>
    <row r="126" spans="3:4" x14ac:dyDescent="0.25">
      <c r="C126" s="13"/>
      <c r="D126" s="13"/>
    </row>
    <row r="127" spans="3:4" x14ac:dyDescent="0.25">
      <c r="C127" s="13"/>
      <c r="D127" s="13"/>
    </row>
    <row r="128" spans="3:4" x14ac:dyDescent="0.25">
      <c r="C128" s="13"/>
      <c r="D128" s="13"/>
    </row>
    <row r="129" spans="3:4" x14ac:dyDescent="0.25">
      <c r="C129" s="13"/>
      <c r="D129" s="13"/>
    </row>
    <row r="130" spans="3:4" x14ac:dyDescent="0.25">
      <c r="C130" s="13"/>
      <c r="D130" s="13"/>
    </row>
    <row r="131" spans="3:4" x14ac:dyDescent="0.25">
      <c r="C131" s="13"/>
      <c r="D131" s="13"/>
    </row>
    <row r="132" spans="3:4" x14ac:dyDescent="0.25">
      <c r="C132" s="13"/>
      <c r="D132" s="13"/>
    </row>
    <row r="133" spans="3:4" x14ac:dyDescent="0.25">
      <c r="C133" s="13"/>
      <c r="D133" s="13"/>
    </row>
    <row r="134" spans="3:4" x14ac:dyDescent="0.25">
      <c r="C134" s="13"/>
      <c r="D134" s="13"/>
    </row>
    <row r="135" spans="3:4" x14ac:dyDescent="0.25">
      <c r="C135" s="13"/>
      <c r="D135" s="13"/>
    </row>
    <row r="136" spans="3:4" x14ac:dyDescent="0.25">
      <c r="C136" s="13"/>
      <c r="D136" s="13"/>
    </row>
    <row r="137" spans="3:4" x14ac:dyDescent="0.25">
      <c r="C137" s="13"/>
      <c r="D137" s="13"/>
    </row>
    <row r="138" spans="3:4" x14ac:dyDescent="0.25">
      <c r="C138" s="13"/>
      <c r="D138" s="13"/>
    </row>
    <row r="139" spans="3:4" x14ac:dyDescent="0.25">
      <c r="C139" s="13"/>
      <c r="D139" s="13"/>
    </row>
    <row r="140" spans="3:4" x14ac:dyDescent="0.25">
      <c r="C140" s="13"/>
      <c r="D140" s="13"/>
    </row>
    <row r="141" spans="3:4" x14ac:dyDescent="0.25">
      <c r="C141" s="13"/>
      <c r="D141" s="13"/>
    </row>
    <row r="142" spans="3:4" x14ac:dyDescent="0.25">
      <c r="C142" s="13"/>
      <c r="D142" s="13"/>
    </row>
    <row r="143" spans="3:4" x14ac:dyDescent="0.25">
      <c r="C143" s="13"/>
      <c r="D143" s="13"/>
    </row>
    <row r="144" spans="3:4" x14ac:dyDescent="0.25">
      <c r="C144" s="13"/>
      <c r="D144" s="13"/>
    </row>
    <row r="145" spans="3:4" x14ac:dyDescent="0.25">
      <c r="C145" s="13"/>
      <c r="D145" s="13"/>
    </row>
    <row r="146" spans="3:4" x14ac:dyDescent="0.25">
      <c r="C146" s="13"/>
      <c r="D146" s="13"/>
    </row>
    <row r="147" spans="3:4" x14ac:dyDescent="0.25">
      <c r="C147" s="13"/>
      <c r="D147" s="13"/>
    </row>
    <row r="148" spans="3:4" x14ac:dyDescent="0.25">
      <c r="C148" s="13"/>
      <c r="D148" s="13"/>
    </row>
    <row r="149" spans="3:4" x14ac:dyDescent="0.25">
      <c r="C149" s="13"/>
      <c r="D149" s="13"/>
    </row>
    <row r="150" spans="3:4" x14ac:dyDescent="0.25">
      <c r="C150" s="13"/>
      <c r="D150" s="13"/>
    </row>
    <row r="151" spans="3:4" x14ac:dyDescent="0.25">
      <c r="C151" s="13"/>
      <c r="D151" s="13"/>
    </row>
    <row r="152" spans="3:4" x14ac:dyDescent="0.25">
      <c r="C152" s="13"/>
      <c r="D152" s="13"/>
    </row>
    <row r="153" spans="3:4" x14ac:dyDescent="0.25">
      <c r="C153" s="13"/>
      <c r="D153" s="13"/>
    </row>
    <row r="154" spans="3:4" x14ac:dyDescent="0.25">
      <c r="C154" s="13"/>
      <c r="D154" s="13"/>
    </row>
    <row r="155" spans="3:4" x14ac:dyDescent="0.25">
      <c r="C155" s="13"/>
      <c r="D155" s="13"/>
    </row>
    <row r="156" spans="3:4" x14ac:dyDescent="0.25">
      <c r="C156" s="13"/>
      <c r="D156" s="13"/>
    </row>
    <row r="157" spans="3:4" x14ac:dyDescent="0.25">
      <c r="C157" s="13"/>
      <c r="D157" s="13"/>
    </row>
    <row r="158" spans="3:4" x14ac:dyDescent="0.25">
      <c r="C158" s="13"/>
      <c r="D158" s="13"/>
    </row>
    <row r="159" spans="3:4" x14ac:dyDescent="0.25">
      <c r="C159" s="13"/>
      <c r="D159" s="13"/>
    </row>
    <row r="160" spans="3:4" x14ac:dyDescent="0.25">
      <c r="C160" s="13"/>
      <c r="D160" s="13"/>
    </row>
    <row r="161" spans="3:4" x14ac:dyDescent="0.25">
      <c r="C161" s="13"/>
      <c r="D161" s="13"/>
    </row>
    <row r="162" spans="3:4" x14ac:dyDescent="0.25">
      <c r="C162" s="13"/>
      <c r="D162" s="13"/>
    </row>
    <row r="163" spans="3:4" x14ac:dyDescent="0.25">
      <c r="C163" s="13"/>
      <c r="D163" s="13"/>
    </row>
    <row r="164" spans="3:4" x14ac:dyDescent="0.25">
      <c r="C164" s="13"/>
      <c r="D164" s="13"/>
    </row>
    <row r="165" spans="3:4" x14ac:dyDescent="0.25">
      <c r="C165" s="13"/>
      <c r="D165" s="13"/>
    </row>
    <row r="166" spans="3:4" x14ac:dyDescent="0.25">
      <c r="C166" s="13"/>
      <c r="D166" s="13"/>
    </row>
    <row r="167" spans="3:4" x14ac:dyDescent="0.25">
      <c r="C167" s="13"/>
      <c r="D167" s="13"/>
    </row>
    <row r="168" spans="3:4" x14ac:dyDescent="0.25">
      <c r="C168" s="13"/>
      <c r="D168" s="13"/>
    </row>
    <row r="169" spans="3:4" x14ac:dyDescent="0.25">
      <c r="C169" s="13"/>
      <c r="D169" s="13"/>
    </row>
    <row r="170" spans="3:4" x14ac:dyDescent="0.25">
      <c r="C170" s="13"/>
      <c r="D170" s="13"/>
    </row>
    <row r="171" spans="3:4" x14ac:dyDescent="0.25">
      <c r="C171" s="13"/>
      <c r="D171" s="13"/>
    </row>
    <row r="172" spans="3:4" x14ac:dyDescent="0.25">
      <c r="C172" s="13"/>
      <c r="D172" s="13"/>
    </row>
    <row r="173" spans="3:4" x14ac:dyDescent="0.25">
      <c r="C173" s="13"/>
      <c r="D173" s="13"/>
    </row>
    <row r="174" spans="3:4" x14ac:dyDescent="0.25">
      <c r="C174" s="13"/>
      <c r="D174" s="13"/>
    </row>
    <row r="175" spans="3:4" x14ac:dyDescent="0.25">
      <c r="C175" s="13"/>
      <c r="D175" s="13"/>
    </row>
    <row r="176" spans="3:4" x14ac:dyDescent="0.25">
      <c r="C176" s="13"/>
      <c r="D176" s="13"/>
    </row>
    <row r="177" spans="3:4" x14ac:dyDescent="0.25">
      <c r="C177" s="13"/>
      <c r="D177" s="13"/>
    </row>
    <row r="178" spans="3:4" x14ac:dyDescent="0.25">
      <c r="C178" s="13"/>
      <c r="D178" s="13"/>
    </row>
    <row r="179" spans="3:4" x14ac:dyDescent="0.25">
      <c r="C179" s="13"/>
      <c r="D179" s="13"/>
    </row>
    <row r="180" spans="3:4" x14ac:dyDescent="0.25">
      <c r="C180" s="13"/>
      <c r="D180" s="13"/>
    </row>
    <row r="181" spans="3:4" x14ac:dyDescent="0.25">
      <c r="C181" s="13"/>
      <c r="D181" s="13"/>
    </row>
    <row r="182" spans="3:4" x14ac:dyDescent="0.25">
      <c r="C182" s="13"/>
      <c r="D182" s="13"/>
    </row>
    <row r="183" spans="3:4" x14ac:dyDescent="0.25">
      <c r="C183" s="13"/>
      <c r="D183" s="13"/>
    </row>
    <row r="184" spans="3:4" x14ac:dyDescent="0.25">
      <c r="C184" s="13"/>
      <c r="D184" s="13"/>
    </row>
    <row r="185" spans="3:4" x14ac:dyDescent="0.25">
      <c r="C185" s="13"/>
      <c r="D185" s="13"/>
    </row>
    <row r="186" spans="3:4" x14ac:dyDescent="0.25">
      <c r="C186" s="13"/>
      <c r="D186" s="13"/>
    </row>
    <row r="187" spans="3:4" x14ac:dyDescent="0.25">
      <c r="C187" s="13"/>
      <c r="D187" s="13"/>
    </row>
    <row r="188" spans="3:4" x14ac:dyDescent="0.25">
      <c r="C188" s="13"/>
      <c r="D188" s="13"/>
    </row>
    <row r="189" spans="3:4" x14ac:dyDescent="0.25">
      <c r="C189" s="13"/>
      <c r="D189" s="13"/>
    </row>
    <row r="190" spans="3:4" x14ac:dyDescent="0.25">
      <c r="C190" s="13"/>
      <c r="D190" s="13"/>
    </row>
    <row r="191" spans="3:4" x14ac:dyDescent="0.25">
      <c r="C191" s="13"/>
      <c r="D191" s="13"/>
    </row>
    <row r="192" spans="3:4" x14ac:dyDescent="0.25">
      <c r="C192" s="13"/>
      <c r="D192" s="13"/>
    </row>
    <row r="193" spans="3:4" x14ac:dyDescent="0.25">
      <c r="C193" s="13"/>
      <c r="D193" s="13"/>
    </row>
    <row r="194" spans="3:4" x14ac:dyDescent="0.25">
      <c r="C194" s="13"/>
      <c r="D194" s="13"/>
    </row>
    <row r="195" spans="3:4" x14ac:dyDescent="0.25">
      <c r="C195" s="13"/>
      <c r="D195" s="13"/>
    </row>
    <row r="196" spans="3:4" x14ac:dyDescent="0.25">
      <c r="C196" s="13"/>
      <c r="D196" s="13"/>
    </row>
    <row r="197" spans="3:4" x14ac:dyDescent="0.25">
      <c r="C197" s="13"/>
      <c r="D197" s="13"/>
    </row>
    <row r="198" spans="3:4" x14ac:dyDescent="0.25">
      <c r="C198" s="13"/>
      <c r="D198" s="13"/>
    </row>
    <row r="199" spans="3:4" x14ac:dyDescent="0.25">
      <c r="C199" s="13"/>
      <c r="D199" s="13"/>
    </row>
    <row r="200" spans="3:4" x14ac:dyDescent="0.25">
      <c r="C200" s="13"/>
      <c r="D200" s="13"/>
    </row>
    <row r="201" spans="3:4" x14ac:dyDescent="0.25">
      <c r="C201" s="13"/>
      <c r="D201" s="13"/>
    </row>
    <row r="202" spans="3:4" x14ac:dyDescent="0.25">
      <c r="C202" s="13"/>
      <c r="D202" s="13"/>
    </row>
    <row r="203" spans="3:4" x14ac:dyDescent="0.25">
      <c r="C203" s="13"/>
      <c r="D203" s="13"/>
    </row>
    <row r="204" spans="3:4" x14ac:dyDescent="0.25">
      <c r="C204" s="13"/>
      <c r="D204" s="13"/>
    </row>
    <row r="205" spans="3:4" x14ac:dyDescent="0.25">
      <c r="C205" s="13"/>
      <c r="D205" s="13"/>
    </row>
    <row r="206" spans="3:4" x14ac:dyDescent="0.25">
      <c r="C206" s="13"/>
      <c r="D206" s="13"/>
    </row>
    <row r="207" spans="3:4" x14ac:dyDescent="0.25">
      <c r="C207" s="13"/>
      <c r="D207" s="13"/>
    </row>
    <row r="208" spans="3:4" x14ac:dyDescent="0.25">
      <c r="C208" s="13"/>
      <c r="D208" s="13"/>
    </row>
    <row r="209" spans="3:4" x14ac:dyDescent="0.25">
      <c r="C209" s="13"/>
      <c r="D209" s="13"/>
    </row>
    <row r="210" spans="3:4" x14ac:dyDescent="0.25">
      <c r="C210" s="13"/>
      <c r="D210" s="13"/>
    </row>
    <row r="211" spans="3:4" x14ac:dyDescent="0.25">
      <c r="C211" s="13"/>
      <c r="D211" s="13"/>
    </row>
    <row r="212" spans="3:4" x14ac:dyDescent="0.25">
      <c r="C212" s="13"/>
      <c r="D212" s="13"/>
    </row>
    <row r="213" spans="3:4" x14ac:dyDescent="0.25">
      <c r="C213" s="13"/>
      <c r="D213" s="13"/>
    </row>
    <row r="214" spans="3:4" x14ac:dyDescent="0.25">
      <c r="C214" s="13"/>
      <c r="D214" s="13"/>
    </row>
    <row r="215" spans="3:4" x14ac:dyDescent="0.25">
      <c r="C215" s="13"/>
      <c r="D215" s="13"/>
    </row>
    <row r="216" spans="3:4" x14ac:dyDescent="0.25">
      <c r="C216" s="13"/>
      <c r="D216" s="13"/>
    </row>
    <row r="217" spans="3:4" x14ac:dyDescent="0.25">
      <c r="C217" s="13"/>
      <c r="D217" s="13"/>
    </row>
    <row r="218" spans="3:4" x14ac:dyDescent="0.25">
      <c r="C218" s="13"/>
      <c r="D218" s="13"/>
    </row>
    <row r="219" spans="3:4" x14ac:dyDescent="0.25">
      <c r="C219" s="13"/>
      <c r="D219" s="13"/>
    </row>
    <row r="220" spans="3:4" x14ac:dyDescent="0.25">
      <c r="C220" s="13"/>
      <c r="D220" s="13"/>
    </row>
    <row r="221" spans="3:4" x14ac:dyDescent="0.25">
      <c r="C221" s="13"/>
      <c r="D221" s="13"/>
    </row>
    <row r="222" spans="3:4" x14ac:dyDescent="0.25">
      <c r="C222" s="13"/>
      <c r="D222" s="13"/>
    </row>
    <row r="223" spans="3:4" x14ac:dyDescent="0.25">
      <c r="C223" s="13"/>
      <c r="D223" s="13"/>
    </row>
    <row r="224" spans="3:4" x14ac:dyDescent="0.25">
      <c r="C224" s="13"/>
      <c r="D224" s="13"/>
    </row>
    <row r="225" spans="3:4" x14ac:dyDescent="0.25">
      <c r="C225" s="13"/>
      <c r="D225" s="13"/>
    </row>
    <row r="226" spans="3:4" x14ac:dyDescent="0.25">
      <c r="C226" s="13"/>
      <c r="D226" s="13"/>
    </row>
    <row r="227" spans="3:4" x14ac:dyDescent="0.25">
      <c r="C227" s="13"/>
      <c r="D227" s="13"/>
    </row>
    <row r="228" spans="3:4" x14ac:dyDescent="0.25">
      <c r="C228" s="13"/>
      <c r="D228" s="13"/>
    </row>
    <row r="229" spans="3:4" x14ac:dyDescent="0.25">
      <c r="C229" s="13"/>
      <c r="D229" s="13"/>
    </row>
    <row r="230" spans="3:4" x14ac:dyDescent="0.25">
      <c r="C230" s="13"/>
      <c r="D230" s="13"/>
    </row>
    <row r="231" spans="3:4" x14ac:dyDescent="0.25">
      <c r="C231" s="13"/>
      <c r="D231" s="13"/>
    </row>
    <row r="232" spans="3:4" x14ac:dyDescent="0.25">
      <c r="C232" s="13"/>
      <c r="D232" s="13"/>
    </row>
    <row r="233" spans="3:4" x14ac:dyDescent="0.25">
      <c r="C233" s="13"/>
      <c r="D233" s="13"/>
    </row>
    <row r="234" spans="3:4" x14ac:dyDescent="0.25">
      <c r="C234" s="13"/>
      <c r="D234" s="13"/>
    </row>
    <row r="235" spans="3:4" x14ac:dyDescent="0.25">
      <c r="C235" s="13"/>
      <c r="D235" s="13"/>
    </row>
    <row r="236" spans="3:4" x14ac:dyDescent="0.25">
      <c r="C236" s="13"/>
      <c r="D236" s="13"/>
    </row>
    <row r="237" spans="3:4" x14ac:dyDescent="0.25">
      <c r="C237" s="13"/>
      <c r="D237" s="13"/>
    </row>
    <row r="238" spans="3:4" x14ac:dyDescent="0.25">
      <c r="C238" s="13"/>
      <c r="D238" s="13"/>
    </row>
    <row r="239" spans="3:4" x14ac:dyDescent="0.25">
      <c r="C239" s="13"/>
      <c r="D239" s="13"/>
    </row>
    <row r="240" spans="3:4" x14ac:dyDescent="0.25">
      <c r="C240" s="13"/>
      <c r="D240" s="13"/>
    </row>
    <row r="241" spans="3:4" x14ac:dyDescent="0.25">
      <c r="C241" s="13"/>
      <c r="D241" s="13"/>
    </row>
    <row r="242" spans="3:4" x14ac:dyDescent="0.25">
      <c r="C242" s="13"/>
      <c r="D242" s="13"/>
    </row>
    <row r="243" spans="3:4" x14ac:dyDescent="0.25">
      <c r="C243" s="13"/>
      <c r="D243" s="13"/>
    </row>
    <row r="244" spans="3:4" x14ac:dyDescent="0.25">
      <c r="C244" s="13"/>
      <c r="D244" s="13"/>
    </row>
    <row r="245" spans="3:4" x14ac:dyDescent="0.25">
      <c r="C245" s="13"/>
      <c r="D245" s="13"/>
    </row>
    <row r="246" spans="3:4" x14ac:dyDescent="0.25">
      <c r="C246" s="13"/>
      <c r="D246" s="13"/>
    </row>
    <row r="247" spans="3:4" x14ac:dyDescent="0.25">
      <c r="C247" s="13"/>
      <c r="D247" s="13"/>
    </row>
    <row r="248" spans="3:4" x14ac:dyDescent="0.25">
      <c r="C248" s="13"/>
      <c r="D248" s="13"/>
    </row>
    <row r="249" spans="3:4" x14ac:dyDescent="0.25">
      <c r="C249" s="13"/>
      <c r="D249" s="13"/>
    </row>
    <row r="250" spans="3:4" x14ac:dyDescent="0.25">
      <c r="C250" s="13"/>
      <c r="D250" s="13"/>
    </row>
    <row r="251" spans="3:4" x14ac:dyDescent="0.25">
      <c r="C251" s="13"/>
      <c r="D251" s="13"/>
    </row>
    <row r="252" spans="3:4" x14ac:dyDescent="0.25">
      <c r="C252" s="13"/>
      <c r="D252" s="13"/>
    </row>
    <row r="253" spans="3:4" x14ac:dyDescent="0.25">
      <c r="C253" s="13"/>
      <c r="D253" s="13"/>
    </row>
    <row r="254" spans="3:4" x14ac:dyDescent="0.25">
      <c r="C254" s="13"/>
      <c r="D254" s="13"/>
    </row>
    <row r="255" spans="3:4" x14ac:dyDescent="0.25">
      <c r="C255" s="13"/>
      <c r="D255" s="13"/>
    </row>
    <row r="256" spans="3:4" x14ac:dyDescent="0.25">
      <c r="C256" s="13"/>
      <c r="D256" s="13"/>
    </row>
    <row r="257" spans="3:4" x14ac:dyDescent="0.25">
      <c r="C257" s="13"/>
      <c r="D257" s="13"/>
    </row>
    <row r="258" spans="3:4" x14ac:dyDescent="0.25">
      <c r="C258" s="13"/>
      <c r="D258" s="13"/>
    </row>
    <row r="259" spans="3:4" x14ac:dyDescent="0.25">
      <c r="C259" s="13"/>
      <c r="D259" s="13"/>
    </row>
    <row r="260" spans="3:4" x14ac:dyDescent="0.25">
      <c r="C260" s="13"/>
      <c r="D260" s="13"/>
    </row>
    <row r="261" spans="3:4" x14ac:dyDescent="0.25">
      <c r="C261" s="13"/>
      <c r="D261" s="13"/>
    </row>
    <row r="262" spans="3:4" x14ac:dyDescent="0.25">
      <c r="C262" s="13"/>
      <c r="D262" s="13"/>
    </row>
    <row r="263" spans="3:4" x14ac:dyDescent="0.25">
      <c r="C263" s="13"/>
      <c r="D263" s="13"/>
    </row>
    <row r="264" spans="3:4" x14ac:dyDescent="0.25">
      <c r="C264" s="13"/>
      <c r="D264" s="13"/>
    </row>
    <row r="265" spans="3:4" x14ac:dyDescent="0.25">
      <c r="C265" s="13"/>
      <c r="D265" s="13"/>
    </row>
    <row r="266" spans="3:4" x14ac:dyDescent="0.25">
      <c r="C266" s="13"/>
      <c r="D266" s="13"/>
    </row>
    <row r="267" spans="3:4" x14ac:dyDescent="0.25">
      <c r="C267" s="13"/>
      <c r="D267" s="13"/>
    </row>
    <row r="268" spans="3:4" x14ac:dyDescent="0.25">
      <c r="C268" s="13"/>
      <c r="D268" s="13"/>
    </row>
    <row r="269" spans="3:4" x14ac:dyDescent="0.25">
      <c r="C269" s="13"/>
      <c r="D269" s="13"/>
    </row>
    <row r="270" spans="3:4" x14ac:dyDescent="0.25">
      <c r="C270" s="13"/>
      <c r="D270" s="13"/>
    </row>
    <row r="271" spans="3:4" x14ac:dyDescent="0.25">
      <c r="C271" s="13"/>
      <c r="D271" s="13"/>
    </row>
    <row r="272" spans="3:4" x14ac:dyDescent="0.25">
      <c r="C272" s="13"/>
      <c r="D272" s="13"/>
    </row>
    <row r="273" spans="3:4" x14ac:dyDescent="0.25">
      <c r="C273" s="13"/>
      <c r="D273" s="13"/>
    </row>
    <row r="274" spans="3:4" x14ac:dyDescent="0.25">
      <c r="C274" s="13"/>
      <c r="D274" s="13"/>
    </row>
    <row r="275" spans="3:4" x14ac:dyDescent="0.25">
      <c r="C275" s="13"/>
      <c r="D275" s="13"/>
    </row>
    <row r="276" spans="3:4" x14ac:dyDescent="0.25">
      <c r="C276" s="13"/>
      <c r="D276" s="13"/>
    </row>
    <row r="277" spans="3:4" x14ac:dyDescent="0.25">
      <c r="C277" s="13"/>
      <c r="D277" s="13"/>
    </row>
    <row r="278" spans="3:4" x14ac:dyDescent="0.25">
      <c r="C278" s="13"/>
      <c r="D278" s="13"/>
    </row>
    <row r="279" spans="3:4" x14ac:dyDescent="0.25">
      <c r="C279" s="13"/>
      <c r="D279" s="13"/>
    </row>
    <row r="280" spans="3:4" x14ac:dyDescent="0.25">
      <c r="C280" s="13"/>
      <c r="D280" s="13"/>
    </row>
    <row r="281" spans="3:4" x14ac:dyDescent="0.25">
      <c r="C281" s="13"/>
      <c r="D281" s="13"/>
    </row>
    <row r="282" spans="3:4" x14ac:dyDescent="0.25">
      <c r="C282" s="13"/>
      <c r="D282" s="13"/>
    </row>
    <row r="283" spans="3:4" x14ac:dyDescent="0.25">
      <c r="C283" s="13"/>
      <c r="D283" s="13"/>
    </row>
    <row r="284" spans="3:4" x14ac:dyDescent="0.25">
      <c r="C284" s="13"/>
      <c r="D284" s="13"/>
    </row>
    <row r="285" spans="3:4" x14ac:dyDescent="0.25">
      <c r="C285" s="13"/>
      <c r="D285" s="13"/>
    </row>
    <row r="286" spans="3:4" x14ac:dyDescent="0.25">
      <c r="C286" s="13"/>
      <c r="D286" s="13"/>
    </row>
    <row r="287" spans="3:4" x14ac:dyDescent="0.25">
      <c r="C287" s="13"/>
      <c r="D287" s="13"/>
    </row>
    <row r="288" spans="3:4" x14ac:dyDescent="0.25">
      <c r="C288" s="13"/>
      <c r="D288" s="13"/>
    </row>
    <row r="289" spans="3:4" x14ac:dyDescent="0.25">
      <c r="C289" s="13"/>
      <c r="D289" s="13"/>
    </row>
    <row r="290" spans="3:4" x14ac:dyDescent="0.25">
      <c r="C290" s="13"/>
      <c r="D290" s="13"/>
    </row>
    <row r="291" spans="3:4" x14ac:dyDescent="0.25">
      <c r="C291" s="13"/>
      <c r="D291" s="13"/>
    </row>
    <row r="292" spans="3:4" x14ac:dyDescent="0.25">
      <c r="C292" s="13"/>
      <c r="D292" s="13"/>
    </row>
    <row r="293" spans="3:4" x14ac:dyDescent="0.25">
      <c r="C293" s="13"/>
      <c r="D293" s="13"/>
    </row>
    <row r="294" spans="3:4" x14ac:dyDescent="0.25">
      <c r="C294" s="13"/>
      <c r="D294" s="13"/>
    </row>
    <row r="295" spans="3:4" x14ac:dyDescent="0.25">
      <c r="C295" s="13"/>
      <c r="D295" s="13"/>
    </row>
    <row r="296" spans="3:4" x14ac:dyDescent="0.25">
      <c r="C296" s="13"/>
      <c r="D296" s="13"/>
    </row>
    <row r="297" spans="3:4" x14ac:dyDescent="0.25">
      <c r="C297" s="13"/>
      <c r="D297" s="13"/>
    </row>
    <row r="298" spans="3:4" x14ac:dyDescent="0.25">
      <c r="C298" s="13"/>
      <c r="D298" s="13"/>
    </row>
    <row r="299" spans="3:4" x14ac:dyDescent="0.25">
      <c r="C299" s="13"/>
      <c r="D299" s="13"/>
    </row>
    <row r="300" spans="3:4" x14ac:dyDescent="0.25">
      <c r="C300" s="13"/>
      <c r="D300" s="13"/>
    </row>
    <row r="301" spans="3:4" x14ac:dyDescent="0.25">
      <c r="C301" s="13"/>
      <c r="D301" s="13"/>
    </row>
    <row r="302" spans="3:4" x14ac:dyDescent="0.25">
      <c r="C302" s="13"/>
      <c r="D302" s="13"/>
    </row>
    <row r="303" spans="3:4" x14ac:dyDescent="0.25">
      <c r="C303" s="13"/>
      <c r="D303" s="13"/>
    </row>
    <row r="304" spans="3:4" x14ac:dyDescent="0.25">
      <c r="C304" s="13"/>
      <c r="D304" s="13"/>
    </row>
    <row r="305" spans="3:4" x14ac:dyDescent="0.25">
      <c r="C305" s="13"/>
      <c r="D305" s="13"/>
    </row>
    <row r="306" spans="3:4" x14ac:dyDescent="0.25">
      <c r="C306" s="13"/>
      <c r="D306" s="13"/>
    </row>
    <row r="307" spans="3:4" x14ac:dyDescent="0.25">
      <c r="C307" s="13"/>
      <c r="D307" s="13"/>
    </row>
    <row r="308" spans="3:4" x14ac:dyDescent="0.25">
      <c r="C308" s="13"/>
      <c r="D308" s="13"/>
    </row>
    <row r="309" spans="3:4" x14ac:dyDescent="0.25">
      <c r="C309" s="13"/>
      <c r="D309" s="13"/>
    </row>
    <row r="310" spans="3:4" x14ac:dyDescent="0.25">
      <c r="C310" s="13"/>
      <c r="D310" s="13"/>
    </row>
    <row r="311" spans="3:4" x14ac:dyDescent="0.25">
      <c r="C311" s="13"/>
      <c r="D311" s="13"/>
    </row>
    <row r="312" spans="3:4" x14ac:dyDescent="0.25">
      <c r="C312" s="13"/>
      <c r="D312" s="13"/>
    </row>
    <row r="313" spans="3:4" x14ac:dyDescent="0.25">
      <c r="C313" s="13"/>
      <c r="D313" s="13"/>
    </row>
    <row r="314" spans="3:4" x14ac:dyDescent="0.25">
      <c r="C314" s="13"/>
      <c r="D314" s="13"/>
    </row>
    <row r="315" spans="3:4" x14ac:dyDescent="0.25">
      <c r="C315" s="13"/>
      <c r="D315" s="13"/>
    </row>
    <row r="316" spans="3:4" x14ac:dyDescent="0.25">
      <c r="C316" s="13"/>
      <c r="D316" s="13"/>
    </row>
    <row r="317" spans="3:4" x14ac:dyDescent="0.25">
      <c r="C317" s="13"/>
      <c r="D317" s="13"/>
    </row>
    <row r="318" spans="3:4" x14ac:dyDescent="0.25">
      <c r="C318" s="13"/>
      <c r="D318" s="13"/>
    </row>
    <row r="319" spans="3:4" x14ac:dyDescent="0.25">
      <c r="C319" s="13"/>
      <c r="D319" s="13"/>
    </row>
    <row r="320" spans="3:4" x14ac:dyDescent="0.25">
      <c r="C320" s="13"/>
      <c r="D320" s="13"/>
    </row>
    <row r="321" spans="3:4" x14ac:dyDescent="0.25">
      <c r="C321" s="13"/>
      <c r="D321" s="13"/>
    </row>
    <row r="322" spans="3:4" x14ac:dyDescent="0.25">
      <c r="C322" s="13"/>
      <c r="D322" s="13"/>
    </row>
    <row r="323" spans="3:4" x14ac:dyDescent="0.25">
      <c r="C323" s="13"/>
      <c r="D323" s="13"/>
    </row>
    <row r="324" spans="3:4" x14ac:dyDescent="0.25">
      <c r="C324" s="13"/>
      <c r="D324" s="13"/>
    </row>
    <row r="325" spans="3:4" x14ac:dyDescent="0.25">
      <c r="C325" s="13"/>
      <c r="D325" s="13"/>
    </row>
    <row r="326" spans="3:4" x14ac:dyDescent="0.25">
      <c r="C326" s="13"/>
      <c r="D326" s="13"/>
    </row>
    <row r="327" spans="3:4" x14ac:dyDescent="0.25">
      <c r="C327" s="13"/>
      <c r="D327" s="13"/>
    </row>
    <row r="328" spans="3:4" x14ac:dyDescent="0.25">
      <c r="C328" s="13"/>
      <c r="D328" s="13"/>
    </row>
    <row r="329" spans="3:4" x14ac:dyDescent="0.25">
      <c r="C329" s="13"/>
      <c r="D329" s="13"/>
    </row>
    <row r="330" spans="3:4" x14ac:dyDescent="0.25">
      <c r="C330" s="13"/>
      <c r="D330" s="13"/>
    </row>
    <row r="331" spans="3:4" x14ac:dyDescent="0.25">
      <c r="C331" s="13"/>
      <c r="D331" s="13"/>
    </row>
    <row r="332" spans="3:4" x14ac:dyDescent="0.25">
      <c r="C332" s="13"/>
      <c r="D332" s="13"/>
    </row>
    <row r="333" spans="3:4" x14ac:dyDescent="0.25">
      <c r="C333" s="13"/>
      <c r="D333" s="13"/>
    </row>
    <row r="334" spans="3:4" x14ac:dyDescent="0.25">
      <c r="C334" s="13"/>
      <c r="D334" s="13"/>
    </row>
    <row r="335" spans="3:4" x14ac:dyDescent="0.25">
      <c r="C335" s="13"/>
      <c r="D335" s="13"/>
    </row>
    <row r="336" spans="3:4" x14ac:dyDescent="0.25">
      <c r="C336" s="13"/>
      <c r="D336" s="13"/>
    </row>
    <row r="337" spans="3:4" x14ac:dyDescent="0.25">
      <c r="C337" s="13"/>
      <c r="D337" s="13"/>
    </row>
    <row r="338" spans="3:4" x14ac:dyDescent="0.25">
      <c r="C338" s="13"/>
      <c r="D338" s="13"/>
    </row>
    <row r="339" spans="3:4" x14ac:dyDescent="0.25">
      <c r="C339" s="13"/>
      <c r="D339" s="13"/>
    </row>
    <row r="340" spans="3:4" x14ac:dyDescent="0.25">
      <c r="C340" s="13"/>
      <c r="D340" s="13"/>
    </row>
    <row r="341" spans="3:4" x14ac:dyDescent="0.25">
      <c r="C341" s="13"/>
      <c r="D341" s="13"/>
    </row>
    <row r="342" spans="3:4" x14ac:dyDescent="0.25">
      <c r="C342" s="13"/>
      <c r="D342" s="13"/>
    </row>
    <row r="343" spans="3:4" x14ac:dyDescent="0.25">
      <c r="C343" s="13"/>
      <c r="D343" s="13"/>
    </row>
    <row r="344" spans="3:4" x14ac:dyDescent="0.25">
      <c r="C344" s="13"/>
      <c r="D344" s="13"/>
    </row>
    <row r="345" spans="3:4" x14ac:dyDescent="0.25">
      <c r="C345" s="13"/>
      <c r="D345" s="13"/>
    </row>
    <row r="346" spans="3:4" x14ac:dyDescent="0.25">
      <c r="C346" s="13"/>
      <c r="D346" s="13"/>
    </row>
    <row r="347" spans="3:4" x14ac:dyDescent="0.25">
      <c r="C347" s="13"/>
      <c r="D347" s="13"/>
    </row>
    <row r="348" spans="3:4" x14ac:dyDescent="0.25">
      <c r="C348" s="13"/>
      <c r="D348" s="13"/>
    </row>
    <row r="349" spans="3:4" x14ac:dyDescent="0.25">
      <c r="C349" s="13"/>
      <c r="D349" s="13"/>
    </row>
    <row r="350" spans="3:4" x14ac:dyDescent="0.25">
      <c r="C350" s="13"/>
      <c r="D350" s="13"/>
    </row>
    <row r="351" spans="3:4" x14ac:dyDescent="0.25">
      <c r="C351" s="13"/>
      <c r="D351" s="13"/>
    </row>
    <row r="352" spans="3:4" x14ac:dyDescent="0.25">
      <c r="C352" s="13"/>
      <c r="D352" s="13"/>
    </row>
    <row r="353" spans="3:4" x14ac:dyDescent="0.25">
      <c r="C353" s="13"/>
      <c r="D353" s="13"/>
    </row>
    <row r="354" spans="3:4" x14ac:dyDescent="0.25">
      <c r="C354" s="13"/>
      <c r="D354" s="13"/>
    </row>
    <row r="355" spans="3:4" x14ac:dyDescent="0.25">
      <c r="C355" s="13"/>
      <c r="D355" s="13"/>
    </row>
    <row r="356" spans="3:4" x14ac:dyDescent="0.25">
      <c r="C356" s="13"/>
      <c r="D356" s="13"/>
    </row>
    <row r="357" spans="3:4" x14ac:dyDescent="0.25">
      <c r="C357" s="13"/>
      <c r="D357" s="13"/>
    </row>
    <row r="358" spans="3:4" x14ac:dyDescent="0.25">
      <c r="C358" s="13"/>
      <c r="D358" s="13"/>
    </row>
    <row r="359" spans="3:4" x14ac:dyDescent="0.25">
      <c r="C359" s="13"/>
      <c r="D359" s="13"/>
    </row>
    <row r="360" spans="3:4" x14ac:dyDescent="0.25">
      <c r="C360" s="13"/>
      <c r="D360" s="13"/>
    </row>
    <row r="361" spans="3:4" x14ac:dyDescent="0.25">
      <c r="C361" s="13"/>
      <c r="D361" s="13"/>
    </row>
    <row r="362" spans="3:4" x14ac:dyDescent="0.25">
      <c r="C362" s="13"/>
      <c r="D362" s="13"/>
    </row>
    <row r="363" spans="3:4" x14ac:dyDescent="0.25">
      <c r="C363" s="13"/>
      <c r="D363" s="13"/>
    </row>
    <row r="364" spans="3:4" x14ac:dyDescent="0.25">
      <c r="C364" s="13"/>
      <c r="D364" s="13"/>
    </row>
    <row r="365" spans="3:4" x14ac:dyDescent="0.25">
      <c r="C365" s="13"/>
      <c r="D365" s="13"/>
    </row>
    <row r="366" spans="3:4" x14ac:dyDescent="0.25">
      <c r="C366" s="13"/>
      <c r="D366" s="13"/>
    </row>
    <row r="367" spans="3:4" x14ac:dyDescent="0.25">
      <c r="C367" s="13"/>
      <c r="D367" s="13"/>
    </row>
    <row r="368" spans="3:4" x14ac:dyDescent="0.25">
      <c r="C368" s="13"/>
      <c r="D368" s="13"/>
    </row>
    <row r="369" spans="3:4" x14ac:dyDescent="0.25">
      <c r="C369" s="13"/>
      <c r="D369" s="13"/>
    </row>
    <row r="370" spans="3:4" x14ac:dyDescent="0.25">
      <c r="C370" s="13"/>
      <c r="D370" s="13"/>
    </row>
    <row r="371" spans="3:4" x14ac:dyDescent="0.25">
      <c r="C371" s="13"/>
      <c r="D371" s="13"/>
    </row>
    <row r="372" spans="3:4" x14ac:dyDescent="0.25">
      <c r="C372" s="13"/>
      <c r="D372" s="13"/>
    </row>
    <row r="373" spans="3:4" x14ac:dyDescent="0.25">
      <c r="C373" s="13"/>
      <c r="D373" s="13"/>
    </row>
    <row r="374" spans="3:4" x14ac:dyDescent="0.25">
      <c r="C374" s="13"/>
      <c r="D374" s="13"/>
    </row>
    <row r="375" spans="3:4" x14ac:dyDescent="0.25">
      <c r="C375" s="13"/>
      <c r="D375" s="13"/>
    </row>
    <row r="376" spans="3:4" x14ac:dyDescent="0.25">
      <c r="C376" s="13"/>
      <c r="D376" s="13"/>
    </row>
    <row r="377" spans="3:4" x14ac:dyDescent="0.25">
      <c r="C377" s="13"/>
      <c r="D377" s="13"/>
    </row>
    <row r="378" spans="3:4" x14ac:dyDescent="0.25">
      <c r="C378" s="13"/>
      <c r="D378" s="13"/>
    </row>
    <row r="379" spans="3:4" x14ac:dyDescent="0.25">
      <c r="C379" s="13"/>
      <c r="D379" s="13"/>
    </row>
    <row r="380" spans="3:4" x14ac:dyDescent="0.25">
      <c r="C380" s="13"/>
      <c r="D380" s="13"/>
    </row>
    <row r="381" spans="3:4" x14ac:dyDescent="0.25">
      <c r="C381" s="13"/>
      <c r="D381" s="13"/>
    </row>
    <row r="382" spans="3:4" x14ac:dyDescent="0.25">
      <c r="C382" s="13"/>
      <c r="D382" s="13"/>
    </row>
    <row r="383" spans="3:4" x14ac:dyDescent="0.25">
      <c r="C383" s="13"/>
      <c r="D383" s="13"/>
    </row>
    <row r="384" spans="3:4" x14ac:dyDescent="0.25">
      <c r="C384" s="13"/>
      <c r="D384" s="13"/>
    </row>
    <row r="385" spans="3:4" x14ac:dyDescent="0.25">
      <c r="C385" s="13"/>
      <c r="D385" s="13"/>
    </row>
    <row r="386" spans="3:4" x14ac:dyDescent="0.25">
      <c r="C386" s="13"/>
      <c r="D386" s="13"/>
    </row>
    <row r="387" spans="3:4" x14ac:dyDescent="0.25">
      <c r="C387" s="13"/>
      <c r="D387" s="13"/>
    </row>
    <row r="388" spans="3:4" x14ac:dyDescent="0.25">
      <c r="C388" s="13"/>
      <c r="D388" s="13"/>
    </row>
    <row r="389" spans="3:4" x14ac:dyDescent="0.25">
      <c r="C389" s="13"/>
      <c r="D389" s="13"/>
    </row>
    <row r="390" spans="3:4" x14ac:dyDescent="0.25">
      <c r="C390" s="13"/>
      <c r="D390" s="13"/>
    </row>
    <row r="391" spans="3:4" x14ac:dyDescent="0.25">
      <c r="C391" s="13"/>
      <c r="D391" s="13"/>
    </row>
    <row r="392" spans="3:4" x14ac:dyDescent="0.25">
      <c r="C392" s="13"/>
      <c r="D392" s="13"/>
    </row>
    <row r="393" spans="3:4" x14ac:dyDescent="0.25">
      <c r="C393" s="13"/>
      <c r="D393" s="13"/>
    </row>
    <row r="394" spans="3:4" x14ac:dyDescent="0.25">
      <c r="C394" s="13"/>
      <c r="D394" s="13"/>
    </row>
    <row r="395" spans="3:4" x14ac:dyDescent="0.25">
      <c r="C395" s="13"/>
      <c r="D395" s="13"/>
    </row>
    <row r="396" spans="3:4" x14ac:dyDescent="0.25">
      <c r="C396" s="13"/>
      <c r="D396" s="13"/>
    </row>
    <row r="397" spans="3:4" x14ac:dyDescent="0.25">
      <c r="C397" s="13"/>
      <c r="D397" s="13"/>
    </row>
    <row r="398" spans="3:4" x14ac:dyDescent="0.25">
      <c r="C398" s="13"/>
      <c r="D398" s="13"/>
    </row>
    <row r="399" spans="3:4" x14ac:dyDescent="0.25">
      <c r="C399" s="13"/>
      <c r="D399" s="13"/>
    </row>
    <row r="400" spans="3:4" x14ac:dyDescent="0.25">
      <c r="C400" s="13"/>
      <c r="D400" s="13"/>
    </row>
    <row r="401" spans="3:4" x14ac:dyDescent="0.25">
      <c r="C401" s="13"/>
      <c r="D401" s="13"/>
    </row>
    <row r="402" spans="3:4" x14ac:dyDescent="0.25">
      <c r="C402" s="13"/>
      <c r="D402" s="13"/>
    </row>
    <row r="403" spans="3:4" x14ac:dyDescent="0.25">
      <c r="C403" s="13"/>
      <c r="D403" s="13"/>
    </row>
    <row r="404" spans="3:4" x14ac:dyDescent="0.25">
      <c r="C404" s="13"/>
      <c r="D404" s="13"/>
    </row>
    <row r="405" spans="3:4" x14ac:dyDescent="0.25">
      <c r="C405" s="13"/>
      <c r="D405" s="13"/>
    </row>
    <row r="406" spans="3:4" x14ac:dyDescent="0.25">
      <c r="C406" s="13"/>
      <c r="D406" s="13"/>
    </row>
    <row r="407" spans="3:4" x14ac:dyDescent="0.25">
      <c r="C407" s="13"/>
      <c r="D407" s="13"/>
    </row>
    <row r="408" spans="3:4" x14ac:dyDescent="0.25">
      <c r="C408" s="13"/>
      <c r="D408" s="13"/>
    </row>
    <row r="409" spans="3:4" x14ac:dyDescent="0.25">
      <c r="C409" s="13"/>
      <c r="D409" s="13"/>
    </row>
    <row r="410" spans="3:4" x14ac:dyDescent="0.25">
      <c r="C410" s="13"/>
      <c r="D410" s="13"/>
    </row>
    <row r="411" spans="3:4" x14ac:dyDescent="0.25">
      <c r="C411" s="13"/>
      <c r="D411" s="13"/>
    </row>
    <row r="412" spans="3:4" x14ac:dyDescent="0.25">
      <c r="C412" s="13"/>
      <c r="D412" s="13"/>
    </row>
    <row r="413" spans="3:4" x14ac:dyDescent="0.25">
      <c r="C413" s="13"/>
      <c r="D413" s="13"/>
    </row>
    <row r="414" spans="3:4" x14ac:dyDescent="0.25">
      <c r="C414" s="13"/>
      <c r="D414" s="13"/>
    </row>
    <row r="415" spans="3:4" x14ac:dyDescent="0.25">
      <c r="C415" s="13"/>
      <c r="D415" s="13"/>
    </row>
    <row r="416" spans="3:4" x14ac:dyDescent="0.25">
      <c r="C416" s="13"/>
      <c r="D416" s="13"/>
    </row>
    <row r="417" spans="3:4" x14ac:dyDescent="0.25">
      <c r="C417" s="13"/>
      <c r="D417" s="13"/>
    </row>
    <row r="418" spans="3:4" x14ac:dyDescent="0.25">
      <c r="C418" s="13"/>
      <c r="D418" s="13"/>
    </row>
    <row r="419" spans="3:4" x14ac:dyDescent="0.25">
      <c r="C419" s="13"/>
      <c r="D419" s="13"/>
    </row>
    <row r="420" spans="3:4" x14ac:dyDescent="0.25">
      <c r="C420" s="13"/>
      <c r="D420" s="13"/>
    </row>
    <row r="421" spans="3:4" x14ac:dyDescent="0.25">
      <c r="C421" s="13"/>
      <c r="D421" s="13"/>
    </row>
    <row r="422" spans="3:4" x14ac:dyDescent="0.25">
      <c r="C422" s="13"/>
      <c r="D422" s="13"/>
    </row>
    <row r="423" spans="3:4" x14ac:dyDescent="0.25">
      <c r="C423" s="13"/>
      <c r="D423" s="13"/>
    </row>
    <row r="424" spans="3:4" x14ac:dyDescent="0.25">
      <c r="C424" s="13"/>
      <c r="D424" s="13"/>
    </row>
    <row r="425" spans="3:4" x14ac:dyDescent="0.25">
      <c r="C425" s="13"/>
      <c r="D425" s="13"/>
    </row>
    <row r="426" spans="3:4" x14ac:dyDescent="0.25">
      <c r="C426" s="13"/>
      <c r="D426" s="13"/>
    </row>
    <row r="427" spans="3:4" x14ac:dyDescent="0.25">
      <c r="C427" s="13"/>
      <c r="D427" s="13"/>
    </row>
    <row r="428" spans="3:4" x14ac:dyDescent="0.25">
      <c r="C428" s="13"/>
      <c r="D428" s="13"/>
    </row>
    <row r="429" spans="3:4" x14ac:dyDescent="0.25">
      <c r="C429" s="13"/>
      <c r="D429" s="13"/>
    </row>
    <row r="430" spans="3:4" x14ac:dyDescent="0.25">
      <c r="C430" s="13"/>
      <c r="D430" s="13"/>
    </row>
    <row r="431" spans="3:4" x14ac:dyDescent="0.25">
      <c r="C431" s="13"/>
      <c r="D431" s="13"/>
    </row>
    <row r="432" spans="3:4" x14ac:dyDescent="0.25">
      <c r="C432" s="13"/>
      <c r="D432" s="13"/>
    </row>
    <row r="433" spans="3:4" x14ac:dyDescent="0.25">
      <c r="C433" s="13"/>
      <c r="D433" s="13"/>
    </row>
    <row r="434" spans="3:4" x14ac:dyDescent="0.25">
      <c r="C434" s="13"/>
      <c r="D434" s="13"/>
    </row>
    <row r="435" spans="3:4" x14ac:dyDescent="0.25">
      <c r="C435" s="13"/>
      <c r="D435" s="13"/>
    </row>
    <row r="436" spans="3:4" x14ac:dyDescent="0.25">
      <c r="C436" s="13"/>
      <c r="D436" s="13"/>
    </row>
    <row r="437" spans="3:4" x14ac:dyDescent="0.25">
      <c r="C437" s="13"/>
      <c r="D437" s="13"/>
    </row>
    <row r="438" spans="3:4" x14ac:dyDescent="0.25">
      <c r="C438" s="13"/>
      <c r="D438" s="13"/>
    </row>
    <row r="439" spans="3:4" x14ac:dyDescent="0.25">
      <c r="C439" s="13"/>
      <c r="D439" s="13"/>
    </row>
    <row r="440" spans="3:4" x14ac:dyDescent="0.25">
      <c r="C440" s="13"/>
      <c r="D440" s="13"/>
    </row>
    <row r="441" spans="3:4" x14ac:dyDescent="0.25">
      <c r="C441" s="13"/>
      <c r="D441" s="13"/>
    </row>
    <row r="442" spans="3:4" x14ac:dyDescent="0.25">
      <c r="C442" s="13"/>
      <c r="D442" s="13"/>
    </row>
    <row r="443" spans="3:4" x14ac:dyDescent="0.25">
      <c r="C443" s="13"/>
      <c r="D443" s="13"/>
    </row>
    <row r="444" spans="3:4" x14ac:dyDescent="0.25">
      <c r="C444" s="13"/>
      <c r="D444" s="13"/>
    </row>
    <row r="445" spans="3:4" x14ac:dyDescent="0.25">
      <c r="C445" s="13"/>
      <c r="D445" s="13"/>
    </row>
    <row r="446" spans="3:4" x14ac:dyDescent="0.25">
      <c r="C446" s="13"/>
      <c r="D446" s="13"/>
    </row>
    <row r="447" spans="3:4" x14ac:dyDescent="0.25">
      <c r="C447" s="13"/>
      <c r="D447" s="13"/>
    </row>
    <row r="448" spans="3:4" x14ac:dyDescent="0.25">
      <c r="C448" s="13"/>
      <c r="D448" s="13"/>
    </row>
    <row r="449" spans="3:4" x14ac:dyDescent="0.25">
      <c r="C449" s="13"/>
      <c r="D449" s="13"/>
    </row>
    <row r="450" spans="3:4" x14ac:dyDescent="0.25">
      <c r="C450" s="13"/>
      <c r="D450" s="13"/>
    </row>
    <row r="451" spans="3:4" x14ac:dyDescent="0.25">
      <c r="C451" s="13"/>
      <c r="D451" s="13"/>
    </row>
    <row r="452" spans="3:4" x14ac:dyDescent="0.25">
      <c r="C452" s="13"/>
      <c r="D452" s="13"/>
    </row>
    <row r="453" spans="3:4" x14ac:dyDescent="0.25">
      <c r="C453" s="13"/>
      <c r="D453" s="13"/>
    </row>
    <row r="454" spans="3:4" x14ac:dyDescent="0.25">
      <c r="C454" s="13"/>
      <c r="D454" s="13"/>
    </row>
    <row r="455" spans="3:4" x14ac:dyDescent="0.25">
      <c r="C455" s="13"/>
      <c r="D455" s="13"/>
    </row>
    <row r="456" spans="3:4" x14ac:dyDescent="0.25">
      <c r="C456" s="13"/>
      <c r="D456" s="13"/>
    </row>
    <row r="457" spans="3:4" x14ac:dyDescent="0.25">
      <c r="C457" s="13"/>
      <c r="D457" s="13"/>
    </row>
    <row r="458" spans="3:4" x14ac:dyDescent="0.25">
      <c r="C458" s="13"/>
      <c r="D458" s="13"/>
    </row>
    <row r="459" spans="3:4" x14ac:dyDescent="0.25">
      <c r="C459" s="13"/>
      <c r="D459" s="13"/>
    </row>
    <row r="460" spans="3:4" x14ac:dyDescent="0.25">
      <c r="C460" s="13"/>
      <c r="D460" s="13"/>
    </row>
    <row r="461" spans="3:4" x14ac:dyDescent="0.25">
      <c r="C461" s="13"/>
      <c r="D461" s="13"/>
    </row>
    <row r="462" spans="3:4" x14ac:dyDescent="0.25">
      <c r="C462" s="13"/>
      <c r="D462" s="13"/>
    </row>
    <row r="463" spans="3:4" x14ac:dyDescent="0.25">
      <c r="C463" s="13"/>
      <c r="D463" s="13"/>
    </row>
    <row r="464" spans="3:4" x14ac:dyDescent="0.25">
      <c r="C464" s="13"/>
      <c r="D464" s="13"/>
    </row>
    <row r="465" spans="3:4" x14ac:dyDescent="0.25">
      <c r="C465" s="13"/>
      <c r="D465" s="13"/>
    </row>
    <row r="466" spans="3:4" x14ac:dyDescent="0.25">
      <c r="C466" s="13"/>
      <c r="D466" s="13"/>
    </row>
    <row r="467" spans="3:4" x14ac:dyDescent="0.25">
      <c r="C467" s="13"/>
      <c r="D467" s="13"/>
    </row>
    <row r="468" spans="3:4" x14ac:dyDescent="0.25">
      <c r="C468" s="13"/>
      <c r="D468" s="13"/>
    </row>
    <row r="469" spans="3:4" x14ac:dyDescent="0.25">
      <c r="C469" s="13"/>
      <c r="D469" s="13"/>
    </row>
    <row r="470" spans="3:4" x14ac:dyDescent="0.25">
      <c r="C470" s="13"/>
      <c r="D470" s="13"/>
    </row>
    <row r="471" spans="3:4" x14ac:dyDescent="0.25">
      <c r="C471" s="13"/>
      <c r="D471" s="13"/>
    </row>
    <row r="472" spans="3:4" x14ac:dyDescent="0.25">
      <c r="C472" s="13"/>
      <c r="D472" s="13"/>
    </row>
    <row r="473" spans="3:4" x14ac:dyDescent="0.25">
      <c r="C473" s="13"/>
      <c r="D473" s="13"/>
    </row>
    <row r="474" spans="3:4" x14ac:dyDescent="0.25">
      <c r="C474" s="13"/>
      <c r="D474" s="13"/>
    </row>
    <row r="475" spans="3:4" x14ac:dyDescent="0.25">
      <c r="C475" s="13"/>
      <c r="D475" s="13"/>
    </row>
    <row r="476" spans="3:4" x14ac:dyDescent="0.25">
      <c r="C476" s="13"/>
      <c r="D476" s="13"/>
    </row>
    <row r="477" spans="3:4" x14ac:dyDescent="0.25">
      <c r="C477" s="13"/>
      <c r="D477" s="13"/>
    </row>
    <row r="478" spans="3:4" x14ac:dyDescent="0.25">
      <c r="C478" s="13"/>
      <c r="D478" s="13"/>
    </row>
    <row r="479" spans="3:4" x14ac:dyDescent="0.25">
      <c r="C479" s="13"/>
      <c r="D479" s="13"/>
    </row>
    <row r="480" spans="3:4" x14ac:dyDescent="0.25">
      <c r="C480" s="13"/>
      <c r="D480" s="13"/>
    </row>
    <row r="481" spans="3:4" x14ac:dyDescent="0.25">
      <c r="C481" s="13"/>
      <c r="D481" s="13"/>
    </row>
    <row r="482" spans="3:4" x14ac:dyDescent="0.25">
      <c r="C482" s="13"/>
      <c r="D482" s="13"/>
    </row>
    <row r="483" spans="3:4" x14ac:dyDescent="0.25">
      <c r="C483" s="13"/>
      <c r="D483" s="13"/>
    </row>
    <row r="484" spans="3:4" x14ac:dyDescent="0.25">
      <c r="C484" s="13"/>
      <c r="D484" s="13"/>
    </row>
    <row r="485" spans="3:4" x14ac:dyDescent="0.25">
      <c r="C485" s="13"/>
      <c r="D485" s="13"/>
    </row>
    <row r="486" spans="3:4" x14ac:dyDescent="0.25">
      <c r="C486" s="13"/>
      <c r="D486" s="13"/>
    </row>
    <row r="487" spans="3:4" x14ac:dyDescent="0.25">
      <c r="C487" s="13"/>
      <c r="D487" s="13"/>
    </row>
    <row r="488" spans="3:4" x14ac:dyDescent="0.25">
      <c r="C488" s="13"/>
      <c r="D488" s="13"/>
    </row>
    <row r="489" spans="3:4" x14ac:dyDescent="0.25">
      <c r="C489" s="13"/>
      <c r="D489" s="13"/>
    </row>
    <row r="490" spans="3:4" x14ac:dyDescent="0.25">
      <c r="C490" s="13"/>
      <c r="D490" s="13"/>
    </row>
    <row r="491" spans="3:4" x14ac:dyDescent="0.25">
      <c r="C491" s="13"/>
      <c r="D491" s="13"/>
    </row>
    <row r="492" spans="3:4" x14ac:dyDescent="0.25">
      <c r="C492" s="13"/>
      <c r="D492" s="13"/>
    </row>
    <row r="493" spans="3:4" x14ac:dyDescent="0.25">
      <c r="C493" s="13"/>
      <c r="D493" s="13"/>
    </row>
    <row r="494" spans="3:4" x14ac:dyDescent="0.25">
      <c r="C494" s="13"/>
      <c r="D494" s="13"/>
    </row>
    <row r="495" spans="3:4" x14ac:dyDescent="0.25">
      <c r="C495" s="13"/>
      <c r="D495" s="13"/>
    </row>
    <row r="496" spans="3:4" x14ac:dyDescent="0.25">
      <c r="C496" s="13"/>
      <c r="D496" s="13"/>
    </row>
    <row r="497" spans="3:4" x14ac:dyDescent="0.25">
      <c r="C497" s="13"/>
      <c r="D497" s="13"/>
    </row>
    <row r="498" spans="3:4" x14ac:dyDescent="0.25">
      <c r="C498" s="13"/>
      <c r="D498" s="13"/>
    </row>
    <row r="499" spans="3:4" x14ac:dyDescent="0.25">
      <c r="C499" s="13"/>
      <c r="D499" s="13"/>
    </row>
    <row r="500" spans="3:4" x14ac:dyDescent="0.25">
      <c r="C500" s="13"/>
      <c r="D500" s="13"/>
    </row>
    <row r="501" spans="3:4" x14ac:dyDescent="0.25">
      <c r="C501" s="13"/>
      <c r="D501" s="13"/>
    </row>
    <row r="502" spans="3:4" x14ac:dyDescent="0.25">
      <c r="C502" s="13"/>
      <c r="D502" s="13"/>
    </row>
    <row r="503" spans="3:4" x14ac:dyDescent="0.25">
      <c r="C503" s="13"/>
      <c r="D503" s="13"/>
    </row>
    <row r="504" spans="3:4" x14ac:dyDescent="0.25">
      <c r="C504" s="13"/>
      <c r="D504" s="13"/>
    </row>
    <row r="505" spans="3:4" x14ac:dyDescent="0.25">
      <c r="C505" s="13"/>
      <c r="D505" s="13"/>
    </row>
    <row r="506" spans="3:4" x14ac:dyDescent="0.25">
      <c r="C506" s="13"/>
      <c r="D506" s="13"/>
    </row>
    <row r="507" spans="3:4" x14ac:dyDescent="0.25">
      <c r="C507" s="13"/>
      <c r="D507" s="13"/>
    </row>
    <row r="508" spans="3:4" x14ac:dyDescent="0.25">
      <c r="C508" s="13"/>
      <c r="D508" s="13"/>
    </row>
    <row r="509" spans="3:4" x14ac:dyDescent="0.25">
      <c r="C509" s="13"/>
      <c r="D509" s="13"/>
    </row>
    <row r="510" spans="3:4" x14ac:dyDescent="0.25">
      <c r="C510" s="13"/>
      <c r="D510" s="13"/>
    </row>
    <row r="511" spans="3:4" x14ac:dyDescent="0.25">
      <c r="C511" s="13"/>
      <c r="D511" s="13"/>
    </row>
    <row r="512" spans="3:4" x14ac:dyDescent="0.25">
      <c r="C512" s="13"/>
      <c r="D512" s="13"/>
    </row>
    <row r="513" spans="3:4" x14ac:dyDescent="0.25">
      <c r="C513" s="13"/>
      <c r="D513" s="13"/>
    </row>
    <row r="514" spans="3:4" x14ac:dyDescent="0.25">
      <c r="C514" s="13"/>
      <c r="D514" s="13"/>
    </row>
    <row r="515" spans="3:4" x14ac:dyDescent="0.25">
      <c r="C515" s="13"/>
      <c r="D515" s="13"/>
    </row>
    <row r="516" spans="3:4" x14ac:dyDescent="0.25">
      <c r="C516" s="13"/>
      <c r="D516" s="13"/>
    </row>
    <row r="517" spans="3:4" x14ac:dyDescent="0.25">
      <c r="C517" s="13"/>
      <c r="D517" s="13"/>
    </row>
    <row r="518" spans="3:4" x14ac:dyDescent="0.25">
      <c r="C518" s="13"/>
      <c r="D518" s="13"/>
    </row>
    <row r="519" spans="3:4" x14ac:dyDescent="0.25">
      <c r="C519" s="13"/>
      <c r="D519" s="13"/>
    </row>
    <row r="520" spans="3:4" x14ac:dyDescent="0.25">
      <c r="C520" s="13"/>
      <c r="D520" s="13"/>
    </row>
    <row r="521" spans="3:4" x14ac:dyDescent="0.25">
      <c r="C521" s="13"/>
      <c r="D521" s="13"/>
    </row>
    <row r="522" spans="3:4" x14ac:dyDescent="0.25">
      <c r="C522" s="13"/>
      <c r="D522" s="13"/>
    </row>
    <row r="523" spans="3:4" x14ac:dyDescent="0.25">
      <c r="C523" s="13"/>
      <c r="D523" s="13"/>
    </row>
    <row r="524" spans="3:4" x14ac:dyDescent="0.25">
      <c r="C524" s="13"/>
      <c r="D524" s="13"/>
    </row>
    <row r="525" spans="3:4" x14ac:dyDescent="0.25">
      <c r="C525" s="13"/>
      <c r="D525" s="13"/>
    </row>
    <row r="526" spans="3:4" x14ac:dyDescent="0.25">
      <c r="C526" s="13"/>
      <c r="D526" s="13"/>
    </row>
    <row r="527" spans="3:4" x14ac:dyDescent="0.25">
      <c r="C527" s="13"/>
      <c r="D527" s="13"/>
    </row>
    <row r="528" spans="3:4" x14ac:dyDescent="0.25">
      <c r="C528" s="13"/>
      <c r="D528" s="13"/>
    </row>
    <row r="529" spans="3:4" x14ac:dyDescent="0.25">
      <c r="C529" s="13"/>
      <c r="D529" s="13"/>
    </row>
    <row r="530" spans="3:4" x14ac:dyDescent="0.25">
      <c r="C530" s="13"/>
      <c r="D530" s="13"/>
    </row>
    <row r="531" spans="3:4" x14ac:dyDescent="0.25">
      <c r="C531" s="13"/>
      <c r="D531" s="13"/>
    </row>
    <row r="532" spans="3:4" x14ac:dyDescent="0.25">
      <c r="C532" s="13"/>
      <c r="D532" s="13"/>
    </row>
    <row r="533" spans="3:4" x14ac:dyDescent="0.25">
      <c r="C533" s="13"/>
      <c r="D533" s="13"/>
    </row>
    <row r="534" spans="3:4" x14ac:dyDescent="0.25">
      <c r="C534" s="13"/>
      <c r="D534" s="13"/>
    </row>
    <row r="535" spans="3:4" x14ac:dyDescent="0.25">
      <c r="C535" s="13"/>
      <c r="D535" s="13"/>
    </row>
    <row r="536" spans="3:4" x14ac:dyDescent="0.25">
      <c r="C536" s="13"/>
      <c r="D536" s="13"/>
    </row>
    <row r="537" spans="3:4" x14ac:dyDescent="0.25">
      <c r="C537" s="13"/>
      <c r="D537" s="13"/>
    </row>
    <row r="538" spans="3:4" x14ac:dyDescent="0.25">
      <c r="C538" s="13"/>
      <c r="D538" s="13"/>
    </row>
    <row r="539" spans="3:4" x14ac:dyDescent="0.25">
      <c r="C539" s="13"/>
      <c r="D539" s="13"/>
    </row>
    <row r="540" spans="3:4" x14ac:dyDescent="0.25">
      <c r="C540" s="13"/>
      <c r="D540" s="13"/>
    </row>
    <row r="541" spans="3:4" x14ac:dyDescent="0.25">
      <c r="C541" s="13"/>
      <c r="D541" s="13"/>
    </row>
    <row r="542" spans="3:4" x14ac:dyDescent="0.25">
      <c r="C542" s="13"/>
      <c r="D542" s="13"/>
    </row>
    <row r="543" spans="3:4" x14ac:dyDescent="0.25">
      <c r="C543" s="13"/>
      <c r="D543" s="13"/>
    </row>
    <row r="544" spans="3:4" x14ac:dyDescent="0.25">
      <c r="C544" s="13"/>
      <c r="D544" s="13"/>
    </row>
    <row r="545" spans="3:4" x14ac:dyDescent="0.25">
      <c r="C545" s="13"/>
      <c r="D545" s="13"/>
    </row>
    <row r="546" spans="3:4" x14ac:dyDescent="0.25">
      <c r="C546" s="13"/>
      <c r="D546" s="13"/>
    </row>
    <row r="547" spans="3:4" x14ac:dyDescent="0.25">
      <c r="C547" s="13"/>
      <c r="D547" s="13"/>
    </row>
    <row r="548" spans="3:4" x14ac:dyDescent="0.25">
      <c r="C548" s="13"/>
      <c r="D548" s="13"/>
    </row>
    <row r="549" spans="3:4" x14ac:dyDescent="0.25">
      <c r="C549" s="13"/>
      <c r="D549" s="13"/>
    </row>
    <row r="550" spans="3:4" x14ac:dyDescent="0.25">
      <c r="C550" s="13"/>
      <c r="D550" s="13"/>
    </row>
    <row r="551" spans="3:4" x14ac:dyDescent="0.25">
      <c r="C551" s="13"/>
      <c r="D551" s="13"/>
    </row>
    <row r="552" spans="3:4" x14ac:dyDescent="0.25">
      <c r="C552" s="13"/>
      <c r="D552" s="13"/>
    </row>
    <row r="553" spans="3:4" x14ac:dyDescent="0.25">
      <c r="C553" s="13"/>
      <c r="D553" s="13"/>
    </row>
    <row r="554" spans="3:4" x14ac:dyDescent="0.25">
      <c r="C554" s="13"/>
      <c r="D554" s="13"/>
    </row>
    <row r="555" spans="3:4" x14ac:dyDescent="0.25">
      <c r="C555" s="13"/>
      <c r="D555" s="13"/>
    </row>
    <row r="556" spans="3:4" x14ac:dyDescent="0.25">
      <c r="C556" s="13"/>
      <c r="D556" s="13"/>
    </row>
    <row r="557" spans="3:4" x14ac:dyDescent="0.25">
      <c r="C557" s="13"/>
      <c r="D557" s="13"/>
    </row>
    <row r="558" spans="3:4" x14ac:dyDescent="0.25">
      <c r="C558" s="13"/>
      <c r="D558" s="13"/>
    </row>
    <row r="559" spans="3:4" x14ac:dyDescent="0.25">
      <c r="C559" s="13"/>
      <c r="D559" s="13"/>
    </row>
    <row r="560" spans="3:4" x14ac:dyDescent="0.25">
      <c r="C560" s="13"/>
      <c r="D560" s="13"/>
    </row>
    <row r="561" spans="3:4" x14ac:dyDescent="0.25">
      <c r="C561" s="13"/>
      <c r="D561" s="13"/>
    </row>
    <row r="562" spans="3:4" x14ac:dyDescent="0.25">
      <c r="C562" s="13"/>
      <c r="D562" s="13"/>
    </row>
    <row r="563" spans="3:4" x14ac:dyDescent="0.25">
      <c r="C563" s="13"/>
      <c r="D563" s="13"/>
    </row>
    <row r="564" spans="3:4" x14ac:dyDescent="0.25">
      <c r="C564" s="13"/>
      <c r="D564" s="13"/>
    </row>
    <row r="565" spans="3:4" x14ac:dyDescent="0.25">
      <c r="C565" s="13"/>
      <c r="D565" s="13"/>
    </row>
    <row r="566" spans="3:4" x14ac:dyDescent="0.25">
      <c r="C566" s="13"/>
      <c r="D566" s="13"/>
    </row>
    <row r="567" spans="3:4" x14ac:dyDescent="0.25">
      <c r="C567" s="13"/>
      <c r="D567" s="13"/>
    </row>
    <row r="568" spans="3:4" x14ac:dyDescent="0.25">
      <c r="C568" s="13"/>
      <c r="D568" s="13"/>
    </row>
    <row r="569" spans="3:4" x14ac:dyDescent="0.25">
      <c r="C569" s="13"/>
      <c r="D569" s="13"/>
    </row>
    <row r="570" spans="3:4" x14ac:dyDescent="0.25">
      <c r="C570" s="13"/>
      <c r="D570" s="13"/>
    </row>
    <row r="571" spans="3:4" x14ac:dyDescent="0.25">
      <c r="C571" s="13"/>
      <c r="D571" s="13"/>
    </row>
    <row r="572" spans="3:4" x14ac:dyDescent="0.25">
      <c r="C572" s="13"/>
      <c r="D572" s="13"/>
    </row>
    <row r="573" spans="3:4" x14ac:dyDescent="0.25">
      <c r="C573" s="13"/>
      <c r="D573" s="13"/>
    </row>
    <row r="574" spans="3:4" x14ac:dyDescent="0.25">
      <c r="C574" s="13"/>
      <c r="D574" s="13"/>
    </row>
    <row r="575" spans="3:4" x14ac:dyDescent="0.25">
      <c r="C575" s="13"/>
      <c r="D575" s="13"/>
    </row>
    <row r="576" spans="3:4" x14ac:dyDescent="0.25">
      <c r="C576" s="13"/>
      <c r="D576" s="13"/>
    </row>
    <row r="577" spans="3:4" x14ac:dyDescent="0.25">
      <c r="C577" s="13"/>
      <c r="D577" s="13"/>
    </row>
    <row r="578" spans="3:4" x14ac:dyDescent="0.25">
      <c r="C578" s="13"/>
      <c r="D578" s="13"/>
    </row>
    <row r="579" spans="3:4" x14ac:dyDescent="0.25">
      <c r="C579" s="13"/>
      <c r="D579" s="13"/>
    </row>
    <row r="580" spans="3:4" x14ac:dyDescent="0.25">
      <c r="C580" s="13"/>
      <c r="D580" s="13"/>
    </row>
    <row r="581" spans="3:4" x14ac:dyDescent="0.25">
      <c r="C581" s="13"/>
      <c r="D581" s="13"/>
    </row>
    <row r="582" spans="3:4" x14ac:dyDescent="0.25">
      <c r="C582" s="13"/>
      <c r="D582" s="13"/>
    </row>
    <row r="583" spans="3:4" x14ac:dyDescent="0.25">
      <c r="C583" s="13"/>
      <c r="D583" s="13"/>
    </row>
    <row r="584" spans="3:4" x14ac:dyDescent="0.25">
      <c r="C584" s="13"/>
      <c r="D584" s="13"/>
    </row>
    <row r="585" spans="3:4" x14ac:dyDescent="0.25">
      <c r="C585" s="13"/>
      <c r="D585" s="13"/>
    </row>
    <row r="586" spans="3:4" x14ac:dyDescent="0.25">
      <c r="C586" s="13"/>
      <c r="D586" s="13"/>
    </row>
    <row r="587" spans="3:4" x14ac:dyDescent="0.25">
      <c r="C587" s="13"/>
      <c r="D587" s="13"/>
    </row>
    <row r="588" spans="3:4" x14ac:dyDescent="0.25">
      <c r="C588" s="13"/>
      <c r="D588" s="13"/>
    </row>
    <row r="589" spans="3:4" x14ac:dyDescent="0.25">
      <c r="C589" s="13"/>
      <c r="D589" s="13"/>
    </row>
    <row r="590" spans="3:4" x14ac:dyDescent="0.25">
      <c r="C590" s="13"/>
      <c r="D590" s="13"/>
    </row>
    <row r="591" spans="3:4" x14ac:dyDescent="0.25">
      <c r="C591" s="13"/>
      <c r="D591" s="13"/>
    </row>
    <row r="592" spans="3:4" x14ac:dyDescent="0.25">
      <c r="C592" s="13"/>
      <c r="D592" s="13"/>
    </row>
    <row r="593" spans="3:4" x14ac:dyDescent="0.25">
      <c r="C593" s="13"/>
      <c r="D593" s="13"/>
    </row>
    <row r="594" spans="3:4" x14ac:dyDescent="0.25">
      <c r="C594" s="13"/>
      <c r="D594" s="13"/>
    </row>
    <row r="595" spans="3:4" x14ac:dyDescent="0.25">
      <c r="C595" s="13"/>
      <c r="D595" s="13"/>
    </row>
    <row r="596" spans="3:4" x14ac:dyDescent="0.25">
      <c r="C596" s="13"/>
      <c r="D596" s="13"/>
    </row>
    <row r="597" spans="3:4" x14ac:dyDescent="0.25">
      <c r="C597" s="13"/>
      <c r="D597" s="13"/>
    </row>
    <row r="598" spans="3:4" x14ac:dyDescent="0.25">
      <c r="C598" s="13"/>
      <c r="D598" s="13"/>
    </row>
    <row r="599" spans="3:4" x14ac:dyDescent="0.25">
      <c r="C599" s="13"/>
      <c r="D599" s="13"/>
    </row>
    <row r="600" spans="3:4" x14ac:dyDescent="0.25">
      <c r="C600" s="13"/>
      <c r="D600" s="13"/>
    </row>
    <row r="601" spans="3:4" x14ac:dyDescent="0.25">
      <c r="C601" s="13"/>
      <c r="D601" s="13"/>
    </row>
    <row r="602" spans="3:4" x14ac:dyDescent="0.25">
      <c r="C602" s="13"/>
      <c r="D602" s="13"/>
    </row>
    <row r="603" spans="3:4" x14ac:dyDescent="0.25">
      <c r="C603" s="13"/>
      <c r="D603" s="13"/>
    </row>
    <row r="604" spans="3:4" x14ac:dyDescent="0.25">
      <c r="C604" s="13"/>
      <c r="D604" s="13"/>
    </row>
    <row r="605" spans="3:4" x14ac:dyDescent="0.25">
      <c r="C605" s="13"/>
      <c r="D605" s="13"/>
    </row>
    <row r="606" spans="3:4" x14ac:dyDescent="0.25">
      <c r="C606" s="13"/>
      <c r="D606" s="13"/>
    </row>
    <row r="607" spans="3:4" x14ac:dyDescent="0.25">
      <c r="C607" s="13"/>
      <c r="D607" s="13"/>
    </row>
    <row r="608" spans="3:4" x14ac:dyDescent="0.25">
      <c r="C608" s="13"/>
      <c r="D608" s="13"/>
    </row>
    <row r="609" spans="3:4" x14ac:dyDescent="0.25">
      <c r="C609" s="13"/>
      <c r="D609" s="13"/>
    </row>
    <row r="610" spans="3:4" x14ac:dyDescent="0.25">
      <c r="C610" s="13"/>
      <c r="D610" s="13"/>
    </row>
    <row r="611" spans="3:4" x14ac:dyDescent="0.25">
      <c r="C611" s="13"/>
      <c r="D611" s="13"/>
    </row>
    <row r="612" spans="3:4" x14ac:dyDescent="0.25">
      <c r="C612" s="13"/>
      <c r="D612" s="13"/>
    </row>
    <row r="613" spans="3:4" x14ac:dyDescent="0.25">
      <c r="C613" s="13"/>
      <c r="D613" s="13"/>
    </row>
    <row r="614" spans="3:4" x14ac:dyDescent="0.25">
      <c r="C614" s="13"/>
      <c r="D614" s="13"/>
    </row>
    <row r="615" spans="3:4" x14ac:dyDescent="0.25">
      <c r="C615" s="13"/>
      <c r="D615" s="13"/>
    </row>
    <row r="616" spans="3:4" x14ac:dyDescent="0.25">
      <c r="C616" s="13"/>
      <c r="D616" s="13"/>
    </row>
    <row r="617" spans="3:4" x14ac:dyDescent="0.25">
      <c r="C617" s="13"/>
      <c r="D617" s="13"/>
    </row>
    <row r="618" spans="3:4" x14ac:dyDescent="0.25">
      <c r="C618" s="13"/>
      <c r="D618" s="13"/>
    </row>
    <row r="619" spans="3:4" x14ac:dyDescent="0.25">
      <c r="C619" s="13"/>
      <c r="D619" s="13"/>
    </row>
    <row r="620" spans="3:4" x14ac:dyDescent="0.25">
      <c r="C620" s="13"/>
      <c r="D620" s="13"/>
    </row>
    <row r="621" spans="3:4" x14ac:dyDescent="0.25">
      <c r="C621" s="13"/>
      <c r="D621" s="13"/>
    </row>
    <row r="622" spans="3:4" x14ac:dyDescent="0.25">
      <c r="C622" s="13"/>
      <c r="D622" s="13"/>
    </row>
    <row r="623" spans="3:4" x14ac:dyDescent="0.25">
      <c r="C623" s="13"/>
      <c r="D623" s="13"/>
    </row>
    <row r="624" spans="3:4" x14ac:dyDescent="0.25">
      <c r="C624" s="13"/>
      <c r="D624" s="13"/>
    </row>
    <row r="625" spans="3:4" x14ac:dyDescent="0.25">
      <c r="C625" s="13"/>
      <c r="D625" s="13"/>
    </row>
    <row r="626" spans="3:4" x14ac:dyDescent="0.25">
      <c r="C626" s="13"/>
      <c r="D626" s="13"/>
    </row>
    <row r="627" spans="3:4" x14ac:dyDescent="0.25">
      <c r="C627" s="13"/>
      <c r="D627" s="13"/>
    </row>
    <row r="628" spans="3:4" x14ac:dyDescent="0.25">
      <c r="C628" s="13"/>
      <c r="D628" s="13"/>
    </row>
    <row r="629" spans="3:4" x14ac:dyDescent="0.25">
      <c r="C629" s="13"/>
      <c r="D629" s="13"/>
    </row>
    <row r="630" spans="3:4" x14ac:dyDescent="0.25">
      <c r="C630" s="13"/>
      <c r="D630" s="13"/>
    </row>
    <row r="631" spans="3:4" x14ac:dyDescent="0.25">
      <c r="C631" s="13"/>
      <c r="D631" s="13"/>
    </row>
    <row r="632" spans="3:4" x14ac:dyDescent="0.25">
      <c r="C632" s="13"/>
      <c r="D632" s="13"/>
    </row>
    <row r="633" spans="3:4" x14ac:dyDescent="0.25">
      <c r="C633" s="13"/>
      <c r="D633" s="13"/>
    </row>
    <row r="634" spans="3:4" x14ac:dyDescent="0.25">
      <c r="C634" s="13"/>
      <c r="D634" s="13"/>
    </row>
    <row r="635" spans="3:4" x14ac:dyDescent="0.25">
      <c r="C635" s="13"/>
      <c r="D635" s="13"/>
    </row>
    <row r="636" spans="3:4" x14ac:dyDescent="0.25">
      <c r="C636" s="13"/>
      <c r="D636" s="13"/>
    </row>
    <row r="637" spans="3:4" x14ac:dyDescent="0.25">
      <c r="C637" s="13"/>
      <c r="D637" s="13"/>
    </row>
    <row r="638" spans="3:4" x14ac:dyDescent="0.25">
      <c r="C638" s="13"/>
      <c r="D638" s="13"/>
    </row>
    <row r="639" spans="3:4" x14ac:dyDescent="0.25">
      <c r="C639" s="13"/>
      <c r="D639" s="13"/>
    </row>
    <row r="640" spans="3:4" x14ac:dyDescent="0.25">
      <c r="C640" s="13"/>
      <c r="D640" s="13"/>
    </row>
    <row r="641" spans="3:4" x14ac:dyDescent="0.25">
      <c r="C641" s="13"/>
      <c r="D641" s="13"/>
    </row>
    <row r="642" spans="3:4" x14ac:dyDescent="0.25">
      <c r="C642" s="13"/>
      <c r="D642" s="13"/>
    </row>
    <row r="643" spans="3:4" x14ac:dyDescent="0.25">
      <c r="C643" s="13"/>
      <c r="D643" s="13"/>
    </row>
    <row r="644" spans="3:4" x14ac:dyDescent="0.25">
      <c r="C644" s="13"/>
      <c r="D644" s="13"/>
    </row>
    <row r="645" spans="3:4" x14ac:dyDescent="0.25">
      <c r="C645" s="13"/>
      <c r="D645" s="13"/>
    </row>
    <row r="646" spans="3:4" x14ac:dyDescent="0.25">
      <c r="C646" s="13"/>
      <c r="D646" s="13"/>
    </row>
    <row r="647" spans="3:4" x14ac:dyDescent="0.25">
      <c r="C647" s="13"/>
      <c r="D647" s="13"/>
    </row>
    <row r="648" spans="3:4" x14ac:dyDescent="0.25">
      <c r="C648" s="13"/>
      <c r="D648" s="13"/>
    </row>
    <row r="649" spans="3:4" x14ac:dyDescent="0.25">
      <c r="C649" s="13"/>
      <c r="D649" s="13"/>
    </row>
    <row r="650" spans="3:4" x14ac:dyDescent="0.25">
      <c r="C650" s="13"/>
      <c r="D650" s="13"/>
    </row>
    <row r="651" spans="3:4" x14ac:dyDescent="0.25">
      <c r="C651" s="13"/>
      <c r="D651" s="13"/>
    </row>
    <row r="652" spans="3:4" x14ac:dyDescent="0.25">
      <c r="C652" s="13"/>
      <c r="D652" s="13"/>
    </row>
    <row r="653" spans="3:4" x14ac:dyDescent="0.25">
      <c r="C653" s="13"/>
      <c r="D653" s="13"/>
    </row>
    <row r="654" spans="3:4" x14ac:dyDescent="0.25">
      <c r="C654" s="13"/>
      <c r="D654" s="13"/>
    </row>
    <row r="655" spans="3:4" x14ac:dyDescent="0.25">
      <c r="C655" s="13"/>
      <c r="D655" s="13"/>
    </row>
    <row r="656" spans="3:4" x14ac:dyDescent="0.25">
      <c r="C656" s="13"/>
      <c r="D656" s="13"/>
    </row>
    <row r="657" spans="3:4" x14ac:dyDescent="0.25">
      <c r="C657" s="13"/>
      <c r="D657" s="13"/>
    </row>
    <row r="658" spans="3:4" x14ac:dyDescent="0.25">
      <c r="C658" s="13"/>
      <c r="D658" s="13"/>
    </row>
    <row r="659" spans="3:4" x14ac:dyDescent="0.25">
      <c r="C659" s="13"/>
      <c r="D659" s="13"/>
    </row>
    <row r="660" spans="3:4" x14ac:dyDescent="0.25">
      <c r="C660" s="13"/>
      <c r="D660" s="13"/>
    </row>
    <row r="661" spans="3:4" x14ac:dyDescent="0.25">
      <c r="C661" s="13"/>
      <c r="D661" s="13"/>
    </row>
    <row r="662" spans="3:4" x14ac:dyDescent="0.25">
      <c r="C662" s="13"/>
      <c r="D662" s="13"/>
    </row>
    <row r="663" spans="3:4" x14ac:dyDescent="0.25">
      <c r="C663" s="13"/>
      <c r="D663" s="13"/>
    </row>
    <row r="664" spans="3:4" x14ac:dyDescent="0.25">
      <c r="C664" s="13"/>
      <c r="D664" s="13"/>
    </row>
    <row r="665" spans="3:4" x14ac:dyDescent="0.25">
      <c r="C665" s="13"/>
      <c r="D665" s="13"/>
    </row>
    <row r="666" spans="3:4" x14ac:dyDescent="0.25">
      <c r="C666" s="13"/>
      <c r="D666" s="13"/>
    </row>
    <row r="667" spans="3:4" x14ac:dyDescent="0.25">
      <c r="C667" s="13"/>
      <c r="D667" s="13"/>
    </row>
    <row r="668" spans="3:4" x14ac:dyDescent="0.25">
      <c r="C668" s="13"/>
      <c r="D668" s="13"/>
    </row>
    <row r="669" spans="3:4" x14ac:dyDescent="0.25">
      <c r="C669" s="13"/>
      <c r="D669" s="13"/>
    </row>
    <row r="670" spans="3:4" x14ac:dyDescent="0.25">
      <c r="C670" s="13"/>
      <c r="D670" s="13"/>
    </row>
    <row r="671" spans="3:4" x14ac:dyDescent="0.25">
      <c r="C671" s="13"/>
      <c r="D671" s="13"/>
    </row>
    <row r="672" spans="3:4" x14ac:dyDescent="0.25">
      <c r="C672" s="13"/>
      <c r="D672" s="13"/>
    </row>
    <row r="673" spans="3:4" x14ac:dyDescent="0.25">
      <c r="C673" s="13"/>
      <c r="D673" s="13"/>
    </row>
    <row r="674" spans="3:4" x14ac:dyDescent="0.25">
      <c r="C674" s="13"/>
      <c r="D674" s="13"/>
    </row>
    <row r="675" spans="3:4" x14ac:dyDescent="0.25">
      <c r="C675" s="13"/>
      <c r="D675" s="13"/>
    </row>
    <row r="676" spans="3:4" x14ac:dyDescent="0.25">
      <c r="C676" s="13"/>
      <c r="D676" s="13"/>
    </row>
    <row r="677" spans="3:4" x14ac:dyDescent="0.25">
      <c r="C677" s="13"/>
      <c r="D677" s="13"/>
    </row>
    <row r="678" spans="3:4" x14ac:dyDescent="0.25">
      <c r="C678" s="13"/>
      <c r="D678" s="13"/>
    </row>
    <row r="679" spans="3:4" x14ac:dyDescent="0.25">
      <c r="C679" s="13"/>
      <c r="D679" s="13"/>
    </row>
    <row r="680" spans="3:4" x14ac:dyDescent="0.25">
      <c r="C680" s="13"/>
      <c r="D680" s="13"/>
    </row>
    <row r="681" spans="3:4" x14ac:dyDescent="0.25">
      <c r="C681" s="13"/>
      <c r="D681" s="13"/>
    </row>
    <row r="682" spans="3:4" x14ac:dyDescent="0.25">
      <c r="C682" s="13"/>
      <c r="D682" s="13"/>
    </row>
    <row r="683" spans="3:4" x14ac:dyDescent="0.25">
      <c r="C683" s="13"/>
      <c r="D683" s="13"/>
    </row>
    <row r="684" spans="3:4" x14ac:dyDescent="0.25">
      <c r="C684" s="13"/>
      <c r="D684" s="13"/>
    </row>
    <row r="685" spans="3:4" x14ac:dyDescent="0.25">
      <c r="C685" s="13"/>
      <c r="D685" s="13"/>
    </row>
    <row r="686" spans="3:4" x14ac:dyDescent="0.25">
      <c r="C686" s="13"/>
      <c r="D686" s="13"/>
    </row>
    <row r="687" spans="3:4" x14ac:dyDescent="0.25">
      <c r="C687" s="13"/>
      <c r="D687" s="13"/>
    </row>
    <row r="688" spans="3:4" x14ac:dyDescent="0.25">
      <c r="C688" s="13"/>
      <c r="D688" s="13"/>
    </row>
    <row r="689" spans="3:4" x14ac:dyDescent="0.25">
      <c r="C689" s="13"/>
      <c r="D689" s="13"/>
    </row>
    <row r="690" spans="3:4" x14ac:dyDescent="0.25">
      <c r="C690" s="13"/>
      <c r="D690" s="13"/>
    </row>
    <row r="691" spans="3:4" x14ac:dyDescent="0.25">
      <c r="C691" s="13"/>
      <c r="D691" s="13"/>
    </row>
    <row r="692" spans="3:4" x14ac:dyDescent="0.25">
      <c r="C692" s="13"/>
      <c r="D692" s="13"/>
    </row>
    <row r="693" spans="3:4" x14ac:dyDescent="0.25">
      <c r="C693" s="13"/>
      <c r="D693" s="13"/>
    </row>
    <row r="694" spans="3:4" x14ac:dyDescent="0.25">
      <c r="C694" s="13"/>
      <c r="D694" s="13"/>
    </row>
    <row r="695" spans="3:4" x14ac:dyDescent="0.25">
      <c r="C695" s="13"/>
      <c r="D695" s="13"/>
    </row>
    <row r="696" spans="3:4" x14ac:dyDescent="0.25">
      <c r="C696" s="13"/>
      <c r="D696" s="13"/>
    </row>
    <row r="697" spans="3:4" x14ac:dyDescent="0.25">
      <c r="C697" s="13"/>
      <c r="D697" s="13"/>
    </row>
    <row r="698" spans="3:4" x14ac:dyDescent="0.25">
      <c r="C698" s="13"/>
      <c r="D698" s="13"/>
    </row>
    <row r="699" spans="3:4" x14ac:dyDescent="0.25">
      <c r="C699" s="13"/>
      <c r="D699" s="13"/>
    </row>
    <row r="700" spans="3:4" x14ac:dyDescent="0.25">
      <c r="C700" s="13"/>
      <c r="D700" s="13"/>
    </row>
    <row r="701" spans="3:4" x14ac:dyDescent="0.25">
      <c r="C701" s="13"/>
      <c r="D701" s="13"/>
    </row>
    <row r="702" spans="3:4" x14ac:dyDescent="0.25">
      <c r="C702" s="13"/>
      <c r="D702" s="13"/>
    </row>
    <row r="703" spans="3:4" x14ac:dyDescent="0.25">
      <c r="C703" s="13"/>
      <c r="D703" s="13"/>
    </row>
    <row r="704" spans="3:4" x14ac:dyDescent="0.25">
      <c r="C704" s="13"/>
      <c r="D704" s="13"/>
    </row>
    <row r="705" spans="3:4" x14ac:dyDescent="0.25">
      <c r="C705" s="13"/>
      <c r="D705" s="13"/>
    </row>
    <row r="706" spans="3:4" x14ac:dyDescent="0.25">
      <c r="C706" s="13"/>
      <c r="D706" s="13"/>
    </row>
    <row r="707" spans="3:4" x14ac:dyDescent="0.25">
      <c r="C707" s="13"/>
      <c r="D707" s="13"/>
    </row>
    <row r="708" spans="3:4" x14ac:dyDescent="0.25">
      <c r="C708" s="13"/>
      <c r="D708" s="13"/>
    </row>
    <row r="709" spans="3:4" x14ac:dyDescent="0.25">
      <c r="C709" s="13"/>
      <c r="D709" s="13"/>
    </row>
    <row r="710" spans="3:4" x14ac:dyDescent="0.25">
      <c r="C710" s="13"/>
      <c r="D710" s="13"/>
    </row>
    <row r="711" spans="3:4" x14ac:dyDescent="0.25">
      <c r="C711" s="13"/>
      <c r="D711" s="13"/>
    </row>
    <row r="712" spans="3:4" x14ac:dyDescent="0.25">
      <c r="C712" s="13"/>
      <c r="D712" s="13"/>
    </row>
    <row r="713" spans="3:4" x14ac:dyDescent="0.25">
      <c r="C713" s="13"/>
      <c r="D713" s="13"/>
    </row>
    <row r="714" spans="3:4" x14ac:dyDescent="0.25">
      <c r="C714" s="13"/>
      <c r="D714" s="13"/>
    </row>
    <row r="715" spans="3:4" x14ac:dyDescent="0.25">
      <c r="C715" s="13"/>
      <c r="D715" s="13"/>
    </row>
    <row r="716" spans="3:4" x14ac:dyDescent="0.25">
      <c r="C716" s="13"/>
      <c r="D716" s="13"/>
    </row>
    <row r="717" spans="3:4" x14ac:dyDescent="0.25">
      <c r="C717" s="13"/>
      <c r="D717" s="13"/>
    </row>
    <row r="718" spans="3:4" x14ac:dyDescent="0.25">
      <c r="C718" s="13"/>
      <c r="D718" s="13"/>
    </row>
    <row r="719" spans="3:4" x14ac:dyDescent="0.25">
      <c r="C719" s="13"/>
      <c r="D719" s="13"/>
    </row>
    <row r="720" spans="3:4" x14ac:dyDescent="0.25">
      <c r="C720" s="13"/>
      <c r="D720" s="13"/>
    </row>
    <row r="721" spans="3:4" x14ac:dyDescent="0.25">
      <c r="C721" s="13"/>
      <c r="D721" s="13"/>
    </row>
    <row r="722" spans="3:4" x14ac:dyDescent="0.25">
      <c r="C722" s="13"/>
      <c r="D722" s="13"/>
    </row>
    <row r="723" spans="3:4" x14ac:dyDescent="0.25">
      <c r="C723" s="13"/>
      <c r="D723" s="13"/>
    </row>
    <row r="724" spans="3:4" x14ac:dyDescent="0.25">
      <c r="C724" s="13"/>
      <c r="D724" s="13"/>
    </row>
    <row r="725" spans="3:4" x14ac:dyDescent="0.25">
      <c r="C725" s="13"/>
      <c r="D725" s="13"/>
    </row>
    <row r="726" spans="3:4" x14ac:dyDescent="0.25">
      <c r="C726" s="13"/>
      <c r="D726" s="13"/>
    </row>
    <row r="727" spans="3:4" x14ac:dyDescent="0.25">
      <c r="C727" s="13"/>
      <c r="D727" s="13"/>
    </row>
    <row r="728" spans="3:4" x14ac:dyDescent="0.25">
      <c r="C728" s="13"/>
      <c r="D728" s="13"/>
    </row>
    <row r="729" spans="3:4" x14ac:dyDescent="0.25">
      <c r="C729" s="13"/>
      <c r="D729" s="13"/>
    </row>
    <row r="730" spans="3:4" x14ac:dyDescent="0.25">
      <c r="C730" s="13"/>
      <c r="D730" s="13"/>
    </row>
    <row r="731" spans="3:4" x14ac:dyDescent="0.25">
      <c r="C731" s="13"/>
      <c r="D731" s="13"/>
    </row>
    <row r="732" spans="3:4" x14ac:dyDescent="0.25">
      <c r="C732" s="13"/>
      <c r="D732" s="13"/>
    </row>
    <row r="733" spans="3:4" x14ac:dyDescent="0.25">
      <c r="C733" s="13"/>
      <c r="D733" s="13"/>
    </row>
    <row r="734" spans="3:4" x14ac:dyDescent="0.25">
      <c r="C734" s="13"/>
      <c r="D734" s="13"/>
    </row>
    <row r="735" spans="3:4" x14ac:dyDescent="0.25">
      <c r="C735" s="13"/>
      <c r="D735" s="13"/>
    </row>
    <row r="736" spans="3:4" x14ac:dyDescent="0.25">
      <c r="C736" s="13"/>
      <c r="D736" s="13"/>
    </row>
    <row r="737" spans="3:4" x14ac:dyDescent="0.25">
      <c r="C737" s="13"/>
      <c r="D737" s="13"/>
    </row>
    <row r="738" spans="3:4" x14ac:dyDescent="0.25">
      <c r="C738" s="13"/>
      <c r="D738" s="13"/>
    </row>
    <row r="739" spans="3:4" x14ac:dyDescent="0.25">
      <c r="C739" s="13"/>
      <c r="D739" s="13"/>
    </row>
    <row r="740" spans="3:4" x14ac:dyDescent="0.25">
      <c r="C740" s="13"/>
      <c r="D740" s="13"/>
    </row>
    <row r="741" spans="3:4" x14ac:dyDescent="0.25">
      <c r="C741" s="13"/>
      <c r="D741" s="13"/>
    </row>
    <row r="742" spans="3:4" x14ac:dyDescent="0.25">
      <c r="C742" s="13"/>
      <c r="D742" s="13"/>
    </row>
    <row r="743" spans="3:4" x14ac:dyDescent="0.25">
      <c r="C743" s="13"/>
      <c r="D743" s="13"/>
    </row>
    <row r="744" spans="3:4" x14ac:dyDescent="0.25">
      <c r="C744" s="13"/>
      <c r="D744" s="13"/>
    </row>
    <row r="745" spans="3:4" x14ac:dyDescent="0.25">
      <c r="C745" s="13"/>
      <c r="D745" s="13"/>
    </row>
    <row r="746" spans="3:4" x14ac:dyDescent="0.25">
      <c r="C746" s="13"/>
      <c r="D746" s="13"/>
    </row>
    <row r="747" spans="3:4" x14ac:dyDescent="0.25">
      <c r="C747" s="13"/>
      <c r="D747" s="13"/>
    </row>
    <row r="748" spans="3:4" x14ac:dyDescent="0.25">
      <c r="C748" s="13"/>
      <c r="D748" s="13"/>
    </row>
    <row r="749" spans="3:4" x14ac:dyDescent="0.25">
      <c r="C749" s="13"/>
      <c r="D749" s="13"/>
    </row>
    <row r="750" spans="3:4" x14ac:dyDescent="0.25">
      <c r="C750" s="13"/>
      <c r="D750" s="13"/>
    </row>
    <row r="751" spans="3:4" x14ac:dyDescent="0.25">
      <c r="C751" s="13"/>
      <c r="D751" s="13"/>
    </row>
    <row r="752" spans="3:4" x14ac:dyDescent="0.25">
      <c r="C752" s="13"/>
      <c r="D752" s="13"/>
    </row>
    <row r="753" spans="3:4" x14ac:dyDescent="0.25">
      <c r="C753" s="13"/>
      <c r="D753" s="13"/>
    </row>
    <row r="754" spans="3:4" x14ac:dyDescent="0.25">
      <c r="C754" s="13"/>
      <c r="D754" s="13"/>
    </row>
    <row r="755" spans="3:4" x14ac:dyDescent="0.25">
      <c r="C755" s="13"/>
      <c r="D755" s="13"/>
    </row>
    <row r="756" spans="3:4" x14ac:dyDescent="0.25">
      <c r="C756" s="13"/>
      <c r="D756" s="13"/>
    </row>
    <row r="757" spans="3:4" x14ac:dyDescent="0.25">
      <c r="C757" s="13"/>
      <c r="D757" s="13"/>
    </row>
    <row r="758" spans="3:4" x14ac:dyDescent="0.25">
      <c r="C758" s="13"/>
      <c r="D758" s="13"/>
    </row>
    <row r="759" spans="3:4" x14ac:dyDescent="0.25">
      <c r="C759" s="13"/>
      <c r="D759" s="13"/>
    </row>
    <row r="760" spans="3:4" x14ac:dyDescent="0.25">
      <c r="C760" s="13"/>
      <c r="D760" s="13"/>
    </row>
    <row r="761" spans="3:4" x14ac:dyDescent="0.25">
      <c r="C761" s="13"/>
      <c r="D761" s="13"/>
    </row>
    <row r="762" spans="3:4" x14ac:dyDescent="0.25">
      <c r="C762" s="13"/>
      <c r="D762" s="13"/>
    </row>
    <row r="763" spans="3:4" x14ac:dyDescent="0.25">
      <c r="C763" s="13"/>
      <c r="D763" s="13"/>
    </row>
    <row r="764" spans="3:4" x14ac:dyDescent="0.25">
      <c r="C764" s="13"/>
      <c r="D764" s="13"/>
    </row>
    <row r="765" spans="3:4" x14ac:dyDescent="0.25">
      <c r="C765" s="13"/>
      <c r="D765" s="13"/>
    </row>
    <row r="766" spans="3:4" x14ac:dyDescent="0.25">
      <c r="C766" s="13"/>
      <c r="D766" s="13"/>
    </row>
    <row r="767" spans="3:4" x14ac:dyDescent="0.25">
      <c r="C767" s="13"/>
      <c r="D767" s="13"/>
    </row>
    <row r="768" spans="3:4" x14ac:dyDescent="0.25">
      <c r="C768" s="13"/>
      <c r="D768" s="13"/>
    </row>
    <row r="769" spans="3:4" x14ac:dyDescent="0.25">
      <c r="C769" s="13"/>
      <c r="D769" s="13"/>
    </row>
    <row r="770" spans="3:4" x14ac:dyDescent="0.25">
      <c r="C770" s="13"/>
      <c r="D770" s="13"/>
    </row>
    <row r="771" spans="3:4" x14ac:dyDescent="0.25">
      <c r="C771" s="13"/>
      <c r="D771" s="13"/>
    </row>
    <row r="772" spans="3:4" x14ac:dyDescent="0.25">
      <c r="C772" s="13"/>
      <c r="D772" s="13"/>
    </row>
    <row r="773" spans="3:4" x14ac:dyDescent="0.25">
      <c r="C773" s="13"/>
      <c r="D773" s="13"/>
    </row>
    <row r="774" spans="3:4" x14ac:dyDescent="0.25">
      <c r="C774" s="13"/>
      <c r="D774" s="13"/>
    </row>
    <row r="775" spans="3:4" x14ac:dyDescent="0.25">
      <c r="C775" s="13"/>
      <c r="D775" s="13"/>
    </row>
    <row r="776" spans="3:4" x14ac:dyDescent="0.25">
      <c r="C776" s="13"/>
      <c r="D776" s="13"/>
    </row>
    <row r="777" spans="3:4" x14ac:dyDescent="0.25">
      <c r="C777" s="13"/>
      <c r="D777" s="13"/>
    </row>
    <row r="778" spans="3:4" x14ac:dyDescent="0.25">
      <c r="C778" s="13"/>
      <c r="D778" s="13"/>
    </row>
    <row r="779" spans="3:4" x14ac:dyDescent="0.25">
      <c r="C779" s="13"/>
      <c r="D779" s="13"/>
    </row>
    <row r="780" spans="3:4" x14ac:dyDescent="0.25">
      <c r="C780" s="13"/>
      <c r="D780" s="13"/>
    </row>
    <row r="781" spans="3:4" x14ac:dyDescent="0.25">
      <c r="C781" s="13"/>
      <c r="D781" s="13"/>
    </row>
    <row r="782" spans="3:4" x14ac:dyDescent="0.25">
      <c r="C782" s="13"/>
      <c r="D782" s="13"/>
    </row>
    <row r="783" spans="3:4" x14ac:dyDescent="0.25">
      <c r="C783" s="13"/>
      <c r="D783" s="13"/>
    </row>
    <row r="784" spans="3:4" x14ac:dyDescent="0.25">
      <c r="C784" s="13"/>
      <c r="D784" s="13"/>
    </row>
    <row r="785" spans="3:4" x14ac:dyDescent="0.25">
      <c r="C785" s="13"/>
      <c r="D785" s="13"/>
    </row>
    <row r="786" spans="3:4" x14ac:dyDescent="0.25">
      <c r="C786" s="13"/>
      <c r="D786" s="13"/>
    </row>
    <row r="787" spans="3:4" x14ac:dyDescent="0.25">
      <c r="C787" s="13"/>
      <c r="D787" s="13"/>
    </row>
    <row r="788" spans="3:4" x14ac:dyDescent="0.25">
      <c r="C788" s="13"/>
      <c r="D788" s="13"/>
    </row>
    <row r="789" spans="3:4" x14ac:dyDescent="0.25">
      <c r="C789" s="13"/>
      <c r="D789" s="13"/>
    </row>
    <row r="790" spans="3:4" x14ac:dyDescent="0.25">
      <c r="C790" s="13"/>
      <c r="D790" s="13"/>
    </row>
    <row r="791" spans="3:4" x14ac:dyDescent="0.25">
      <c r="C791" s="13"/>
      <c r="D791" s="13"/>
    </row>
    <row r="792" spans="3:4" x14ac:dyDescent="0.25">
      <c r="C792" s="13"/>
      <c r="D792" s="13"/>
    </row>
    <row r="793" spans="3:4" x14ac:dyDescent="0.25">
      <c r="C793" s="13"/>
      <c r="D793" s="13"/>
    </row>
    <row r="794" spans="3:4" x14ac:dyDescent="0.25">
      <c r="C794" s="13"/>
      <c r="D794" s="13"/>
    </row>
    <row r="795" spans="3:4" x14ac:dyDescent="0.25">
      <c r="C795" s="13"/>
      <c r="D795" s="13"/>
    </row>
    <row r="796" spans="3:4" x14ac:dyDescent="0.25">
      <c r="C796" s="13"/>
      <c r="D796" s="13"/>
    </row>
    <row r="797" spans="3:4" x14ac:dyDescent="0.25">
      <c r="C797" s="13"/>
      <c r="D797" s="13"/>
    </row>
    <row r="798" spans="3:4" x14ac:dyDescent="0.25">
      <c r="C798" s="13"/>
      <c r="D798" s="13"/>
    </row>
    <row r="799" spans="3:4" x14ac:dyDescent="0.25">
      <c r="C799" s="13"/>
      <c r="D799" s="13"/>
    </row>
    <row r="800" spans="3:4" x14ac:dyDescent="0.25">
      <c r="C800" s="13"/>
      <c r="D800" s="13"/>
    </row>
    <row r="801" spans="3:4" x14ac:dyDescent="0.25">
      <c r="C801" s="13"/>
      <c r="D801" s="13"/>
    </row>
    <row r="802" spans="3:4" x14ac:dyDescent="0.25">
      <c r="C802" s="13"/>
      <c r="D802" s="13"/>
    </row>
    <row r="803" spans="3:4" x14ac:dyDescent="0.25">
      <c r="C803" s="13"/>
      <c r="D803" s="13"/>
    </row>
    <row r="804" spans="3:4" x14ac:dyDescent="0.25">
      <c r="C804" s="13"/>
      <c r="D804" s="13"/>
    </row>
    <row r="805" spans="3:4" x14ac:dyDescent="0.25">
      <c r="C805" s="13"/>
      <c r="D805" s="13"/>
    </row>
    <row r="806" spans="3:4" x14ac:dyDescent="0.25">
      <c r="C806" s="13"/>
      <c r="D806" s="13"/>
    </row>
    <row r="807" spans="3:4" x14ac:dyDescent="0.25">
      <c r="C807" s="13"/>
      <c r="D807" s="13"/>
    </row>
    <row r="808" spans="3:4" x14ac:dyDescent="0.25">
      <c r="C808" s="13"/>
      <c r="D808" s="13"/>
    </row>
    <row r="809" spans="3:4" x14ac:dyDescent="0.25">
      <c r="C809" s="13"/>
      <c r="D809" s="13"/>
    </row>
    <row r="810" spans="3:4" x14ac:dyDescent="0.25">
      <c r="C810" s="13"/>
      <c r="D810" s="13"/>
    </row>
    <row r="811" spans="3:4" x14ac:dyDescent="0.25">
      <c r="C811" s="13"/>
      <c r="D811" s="13"/>
    </row>
    <row r="812" spans="3:4" x14ac:dyDescent="0.25">
      <c r="C812" s="13"/>
      <c r="D812" s="13"/>
    </row>
    <row r="813" spans="3:4" x14ac:dyDescent="0.25">
      <c r="C813" s="13"/>
      <c r="D813" s="13"/>
    </row>
    <row r="814" spans="3:4" x14ac:dyDescent="0.25">
      <c r="C814" s="13"/>
      <c r="D814" s="13"/>
    </row>
    <row r="815" spans="3:4" x14ac:dyDescent="0.25">
      <c r="C815" s="13"/>
      <c r="D815" s="13"/>
    </row>
    <row r="816" spans="3:4" x14ac:dyDescent="0.25">
      <c r="C816" s="13"/>
      <c r="D816" s="13"/>
    </row>
    <row r="817" spans="3:4" x14ac:dyDescent="0.25">
      <c r="C817" s="13"/>
      <c r="D817" s="13"/>
    </row>
    <row r="818" spans="3:4" x14ac:dyDescent="0.25">
      <c r="C818" s="13"/>
      <c r="D818" s="13"/>
    </row>
    <row r="819" spans="3:4" x14ac:dyDescent="0.25">
      <c r="C819" s="13"/>
      <c r="D819" s="13"/>
    </row>
    <row r="820" spans="3:4" x14ac:dyDescent="0.25">
      <c r="C820" s="13"/>
      <c r="D820" s="13"/>
    </row>
    <row r="821" spans="3:4" x14ac:dyDescent="0.25">
      <c r="C821" s="13"/>
      <c r="D821" s="13"/>
    </row>
    <row r="822" spans="3:4" x14ac:dyDescent="0.25">
      <c r="C822" s="13"/>
      <c r="D822" s="13"/>
    </row>
    <row r="823" spans="3:4" x14ac:dyDescent="0.25">
      <c r="C823" s="13"/>
      <c r="D823" s="13"/>
    </row>
    <row r="824" spans="3:4" x14ac:dyDescent="0.25">
      <c r="C824" s="13"/>
      <c r="D824" s="13"/>
    </row>
    <row r="825" spans="3:4" x14ac:dyDescent="0.25">
      <c r="C825" s="13"/>
      <c r="D825" s="13"/>
    </row>
    <row r="826" spans="3:4" x14ac:dyDescent="0.25">
      <c r="C826" s="13"/>
      <c r="D826" s="13"/>
    </row>
    <row r="827" spans="3:4" x14ac:dyDescent="0.25">
      <c r="C827" s="13"/>
      <c r="D827" s="13"/>
    </row>
    <row r="828" spans="3:4" x14ac:dyDescent="0.25">
      <c r="C828" s="13"/>
      <c r="D828" s="13"/>
    </row>
    <row r="829" spans="3:4" x14ac:dyDescent="0.25">
      <c r="C829" s="13"/>
      <c r="D829" s="13"/>
    </row>
    <row r="830" spans="3:4" x14ac:dyDescent="0.25">
      <c r="C830" s="13"/>
      <c r="D830" s="13"/>
    </row>
    <row r="831" spans="3:4" x14ac:dyDescent="0.25">
      <c r="C831" s="13"/>
      <c r="D831" s="13"/>
    </row>
    <row r="832" spans="3:4" x14ac:dyDescent="0.25">
      <c r="C832" s="13"/>
      <c r="D832" s="13"/>
    </row>
    <row r="833" spans="3:4" x14ac:dyDescent="0.25">
      <c r="C833" s="13"/>
      <c r="D833" s="13"/>
    </row>
    <row r="834" spans="3:4" x14ac:dyDescent="0.25">
      <c r="C834" s="13"/>
      <c r="D834" s="13"/>
    </row>
    <row r="835" spans="3:4" x14ac:dyDescent="0.25">
      <c r="C835" s="13"/>
      <c r="D835" s="13"/>
    </row>
    <row r="836" spans="3:4" x14ac:dyDescent="0.25">
      <c r="C836" s="13"/>
      <c r="D836" s="13"/>
    </row>
    <row r="837" spans="3:4" x14ac:dyDescent="0.25">
      <c r="C837" s="13"/>
      <c r="D837" s="13"/>
    </row>
    <row r="838" spans="3:4" x14ac:dyDescent="0.25">
      <c r="C838" s="13"/>
      <c r="D838" s="13"/>
    </row>
    <row r="839" spans="3:4" x14ac:dyDescent="0.25">
      <c r="C839" s="13"/>
      <c r="D839" s="13"/>
    </row>
    <row r="840" spans="3:4" x14ac:dyDescent="0.25">
      <c r="C840" s="13"/>
      <c r="D840" s="13"/>
    </row>
    <row r="841" spans="3:4" x14ac:dyDescent="0.25">
      <c r="C841" s="13"/>
      <c r="D841" s="13"/>
    </row>
    <row r="842" spans="3:4" x14ac:dyDescent="0.25">
      <c r="C842" s="13"/>
      <c r="D842" s="13"/>
    </row>
    <row r="843" spans="3:4" x14ac:dyDescent="0.25">
      <c r="C843" s="13"/>
      <c r="D843" s="13"/>
    </row>
    <row r="844" spans="3:4" x14ac:dyDescent="0.25">
      <c r="C844" s="13"/>
      <c r="D844" s="13"/>
    </row>
    <row r="845" spans="3:4" x14ac:dyDescent="0.25">
      <c r="C845" s="13"/>
      <c r="D845" s="13"/>
    </row>
    <row r="846" spans="3:4" x14ac:dyDescent="0.25">
      <c r="C846" s="13"/>
      <c r="D846" s="13"/>
    </row>
    <row r="847" spans="3:4" x14ac:dyDescent="0.25">
      <c r="C847" s="13"/>
      <c r="D847" s="13"/>
    </row>
    <row r="848" spans="3:4" x14ac:dyDescent="0.25">
      <c r="C848" s="13"/>
      <c r="D848" s="13"/>
    </row>
    <row r="849" spans="3:4" x14ac:dyDescent="0.25">
      <c r="C849" s="13"/>
      <c r="D849" s="13"/>
    </row>
    <row r="850" spans="3:4" x14ac:dyDescent="0.25">
      <c r="C850" s="13"/>
      <c r="D850" s="13"/>
    </row>
    <row r="851" spans="3:4" x14ac:dyDescent="0.25">
      <c r="C851" s="13"/>
      <c r="D851" s="13"/>
    </row>
    <row r="852" spans="3:4" x14ac:dyDescent="0.25">
      <c r="C852" s="13"/>
      <c r="D852" s="13"/>
    </row>
    <row r="853" spans="3:4" x14ac:dyDescent="0.25">
      <c r="C853" s="13"/>
      <c r="D853" s="13"/>
    </row>
    <row r="854" spans="3:4" x14ac:dyDescent="0.25">
      <c r="C854" s="13"/>
      <c r="D854" s="13"/>
    </row>
    <row r="855" spans="3:4" x14ac:dyDescent="0.25">
      <c r="C855" s="13"/>
      <c r="D855" s="13"/>
    </row>
    <row r="856" spans="3:4" x14ac:dyDescent="0.25">
      <c r="C856" s="13"/>
      <c r="D856" s="13"/>
    </row>
    <row r="857" spans="3:4" x14ac:dyDescent="0.25">
      <c r="C857" s="13"/>
      <c r="D857" s="13"/>
    </row>
    <row r="858" spans="3:4" x14ac:dyDescent="0.25">
      <c r="C858" s="13"/>
      <c r="D858" s="13"/>
    </row>
    <row r="859" spans="3:4" x14ac:dyDescent="0.25">
      <c r="C859" s="13"/>
      <c r="D859" s="13"/>
    </row>
    <row r="860" spans="3:4" x14ac:dyDescent="0.25">
      <c r="C860" s="13"/>
      <c r="D860" s="13"/>
    </row>
    <row r="861" spans="3:4" x14ac:dyDescent="0.25">
      <c r="C861" s="13"/>
      <c r="D861" s="13"/>
    </row>
    <row r="862" spans="3:4" x14ac:dyDescent="0.25">
      <c r="C862" s="13"/>
      <c r="D862" s="13"/>
    </row>
    <row r="863" spans="3:4" x14ac:dyDescent="0.25">
      <c r="C863" s="13"/>
      <c r="D863" s="13"/>
    </row>
    <row r="864" spans="3:4" x14ac:dyDescent="0.25">
      <c r="C864" s="13"/>
      <c r="D864" s="13"/>
    </row>
    <row r="865" spans="3:4" x14ac:dyDescent="0.25">
      <c r="C865" s="13"/>
      <c r="D865" s="13"/>
    </row>
    <row r="866" spans="3:4" x14ac:dyDescent="0.25">
      <c r="C866" s="13"/>
      <c r="D866" s="13"/>
    </row>
    <row r="867" spans="3:4" x14ac:dyDescent="0.25">
      <c r="C867" s="13"/>
      <c r="D867" s="13"/>
    </row>
    <row r="868" spans="3:4" x14ac:dyDescent="0.25">
      <c r="C868" s="13"/>
      <c r="D868" s="13"/>
    </row>
    <row r="869" spans="3:4" x14ac:dyDescent="0.25">
      <c r="C869" s="13"/>
      <c r="D869" s="13"/>
    </row>
    <row r="870" spans="3:4" x14ac:dyDescent="0.25">
      <c r="C870" s="13"/>
      <c r="D870" s="13"/>
    </row>
    <row r="871" spans="3:4" x14ac:dyDescent="0.25">
      <c r="C871" s="13"/>
      <c r="D871" s="13"/>
    </row>
    <row r="872" spans="3:4" x14ac:dyDescent="0.25">
      <c r="C872" s="13"/>
      <c r="D872" s="13"/>
    </row>
    <row r="873" spans="3:4" x14ac:dyDescent="0.25">
      <c r="C873" s="13"/>
      <c r="D873" s="13"/>
    </row>
    <row r="874" spans="3:4" x14ac:dyDescent="0.25">
      <c r="C874" s="13"/>
      <c r="D874" s="13"/>
    </row>
    <row r="875" spans="3:4" x14ac:dyDescent="0.25">
      <c r="C875" s="13"/>
      <c r="D875" s="13"/>
    </row>
    <row r="876" spans="3:4" x14ac:dyDescent="0.25">
      <c r="C876" s="13"/>
      <c r="D876" s="13"/>
    </row>
    <row r="877" spans="3:4" x14ac:dyDescent="0.25">
      <c r="C877" s="13"/>
      <c r="D877" s="13"/>
    </row>
    <row r="878" spans="3:4" x14ac:dyDescent="0.25">
      <c r="C878" s="13"/>
      <c r="D878" s="13"/>
    </row>
    <row r="879" spans="3:4" x14ac:dyDescent="0.25">
      <c r="C879" s="13"/>
      <c r="D879" s="13"/>
    </row>
    <row r="880" spans="3:4" x14ac:dyDescent="0.25">
      <c r="C880" s="13"/>
      <c r="D880" s="13"/>
    </row>
    <row r="881" spans="3:4" x14ac:dyDescent="0.25">
      <c r="C881" s="13"/>
      <c r="D881" s="13"/>
    </row>
    <row r="882" spans="3:4" x14ac:dyDescent="0.25">
      <c r="C882" s="13"/>
      <c r="D882" s="13"/>
    </row>
    <row r="883" spans="3:4" x14ac:dyDescent="0.25">
      <c r="C883" s="13"/>
      <c r="D883" s="13"/>
    </row>
    <row r="884" spans="3:4" x14ac:dyDescent="0.25">
      <c r="C884" s="13"/>
      <c r="D884" s="13"/>
    </row>
    <row r="885" spans="3:4" x14ac:dyDescent="0.25">
      <c r="C885" s="13"/>
      <c r="D885" s="13"/>
    </row>
    <row r="886" spans="3:4" x14ac:dyDescent="0.25">
      <c r="C886" s="13"/>
      <c r="D886" s="13"/>
    </row>
    <row r="887" spans="3:4" x14ac:dyDescent="0.25">
      <c r="C887" s="13"/>
      <c r="D887" s="13"/>
    </row>
    <row r="888" spans="3:4" x14ac:dyDescent="0.25">
      <c r="C888" s="13"/>
      <c r="D888" s="13"/>
    </row>
    <row r="889" spans="3:4" x14ac:dyDescent="0.25">
      <c r="C889" s="13"/>
      <c r="D889" s="13"/>
    </row>
    <row r="890" spans="3:4" x14ac:dyDescent="0.25">
      <c r="C890" s="13"/>
      <c r="D890" s="13"/>
    </row>
    <row r="891" spans="3:4" x14ac:dyDescent="0.25">
      <c r="C891" s="13"/>
      <c r="D891" s="13"/>
    </row>
    <row r="892" spans="3:4" x14ac:dyDescent="0.25">
      <c r="C892" s="13"/>
      <c r="D892" s="13"/>
    </row>
    <row r="893" spans="3:4" x14ac:dyDescent="0.25">
      <c r="C893" s="13"/>
      <c r="D893" s="13"/>
    </row>
    <row r="894" spans="3:4" x14ac:dyDescent="0.25">
      <c r="C894" s="13"/>
      <c r="D894" s="13"/>
    </row>
    <row r="895" spans="3:4" x14ac:dyDescent="0.25">
      <c r="C895" s="13"/>
      <c r="D895" s="13"/>
    </row>
    <row r="896" spans="3:4" x14ac:dyDescent="0.25">
      <c r="C896" s="13"/>
      <c r="D896" s="13"/>
    </row>
    <row r="897" spans="3:4" x14ac:dyDescent="0.25">
      <c r="C897" s="13"/>
      <c r="D897" s="13"/>
    </row>
    <row r="898" spans="3:4" x14ac:dyDescent="0.25">
      <c r="C898" s="13"/>
      <c r="D898" s="13"/>
    </row>
    <row r="899" spans="3:4" x14ac:dyDescent="0.25">
      <c r="C899" s="13"/>
      <c r="D899" s="13"/>
    </row>
    <row r="900" spans="3:4" x14ac:dyDescent="0.25">
      <c r="C900" s="13"/>
      <c r="D900" s="13"/>
    </row>
    <row r="901" spans="3:4" x14ac:dyDescent="0.25">
      <c r="C901" s="13"/>
      <c r="D901" s="13"/>
    </row>
    <row r="902" spans="3:4" x14ac:dyDescent="0.25">
      <c r="C902" s="13"/>
      <c r="D902" s="13"/>
    </row>
    <row r="903" spans="3:4" x14ac:dyDescent="0.25">
      <c r="C903" s="13"/>
      <c r="D903" s="13"/>
    </row>
    <row r="904" spans="3:4" x14ac:dyDescent="0.25">
      <c r="C904" s="13"/>
      <c r="D904" s="13"/>
    </row>
    <row r="905" spans="3:4" x14ac:dyDescent="0.25">
      <c r="C905" s="13"/>
      <c r="D905" s="13"/>
    </row>
    <row r="906" spans="3:4" x14ac:dyDescent="0.25">
      <c r="C906" s="13"/>
      <c r="D906" s="13"/>
    </row>
    <row r="907" spans="3:4" x14ac:dyDescent="0.25">
      <c r="C907" s="13"/>
      <c r="D907" s="13"/>
    </row>
    <row r="908" spans="3:4" x14ac:dyDescent="0.25">
      <c r="C908" s="13"/>
      <c r="D908" s="13"/>
    </row>
    <row r="909" spans="3:4" x14ac:dyDescent="0.25">
      <c r="C909" s="13"/>
      <c r="D909" s="13"/>
    </row>
    <row r="910" spans="3:4" x14ac:dyDescent="0.25">
      <c r="C910" s="13"/>
      <c r="D910" s="13"/>
    </row>
    <row r="911" spans="3:4" x14ac:dyDescent="0.25">
      <c r="C911" s="13"/>
      <c r="D911" s="13"/>
    </row>
    <row r="912" spans="3:4" x14ac:dyDescent="0.25">
      <c r="C912" s="13"/>
      <c r="D912" s="13"/>
    </row>
    <row r="913" spans="3:4" x14ac:dyDescent="0.25">
      <c r="C913" s="13"/>
      <c r="D913" s="13"/>
    </row>
    <row r="914" spans="3:4" x14ac:dyDescent="0.25">
      <c r="C914" s="13"/>
      <c r="D914" s="13"/>
    </row>
    <row r="915" spans="3:4" x14ac:dyDescent="0.25">
      <c r="C915" s="13"/>
      <c r="D915" s="13"/>
    </row>
    <row r="916" spans="3:4" x14ac:dyDescent="0.25">
      <c r="C916" s="13"/>
      <c r="D916" s="13"/>
    </row>
    <row r="917" spans="3:4" x14ac:dyDescent="0.25">
      <c r="C917" s="13"/>
      <c r="D917" s="13"/>
    </row>
    <row r="918" spans="3:4" x14ac:dyDescent="0.25">
      <c r="C918" s="13"/>
      <c r="D918" s="13"/>
    </row>
    <row r="919" spans="3:4" x14ac:dyDescent="0.25">
      <c r="C919" s="13"/>
      <c r="D919" s="13"/>
    </row>
    <row r="920" spans="3:4" x14ac:dyDescent="0.25">
      <c r="C920" s="13"/>
      <c r="D920" s="13"/>
    </row>
    <row r="921" spans="3:4" x14ac:dyDescent="0.25">
      <c r="C921" s="13"/>
      <c r="D921" s="13"/>
    </row>
    <row r="922" spans="3:4" x14ac:dyDescent="0.25">
      <c r="C922" s="13"/>
      <c r="D922" s="13"/>
    </row>
    <row r="923" spans="3:4" x14ac:dyDescent="0.25">
      <c r="C923" s="13"/>
      <c r="D923" s="13"/>
    </row>
    <row r="924" spans="3:4" x14ac:dyDescent="0.25">
      <c r="C924" s="13"/>
      <c r="D924" s="13"/>
    </row>
    <row r="925" spans="3:4" x14ac:dyDescent="0.25">
      <c r="C925" s="13"/>
      <c r="D925" s="13"/>
    </row>
    <row r="926" spans="3:4" x14ac:dyDescent="0.25">
      <c r="C926" s="13"/>
      <c r="D926" s="13"/>
    </row>
    <row r="927" spans="3:4" x14ac:dyDescent="0.25">
      <c r="C927" s="13"/>
      <c r="D927" s="13"/>
    </row>
    <row r="928" spans="3:4" x14ac:dyDescent="0.25">
      <c r="C928" s="13"/>
      <c r="D928" s="13"/>
    </row>
    <row r="929" spans="3:4" x14ac:dyDescent="0.25">
      <c r="C929" s="13"/>
      <c r="D929" s="13"/>
    </row>
    <row r="930" spans="3:4" x14ac:dyDescent="0.25">
      <c r="C930" s="13"/>
      <c r="D930" s="13"/>
    </row>
    <row r="931" spans="3:4" x14ac:dyDescent="0.25">
      <c r="C931" s="13"/>
      <c r="D931" s="13"/>
    </row>
    <row r="932" spans="3:4" x14ac:dyDescent="0.25">
      <c r="C932" s="13"/>
      <c r="D932" s="13"/>
    </row>
    <row r="933" spans="3:4" x14ac:dyDescent="0.25">
      <c r="C933" s="13"/>
      <c r="D933" s="13"/>
    </row>
    <row r="934" spans="3:4" x14ac:dyDescent="0.25">
      <c r="C934" s="13"/>
      <c r="D934" s="13"/>
    </row>
    <row r="935" spans="3:4" x14ac:dyDescent="0.25">
      <c r="C935" s="13"/>
      <c r="D935" s="13"/>
    </row>
    <row r="936" spans="3:4" x14ac:dyDescent="0.25">
      <c r="C936" s="13"/>
      <c r="D936" s="13"/>
    </row>
    <row r="937" spans="3:4" x14ac:dyDescent="0.25">
      <c r="C937" s="13"/>
      <c r="D937" s="13"/>
    </row>
    <row r="938" spans="3:4" x14ac:dyDescent="0.25">
      <c r="C938" s="13"/>
      <c r="D938" s="13"/>
    </row>
    <row r="939" spans="3:4" x14ac:dyDescent="0.25">
      <c r="C939" s="13"/>
      <c r="D939" s="13"/>
    </row>
    <row r="940" spans="3:4" x14ac:dyDescent="0.25">
      <c r="C940" s="13"/>
      <c r="D940" s="13"/>
    </row>
    <row r="941" spans="3:4" x14ac:dyDescent="0.25">
      <c r="C941" s="13"/>
      <c r="D941" s="13"/>
    </row>
    <row r="942" spans="3:4" x14ac:dyDescent="0.25">
      <c r="C942" s="13"/>
      <c r="D942" s="13"/>
    </row>
    <row r="943" spans="3:4" x14ac:dyDescent="0.25">
      <c r="C943" s="13"/>
      <c r="D943" s="13"/>
    </row>
    <row r="944" spans="3:4" x14ac:dyDescent="0.25">
      <c r="C944" s="13"/>
      <c r="D944" s="13"/>
    </row>
    <row r="945" spans="3:4" x14ac:dyDescent="0.25">
      <c r="C945" s="13"/>
      <c r="D945" s="13"/>
    </row>
    <row r="946" spans="3:4" x14ac:dyDescent="0.25">
      <c r="C946" s="13"/>
      <c r="D946" s="13"/>
    </row>
    <row r="947" spans="3:4" x14ac:dyDescent="0.25">
      <c r="C947" s="13"/>
      <c r="D947" s="13"/>
    </row>
    <row r="948" spans="3:4" x14ac:dyDescent="0.25">
      <c r="C948" s="13"/>
      <c r="D948" s="13"/>
    </row>
    <row r="949" spans="3:4" x14ac:dyDescent="0.25">
      <c r="C949" s="13"/>
      <c r="D949" s="13"/>
    </row>
    <row r="950" spans="3:4" x14ac:dyDescent="0.25">
      <c r="C950" s="13"/>
      <c r="D950" s="13"/>
    </row>
    <row r="951" spans="3:4" x14ac:dyDescent="0.25">
      <c r="C951" s="13"/>
      <c r="D951" s="13"/>
    </row>
    <row r="952" spans="3:4" x14ac:dyDescent="0.25">
      <c r="C952" s="13"/>
      <c r="D952" s="13"/>
    </row>
    <row r="953" spans="3:4" x14ac:dyDescent="0.25">
      <c r="C953" s="13"/>
      <c r="D953" s="13"/>
    </row>
    <row r="954" spans="3:4" x14ac:dyDescent="0.25">
      <c r="C954" s="13"/>
      <c r="D954" s="13"/>
    </row>
    <row r="955" spans="3:4" x14ac:dyDescent="0.25">
      <c r="C955" s="13"/>
      <c r="D955" s="13"/>
    </row>
    <row r="956" spans="3:4" x14ac:dyDescent="0.25">
      <c r="C956" s="13"/>
      <c r="D956" s="13"/>
    </row>
    <row r="957" spans="3:4" x14ac:dyDescent="0.25">
      <c r="C957" s="13"/>
      <c r="D957" s="13"/>
    </row>
    <row r="958" spans="3:4" x14ac:dyDescent="0.25">
      <c r="C958" s="13"/>
      <c r="D958" s="13"/>
    </row>
    <row r="959" spans="3:4" x14ac:dyDescent="0.25">
      <c r="C959" s="13"/>
      <c r="D959" s="13"/>
    </row>
    <row r="960" spans="3:4" x14ac:dyDescent="0.25">
      <c r="C960" s="13"/>
      <c r="D960" s="13"/>
    </row>
    <row r="961" spans="3:4" x14ac:dyDescent="0.25">
      <c r="C961" s="13"/>
      <c r="D961" s="13"/>
    </row>
    <row r="962" spans="3:4" x14ac:dyDescent="0.25">
      <c r="C962" s="13"/>
      <c r="D962" s="13"/>
    </row>
    <row r="963" spans="3:4" x14ac:dyDescent="0.25">
      <c r="C963" s="13"/>
      <c r="D963" s="13"/>
    </row>
    <row r="964" spans="3:4" x14ac:dyDescent="0.25">
      <c r="C964" s="13"/>
      <c r="D964" s="13"/>
    </row>
    <row r="965" spans="3:4" x14ac:dyDescent="0.25">
      <c r="C965" s="13"/>
      <c r="D965" s="13"/>
    </row>
    <row r="966" spans="3:4" x14ac:dyDescent="0.25">
      <c r="C966" s="13"/>
      <c r="D966" s="13"/>
    </row>
    <row r="967" spans="3:4" x14ac:dyDescent="0.25">
      <c r="C967" s="13"/>
      <c r="D967" s="13"/>
    </row>
    <row r="968" spans="3:4" x14ac:dyDescent="0.25">
      <c r="C968" s="13"/>
      <c r="D968" s="13"/>
    </row>
    <row r="969" spans="3:4" x14ac:dyDescent="0.25">
      <c r="C969" s="13"/>
      <c r="D969" s="13"/>
    </row>
    <row r="970" spans="3:4" x14ac:dyDescent="0.25">
      <c r="C970" s="13"/>
      <c r="D970" s="13"/>
    </row>
    <row r="971" spans="3:4" x14ac:dyDescent="0.25">
      <c r="C971" s="13"/>
      <c r="D971" s="13"/>
    </row>
    <row r="972" spans="3:4" x14ac:dyDescent="0.25">
      <c r="C972" s="13"/>
      <c r="D972" s="13"/>
    </row>
    <row r="973" spans="3:4" x14ac:dyDescent="0.25">
      <c r="C973" s="13"/>
      <c r="D973" s="13"/>
    </row>
    <row r="974" spans="3:4" x14ac:dyDescent="0.25">
      <c r="C974" s="13"/>
      <c r="D974" s="13"/>
    </row>
    <row r="975" spans="3:4" x14ac:dyDescent="0.25">
      <c r="C975" s="13"/>
      <c r="D975" s="13"/>
    </row>
    <row r="976" spans="3:4" x14ac:dyDescent="0.25">
      <c r="C976" s="13"/>
      <c r="D976" s="13"/>
    </row>
    <row r="977" spans="3:4" x14ac:dyDescent="0.25">
      <c r="C977" s="13"/>
      <c r="D977" s="13"/>
    </row>
    <row r="978" spans="3:4" x14ac:dyDescent="0.25">
      <c r="C978" s="13"/>
      <c r="D978" s="13"/>
    </row>
    <row r="979" spans="3:4" x14ac:dyDescent="0.25">
      <c r="C979" s="13"/>
      <c r="D979" s="13"/>
    </row>
    <row r="980" spans="3:4" x14ac:dyDescent="0.25">
      <c r="C980" s="13"/>
      <c r="D980" s="13"/>
    </row>
    <row r="981" spans="3:4" x14ac:dyDescent="0.25">
      <c r="C981" s="13"/>
      <c r="D981" s="13"/>
    </row>
    <row r="982" spans="3:4" x14ac:dyDescent="0.25">
      <c r="C982" s="13"/>
      <c r="D982" s="13"/>
    </row>
    <row r="983" spans="3:4" x14ac:dyDescent="0.25">
      <c r="C983" s="13"/>
      <c r="D983" s="13"/>
    </row>
    <row r="984" spans="3:4" x14ac:dyDescent="0.25">
      <c r="C984" s="13"/>
      <c r="D984" s="13"/>
    </row>
    <row r="985" spans="3:4" x14ac:dyDescent="0.25">
      <c r="C985" s="13"/>
      <c r="D985" s="13"/>
    </row>
    <row r="986" spans="3:4" x14ac:dyDescent="0.25">
      <c r="C986" s="13"/>
      <c r="D986" s="13"/>
    </row>
    <row r="987" spans="3:4" x14ac:dyDescent="0.25">
      <c r="C987" s="13"/>
      <c r="D987" s="13"/>
    </row>
    <row r="988" spans="3:4" x14ac:dyDescent="0.25">
      <c r="C988" s="13"/>
      <c r="D988" s="13"/>
    </row>
    <row r="989" spans="3:4" x14ac:dyDescent="0.25">
      <c r="C989" s="13"/>
      <c r="D989" s="13"/>
    </row>
    <row r="990" spans="3:4" x14ac:dyDescent="0.25">
      <c r="C990" s="13"/>
      <c r="D990" s="13"/>
    </row>
    <row r="991" spans="3:4" x14ac:dyDescent="0.25">
      <c r="C991" s="13"/>
      <c r="D991" s="13"/>
    </row>
    <row r="992" spans="3:4" x14ac:dyDescent="0.25">
      <c r="C992" s="13"/>
      <c r="D992" s="13"/>
    </row>
    <row r="993" spans="3:4" x14ac:dyDescent="0.25">
      <c r="C993" s="13"/>
      <c r="D993" s="13"/>
    </row>
    <row r="994" spans="3:4" x14ac:dyDescent="0.25">
      <c r="C994" s="13"/>
      <c r="D994" s="13"/>
    </row>
    <row r="995" spans="3:4" x14ac:dyDescent="0.25">
      <c r="C995" s="13"/>
      <c r="D995" s="13"/>
    </row>
    <row r="996" spans="3:4" x14ac:dyDescent="0.25">
      <c r="C996" s="13"/>
      <c r="D996" s="13"/>
    </row>
    <row r="997" spans="3:4" x14ac:dyDescent="0.25">
      <c r="C997" s="13"/>
      <c r="D997" s="13"/>
    </row>
    <row r="998" spans="3:4" x14ac:dyDescent="0.25">
      <c r="C998" s="13"/>
      <c r="D998" s="13"/>
    </row>
  </sheetData>
  <mergeCells count="1">
    <mergeCell ref="C1: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7EFDE-06EF-45BC-941A-FFFD84A0778D}">
  <dimension ref="E1:K11"/>
  <sheetViews>
    <sheetView showGridLines="0" topLeftCell="B4" workbookViewId="0">
      <selection activeCell="K4" sqref="K4"/>
    </sheetView>
  </sheetViews>
  <sheetFormatPr defaultRowHeight="13.2" x14ac:dyDescent="0.25"/>
  <cols>
    <col min="1" max="3" width="8.88671875" style="11"/>
    <col min="4" max="4" width="3.88671875" style="11" customWidth="1"/>
    <col min="5" max="5" width="16.44140625" style="11" customWidth="1"/>
    <col min="6" max="6" width="17.6640625" style="11" customWidth="1"/>
    <col min="7" max="7" width="14.109375" style="11" customWidth="1"/>
    <col min="8" max="8" width="20.33203125" style="11" customWidth="1"/>
    <col min="9" max="9" width="28.88671875" style="11" customWidth="1"/>
    <col min="10" max="10" width="62.6640625" style="11" customWidth="1"/>
    <col min="11" max="11" width="14.5546875" style="11" customWidth="1"/>
    <col min="12" max="16384" width="8.88671875" style="11"/>
  </cols>
  <sheetData>
    <row r="1" spans="5:11" ht="19.2" customHeight="1" x14ac:dyDescent="0.25">
      <c r="E1" s="319" t="s">
        <v>135</v>
      </c>
      <c r="F1" s="319"/>
      <c r="G1" s="319"/>
      <c r="H1" s="319"/>
      <c r="I1" s="319"/>
    </row>
    <row r="2" spans="5:11" ht="66" x14ac:dyDescent="0.25">
      <c r="E2" s="73" t="s">
        <v>222</v>
      </c>
      <c r="F2" s="74" t="s">
        <v>7</v>
      </c>
      <c r="G2" s="74" t="s">
        <v>8</v>
      </c>
      <c r="H2" s="74" t="s">
        <v>176</v>
      </c>
      <c r="I2" s="74" t="s">
        <v>216</v>
      </c>
      <c r="K2" s="140" t="s">
        <v>397</v>
      </c>
    </row>
    <row r="3" spans="5:11" ht="48.6" customHeight="1" x14ac:dyDescent="0.25">
      <c r="E3" s="9" t="s">
        <v>125</v>
      </c>
      <c r="F3" s="9" t="s">
        <v>130</v>
      </c>
      <c r="G3" s="9">
        <v>2024</v>
      </c>
      <c r="H3" s="39">
        <f>20000000</f>
        <v>20000000</v>
      </c>
      <c r="I3" s="9" t="s">
        <v>223</v>
      </c>
    </row>
    <row r="4" spans="5:11" ht="66" x14ac:dyDescent="0.25">
      <c r="E4" s="8" t="s">
        <v>126</v>
      </c>
      <c r="F4" s="8" t="s">
        <v>131</v>
      </c>
      <c r="G4" s="8">
        <v>2025</v>
      </c>
      <c r="H4" s="10">
        <f>26000000</f>
        <v>26000000</v>
      </c>
      <c r="I4" s="14" t="s">
        <v>224</v>
      </c>
      <c r="J4" s="95" t="s">
        <v>239</v>
      </c>
      <c r="K4" s="94" t="s">
        <v>240</v>
      </c>
    </row>
    <row r="5" spans="5:11" ht="39.6" x14ac:dyDescent="0.25">
      <c r="E5" s="8" t="s">
        <v>127</v>
      </c>
      <c r="F5" s="8" t="s">
        <v>132</v>
      </c>
      <c r="G5" s="8">
        <v>2027</v>
      </c>
      <c r="H5" s="10">
        <f>40000000</f>
        <v>40000000</v>
      </c>
      <c r="I5" s="8" t="s">
        <v>225</v>
      </c>
    </row>
    <row r="6" spans="5:11" ht="39.6" x14ac:dyDescent="0.25">
      <c r="E6" s="8" t="s">
        <v>128</v>
      </c>
      <c r="F6" s="8" t="s">
        <v>133</v>
      </c>
      <c r="G6" s="8">
        <v>2029</v>
      </c>
      <c r="H6" s="10">
        <f>62000000</f>
        <v>62000000</v>
      </c>
      <c r="I6" s="8" t="s">
        <v>225</v>
      </c>
    </row>
    <row r="7" spans="5:11" ht="39.6" x14ac:dyDescent="0.25">
      <c r="E7" s="8" t="s">
        <v>129</v>
      </c>
      <c r="F7" s="8" t="s">
        <v>134</v>
      </c>
      <c r="G7" s="8">
        <v>2031</v>
      </c>
      <c r="H7" s="10">
        <v>80000000</v>
      </c>
      <c r="I7" s="14" t="s">
        <v>225</v>
      </c>
      <c r="J7" s="318" t="s">
        <v>181</v>
      </c>
    </row>
    <row r="8" spans="5:11" ht="39.6" x14ac:dyDescent="0.25">
      <c r="E8" s="8" t="s">
        <v>129</v>
      </c>
      <c r="F8" s="8" t="s">
        <v>134</v>
      </c>
      <c r="G8" s="8">
        <v>2032</v>
      </c>
      <c r="H8" s="10">
        <v>100000000</v>
      </c>
      <c r="I8" s="14" t="s">
        <v>225</v>
      </c>
      <c r="J8" s="318"/>
    </row>
    <row r="9" spans="5:11" ht="39.6" x14ac:dyDescent="0.25">
      <c r="E9" s="8" t="s">
        <v>129</v>
      </c>
      <c r="F9" s="8" t="s">
        <v>134</v>
      </c>
      <c r="G9" s="8">
        <v>2033</v>
      </c>
      <c r="H9" s="10">
        <v>150000000</v>
      </c>
      <c r="I9" s="14" t="s">
        <v>225</v>
      </c>
      <c r="J9" s="318"/>
    </row>
    <row r="10" spans="5:11" ht="39.6" x14ac:dyDescent="0.25">
      <c r="E10" s="8" t="s">
        <v>129</v>
      </c>
      <c r="F10" s="8" t="s">
        <v>134</v>
      </c>
      <c r="G10" s="8">
        <v>2034</v>
      </c>
      <c r="H10" s="10">
        <v>200000000</v>
      </c>
      <c r="I10" s="14" t="s">
        <v>225</v>
      </c>
      <c r="J10" s="318"/>
    </row>
    <row r="11" spans="5:11" x14ac:dyDescent="0.25">
      <c r="E11" s="8" t="s">
        <v>65</v>
      </c>
      <c r="F11" s="8" t="s">
        <v>173</v>
      </c>
      <c r="G11" s="8">
        <v>2063</v>
      </c>
      <c r="H11" s="10" t="s">
        <v>173</v>
      </c>
      <c r="I11" s="14" t="s">
        <v>173</v>
      </c>
    </row>
  </sheetData>
  <mergeCells count="2">
    <mergeCell ref="J7:J10"/>
    <mergeCell ref="E1:I1"/>
  </mergeCells>
  <hyperlinks>
    <hyperlink ref="K2" r:id="rId1" xr:uid="{ED1DCC3B-39A1-408A-8218-274A42A90521}"/>
    <hyperlink ref="K4" r:id="rId2" xr:uid="{26CD0F37-23B3-44E5-83F0-A10A6963B4B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23D55-58DD-4EA0-A7FA-43D180C38FFC}">
  <dimension ref="E1:J8"/>
  <sheetViews>
    <sheetView showGridLines="0" topLeftCell="A3" workbookViewId="0">
      <selection activeCell="J3" sqref="J3"/>
    </sheetView>
  </sheetViews>
  <sheetFormatPr defaultRowHeight="13.2" x14ac:dyDescent="0.25"/>
  <cols>
    <col min="1" max="4" width="8.88671875" style="11"/>
    <col min="5" max="5" width="29.109375" style="11" customWidth="1"/>
    <col min="6" max="6" width="21" style="11" customWidth="1"/>
    <col min="7" max="7" width="29.88671875" style="11" customWidth="1"/>
    <col min="8" max="8" width="17.88671875" style="11" customWidth="1"/>
    <col min="9" max="9" width="27.6640625" style="11" customWidth="1"/>
    <col min="10" max="10" width="34.33203125" style="11" customWidth="1"/>
    <col min="11" max="16384" width="8.88671875" style="11"/>
  </cols>
  <sheetData>
    <row r="1" spans="5:10" ht="39" customHeight="1" x14ac:dyDescent="0.25">
      <c r="E1" s="320" t="s">
        <v>144</v>
      </c>
      <c r="F1" s="321"/>
      <c r="G1" s="321"/>
      <c r="H1" s="321"/>
      <c r="I1" s="321"/>
      <c r="J1" s="322" t="s">
        <v>147</v>
      </c>
    </row>
    <row r="2" spans="5:10" ht="26.4" x14ac:dyDescent="0.25">
      <c r="E2" s="76" t="s">
        <v>222</v>
      </c>
      <c r="F2" s="77" t="s">
        <v>47</v>
      </c>
      <c r="G2" s="77" t="s">
        <v>8</v>
      </c>
      <c r="H2" s="77" t="s">
        <v>176</v>
      </c>
      <c r="I2" s="74" t="s">
        <v>216</v>
      </c>
      <c r="J2" s="322"/>
    </row>
    <row r="3" spans="5:10" ht="66" customHeight="1" x14ac:dyDescent="0.25">
      <c r="E3" s="8" t="s">
        <v>141</v>
      </c>
      <c r="F3" s="8" t="s">
        <v>148</v>
      </c>
      <c r="G3" s="8">
        <v>2029</v>
      </c>
      <c r="H3" s="10">
        <v>15000000</v>
      </c>
      <c r="I3" s="9" t="s">
        <v>226</v>
      </c>
      <c r="J3" s="94" t="s">
        <v>398</v>
      </c>
    </row>
    <row r="4" spans="5:10" ht="47.4" customHeight="1" x14ac:dyDescent="0.25">
      <c r="E4" s="8" t="s">
        <v>142</v>
      </c>
      <c r="F4" s="8" t="s">
        <v>149</v>
      </c>
      <c r="G4" s="8">
        <v>2031</v>
      </c>
      <c r="H4" s="10">
        <v>35000000</v>
      </c>
      <c r="I4" s="9" t="s">
        <v>226</v>
      </c>
    </row>
    <row r="5" spans="5:10" ht="54.6" customHeight="1" x14ac:dyDescent="0.25">
      <c r="E5" s="8" t="s">
        <v>143</v>
      </c>
      <c r="F5" s="8" t="s">
        <v>28</v>
      </c>
      <c r="G5" s="8">
        <v>2034</v>
      </c>
      <c r="H5" s="10">
        <v>60000000</v>
      </c>
      <c r="I5" s="9" t="s">
        <v>226</v>
      </c>
    </row>
    <row r="6" spans="5:10" ht="62.4" customHeight="1" x14ac:dyDescent="0.25">
      <c r="E6" s="8" t="s">
        <v>143</v>
      </c>
      <c r="F6" s="8" t="s">
        <v>28</v>
      </c>
      <c r="G6" s="8">
        <v>2035</v>
      </c>
      <c r="H6" s="10">
        <v>70000000</v>
      </c>
      <c r="I6" s="9" t="s">
        <v>226</v>
      </c>
    </row>
    <row r="7" spans="5:10" ht="66" customHeight="1" x14ac:dyDescent="0.25">
      <c r="E7" s="8" t="s">
        <v>143</v>
      </c>
      <c r="F7" s="8" t="s">
        <v>28</v>
      </c>
      <c r="G7" s="8">
        <v>2036</v>
      </c>
      <c r="H7" s="10">
        <v>80000000</v>
      </c>
      <c r="I7" s="9" t="s">
        <v>226</v>
      </c>
    </row>
    <row r="8" spans="5:10" x14ac:dyDescent="0.25">
      <c r="E8" s="8" t="s">
        <v>65</v>
      </c>
      <c r="F8" s="8" t="s">
        <v>173</v>
      </c>
      <c r="G8" s="8">
        <v>2068</v>
      </c>
      <c r="H8" s="10" t="s">
        <v>173</v>
      </c>
      <c r="I8" s="9" t="s">
        <v>173</v>
      </c>
    </row>
  </sheetData>
  <mergeCells count="2">
    <mergeCell ref="E1:I1"/>
    <mergeCell ref="J1:J2"/>
  </mergeCells>
  <hyperlinks>
    <hyperlink ref="J3" r:id="rId1" xr:uid="{8B07E30C-583D-42A3-9FCD-2DAEBFC47B6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CBB8-D2C5-4879-83C5-7137F18B173F}">
  <dimension ref="A1:J998"/>
  <sheetViews>
    <sheetView showGridLines="0" topLeftCell="B5" zoomScale="85" zoomScaleNormal="85" workbookViewId="0">
      <selection activeCell="D7" sqref="D7"/>
    </sheetView>
  </sheetViews>
  <sheetFormatPr defaultRowHeight="13.2" x14ac:dyDescent="0.25"/>
  <cols>
    <col min="1" max="1" width="8.88671875" style="11" hidden="1" customWidth="1"/>
    <col min="2" max="2" width="8.88671875" style="11" customWidth="1"/>
    <col min="3" max="3" width="16.77734375" style="11" customWidth="1"/>
    <col min="4" max="4" width="24" style="11" customWidth="1"/>
    <col min="5" max="5" width="19.33203125" style="11" customWidth="1"/>
    <col min="6" max="6" width="11.33203125" style="11" customWidth="1"/>
    <col min="7" max="7" width="26" style="11" customWidth="1"/>
    <col min="8" max="8" width="34.77734375" style="11" customWidth="1"/>
    <col min="9" max="10" width="32.5546875" style="11" customWidth="1"/>
    <col min="11" max="16384" width="8.88671875" style="11"/>
  </cols>
  <sheetData>
    <row r="1" spans="2:10" ht="27.6" customHeight="1" x14ac:dyDescent="0.25">
      <c r="B1" s="323" t="s">
        <v>1</v>
      </c>
      <c r="C1" s="323"/>
      <c r="D1" s="323"/>
      <c r="E1" s="323"/>
      <c r="F1" s="323"/>
      <c r="G1" s="323"/>
      <c r="H1" s="323"/>
      <c r="I1" s="323"/>
      <c r="J1" s="323"/>
    </row>
    <row r="2" spans="2:10" ht="33" customHeight="1" x14ac:dyDescent="0.25">
      <c r="B2" s="79" t="s">
        <v>229</v>
      </c>
      <c r="C2" s="78" t="s">
        <v>9</v>
      </c>
      <c r="D2" s="78" t="s">
        <v>10</v>
      </c>
      <c r="E2" s="68" t="s">
        <v>6</v>
      </c>
      <c r="F2" s="68" t="s">
        <v>3</v>
      </c>
      <c r="G2" s="68" t="s">
        <v>150</v>
      </c>
      <c r="H2" s="68" t="s">
        <v>159</v>
      </c>
      <c r="I2" s="68" t="s">
        <v>171</v>
      </c>
      <c r="J2" s="68" t="s">
        <v>172</v>
      </c>
    </row>
    <row r="3" spans="2:10" ht="52.8" x14ac:dyDescent="0.25">
      <c r="B3" s="73">
        <v>1</v>
      </c>
      <c r="C3" s="87" t="s">
        <v>138</v>
      </c>
      <c r="D3" s="8" t="s">
        <v>136</v>
      </c>
      <c r="E3" s="8" t="s">
        <v>137</v>
      </c>
      <c r="F3" s="8"/>
      <c r="G3" s="8" t="s">
        <v>19</v>
      </c>
      <c r="H3" s="8" t="s">
        <v>166</v>
      </c>
      <c r="I3" s="8" t="s">
        <v>139</v>
      </c>
      <c r="J3" s="8" t="s">
        <v>173</v>
      </c>
    </row>
    <row r="4" spans="2:10" ht="52.8" x14ac:dyDescent="0.25">
      <c r="B4" s="73">
        <v>2</v>
      </c>
      <c r="C4" s="87">
        <v>2032</v>
      </c>
      <c r="D4" s="8" t="s">
        <v>22</v>
      </c>
      <c r="E4" s="8">
        <v>30</v>
      </c>
      <c r="F4" s="8" t="s">
        <v>37</v>
      </c>
      <c r="G4" s="8" t="s">
        <v>23</v>
      </c>
      <c r="H4" s="8" t="s">
        <v>167</v>
      </c>
      <c r="I4" s="8" t="s">
        <v>227</v>
      </c>
      <c r="J4" s="8" t="s">
        <v>141</v>
      </c>
    </row>
    <row r="5" spans="2:10" ht="39.6" x14ac:dyDescent="0.25">
      <c r="B5" s="73">
        <v>3</v>
      </c>
      <c r="C5" s="87">
        <v>2034</v>
      </c>
      <c r="D5" s="8" t="s">
        <v>151</v>
      </c>
      <c r="E5" s="8">
        <v>32</v>
      </c>
      <c r="F5" s="8"/>
      <c r="G5" s="8" t="s">
        <v>29</v>
      </c>
      <c r="H5" s="8" t="s">
        <v>160</v>
      </c>
      <c r="I5" s="8" t="s">
        <v>140</v>
      </c>
      <c r="J5" s="8" t="s">
        <v>174</v>
      </c>
    </row>
    <row r="6" spans="2:10" ht="39.6" x14ac:dyDescent="0.25">
      <c r="B6" s="73">
        <v>4</v>
      </c>
      <c r="C6" s="87">
        <v>2040</v>
      </c>
      <c r="D6" s="8" t="s">
        <v>152</v>
      </c>
      <c r="E6" s="8">
        <v>38</v>
      </c>
      <c r="F6" s="8" t="s">
        <v>34</v>
      </c>
      <c r="G6" s="15" t="s">
        <v>36</v>
      </c>
      <c r="H6" s="8" t="s">
        <v>161</v>
      </c>
      <c r="I6" s="8" t="s">
        <v>140</v>
      </c>
      <c r="J6" s="8" t="s">
        <v>175</v>
      </c>
    </row>
    <row r="7" spans="2:10" ht="39.6" x14ac:dyDescent="0.25">
      <c r="B7" s="73">
        <v>5</v>
      </c>
      <c r="C7" s="87">
        <v>2042</v>
      </c>
      <c r="D7" s="8" t="s">
        <v>153</v>
      </c>
      <c r="E7" s="8">
        <v>40</v>
      </c>
      <c r="F7" s="8"/>
      <c r="G7" s="16" t="s">
        <v>43</v>
      </c>
      <c r="H7" s="12" t="s">
        <v>162</v>
      </c>
      <c r="I7" s="8" t="s">
        <v>140</v>
      </c>
      <c r="J7" s="8" t="s">
        <v>143</v>
      </c>
    </row>
    <row r="8" spans="2:10" ht="39.6" x14ac:dyDescent="0.25">
      <c r="B8" s="73">
        <v>6</v>
      </c>
      <c r="C8" s="87">
        <v>2047</v>
      </c>
      <c r="D8" s="8" t="s">
        <v>154</v>
      </c>
      <c r="E8" s="8">
        <v>45</v>
      </c>
      <c r="F8" s="8"/>
      <c r="G8" s="9" t="s">
        <v>29</v>
      </c>
      <c r="H8" s="8" t="s">
        <v>163</v>
      </c>
      <c r="I8" s="8" t="s">
        <v>140</v>
      </c>
      <c r="J8" s="8" t="s">
        <v>143</v>
      </c>
    </row>
    <row r="9" spans="2:10" ht="39.6" x14ac:dyDescent="0.25">
      <c r="B9" s="73">
        <v>7</v>
      </c>
      <c r="C9" s="87">
        <v>2053</v>
      </c>
      <c r="D9" s="8" t="s">
        <v>155</v>
      </c>
      <c r="E9" s="8">
        <v>51</v>
      </c>
      <c r="F9" s="8" t="s">
        <v>49</v>
      </c>
      <c r="G9" s="8" t="s">
        <v>51</v>
      </c>
      <c r="H9" s="8" t="s">
        <v>164</v>
      </c>
      <c r="I9" s="8" t="s">
        <v>140</v>
      </c>
      <c r="J9" s="8" t="s">
        <v>143</v>
      </c>
    </row>
    <row r="10" spans="2:10" ht="39.6" x14ac:dyDescent="0.25">
      <c r="B10" s="73">
        <v>8</v>
      </c>
      <c r="C10" s="87">
        <v>2057</v>
      </c>
      <c r="D10" s="8" t="s">
        <v>156</v>
      </c>
      <c r="E10" s="8">
        <v>55</v>
      </c>
      <c r="F10" s="8"/>
      <c r="G10" s="8" t="s">
        <v>54</v>
      </c>
      <c r="H10" s="8" t="s">
        <v>165</v>
      </c>
      <c r="I10" s="8" t="s">
        <v>140</v>
      </c>
      <c r="J10" s="8" t="s">
        <v>143</v>
      </c>
    </row>
    <row r="11" spans="2:10" ht="39.6" x14ac:dyDescent="0.25">
      <c r="B11" s="73">
        <v>9</v>
      </c>
      <c r="C11" s="87">
        <v>2059</v>
      </c>
      <c r="D11" s="8" t="s">
        <v>157</v>
      </c>
      <c r="E11" s="8">
        <v>57</v>
      </c>
      <c r="F11" s="8"/>
      <c r="G11" s="8" t="s">
        <v>57</v>
      </c>
      <c r="H11" s="8" t="s">
        <v>168</v>
      </c>
      <c r="I11" s="8" t="s">
        <v>140</v>
      </c>
      <c r="J11" s="8" t="s">
        <v>143</v>
      </c>
    </row>
    <row r="12" spans="2:10" ht="39.6" x14ac:dyDescent="0.25">
      <c r="B12" s="73">
        <v>10</v>
      </c>
      <c r="C12" s="87">
        <v>2063</v>
      </c>
      <c r="D12" s="8" t="s">
        <v>158</v>
      </c>
      <c r="E12" s="8">
        <v>61</v>
      </c>
      <c r="F12" s="8" t="s">
        <v>59</v>
      </c>
      <c r="G12" s="8" t="s">
        <v>61</v>
      </c>
      <c r="H12" s="8" t="s">
        <v>169</v>
      </c>
      <c r="I12" s="8" t="s">
        <v>65</v>
      </c>
      <c r="J12" s="8" t="s">
        <v>143</v>
      </c>
    </row>
    <row r="13" spans="2:10" ht="39.6" x14ac:dyDescent="0.25">
      <c r="B13" s="73"/>
      <c r="C13" s="87">
        <v>2063</v>
      </c>
      <c r="D13" s="8" t="s">
        <v>62</v>
      </c>
      <c r="E13" s="8">
        <v>61</v>
      </c>
      <c r="F13" s="8" t="s">
        <v>24</v>
      </c>
      <c r="G13" s="8" t="s">
        <v>64</v>
      </c>
      <c r="H13" s="8" t="s">
        <v>170</v>
      </c>
      <c r="I13" s="8" t="s">
        <v>65</v>
      </c>
      <c r="J13" s="8" t="s">
        <v>143</v>
      </c>
    </row>
    <row r="14" spans="2:10" x14ac:dyDescent="0.25">
      <c r="C14" s="13"/>
      <c r="D14" s="13"/>
      <c r="E14" s="13"/>
      <c r="F14" s="13"/>
      <c r="G14" s="13"/>
      <c r="H14" s="13"/>
      <c r="I14" s="13"/>
      <c r="J14" s="13"/>
    </row>
    <row r="15" spans="2:10" x14ac:dyDescent="0.25">
      <c r="C15" s="13"/>
      <c r="D15" s="13"/>
      <c r="E15" s="13"/>
      <c r="F15" s="13"/>
      <c r="G15" s="13"/>
      <c r="H15" s="13"/>
      <c r="I15" s="13"/>
      <c r="J15" s="13"/>
    </row>
    <row r="16" spans="2:10" x14ac:dyDescent="0.25">
      <c r="C16" s="13"/>
      <c r="D16" s="13"/>
      <c r="E16" s="13"/>
      <c r="F16" s="13"/>
      <c r="G16" s="13"/>
      <c r="H16" s="13"/>
      <c r="I16" s="13"/>
      <c r="J16" s="13"/>
    </row>
    <row r="17" spans="3:10" x14ac:dyDescent="0.25">
      <c r="C17" s="13"/>
      <c r="D17" s="13"/>
      <c r="E17" s="13"/>
      <c r="F17" s="13"/>
      <c r="G17" s="13"/>
      <c r="H17" s="13"/>
      <c r="I17" s="13"/>
      <c r="J17" s="13"/>
    </row>
    <row r="18" spans="3:10" x14ac:dyDescent="0.25">
      <c r="C18" s="13"/>
      <c r="D18" s="13"/>
      <c r="E18" s="13"/>
      <c r="F18" s="13"/>
      <c r="G18" s="13"/>
      <c r="H18" s="13"/>
      <c r="I18" s="13"/>
      <c r="J18" s="13"/>
    </row>
    <row r="19" spans="3:10" x14ac:dyDescent="0.25">
      <c r="C19" s="13"/>
      <c r="D19" s="13"/>
      <c r="E19" s="13"/>
      <c r="F19" s="13"/>
      <c r="G19" s="13"/>
      <c r="H19" s="13"/>
      <c r="I19" s="13"/>
      <c r="J19" s="13"/>
    </row>
    <row r="20" spans="3:10" x14ac:dyDescent="0.25">
      <c r="C20" s="13"/>
      <c r="D20" s="13"/>
      <c r="E20" s="13"/>
      <c r="F20" s="13"/>
      <c r="G20" s="13"/>
      <c r="H20" s="13"/>
      <c r="I20" s="13"/>
      <c r="J20" s="13"/>
    </row>
    <row r="21" spans="3:10" x14ac:dyDescent="0.25">
      <c r="C21" s="13"/>
      <c r="D21" s="13"/>
      <c r="E21" s="13"/>
      <c r="F21" s="13"/>
      <c r="G21" s="13"/>
      <c r="H21" s="13"/>
      <c r="I21" s="13"/>
      <c r="J21" s="13"/>
    </row>
    <row r="22" spans="3:10" x14ac:dyDescent="0.25">
      <c r="C22" s="13"/>
      <c r="D22" s="13"/>
      <c r="E22" s="13"/>
      <c r="F22" s="13"/>
      <c r="G22" s="13"/>
      <c r="H22" s="13"/>
      <c r="I22" s="13"/>
      <c r="J22" s="13"/>
    </row>
    <row r="23" spans="3:10" x14ac:dyDescent="0.25">
      <c r="C23" s="13"/>
      <c r="D23" s="13"/>
      <c r="E23" s="13"/>
      <c r="F23" s="13"/>
      <c r="G23" s="13"/>
      <c r="H23" s="13"/>
      <c r="I23" s="13"/>
      <c r="J23" s="13"/>
    </row>
    <row r="24" spans="3:10" x14ac:dyDescent="0.25">
      <c r="C24" s="13"/>
      <c r="D24" s="13"/>
      <c r="E24" s="13"/>
      <c r="F24" s="13"/>
      <c r="G24" s="13"/>
      <c r="H24" s="13"/>
      <c r="I24" s="13"/>
      <c r="J24" s="13"/>
    </row>
    <row r="25" spans="3:10" x14ac:dyDescent="0.25">
      <c r="C25" s="13"/>
      <c r="D25" s="13"/>
      <c r="E25" s="13"/>
      <c r="F25" s="13"/>
      <c r="G25" s="13"/>
      <c r="H25" s="13"/>
      <c r="I25" s="13"/>
      <c r="J25" s="13"/>
    </row>
    <row r="26" spans="3:10" x14ac:dyDescent="0.25">
      <c r="C26" s="13"/>
      <c r="D26" s="13"/>
      <c r="E26" s="13"/>
      <c r="F26" s="13"/>
      <c r="G26" s="13"/>
      <c r="H26" s="13"/>
      <c r="I26" s="13"/>
      <c r="J26" s="13"/>
    </row>
    <row r="27" spans="3:10" x14ac:dyDescent="0.25">
      <c r="C27" s="13"/>
      <c r="D27" s="13"/>
      <c r="E27" s="13"/>
      <c r="F27" s="13"/>
      <c r="G27" s="13"/>
      <c r="H27" s="13"/>
      <c r="I27" s="13"/>
      <c r="J27" s="13"/>
    </row>
    <row r="28" spans="3:10" x14ac:dyDescent="0.25">
      <c r="C28" s="13"/>
      <c r="D28" s="13"/>
      <c r="E28" s="13"/>
      <c r="F28" s="13"/>
      <c r="G28" s="13"/>
      <c r="H28" s="13"/>
      <c r="I28" s="13"/>
      <c r="J28" s="13"/>
    </row>
    <row r="29" spans="3:10" x14ac:dyDescent="0.25">
      <c r="C29" s="13"/>
      <c r="D29" s="13"/>
      <c r="E29" s="13"/>
      <c r="F29" s="13"/>
      <c r="G29" s="13"/>
      <c r="H29" s="13"/>
      <c r="I29" s="13"/>
      <c r="J29" s="13"/>
    </row>
    <row r="30" spans="3:10" x14ac:dyDescent="0.25">
      <c r="C30" s="13"/>
      <c r="D30" s="13"/>
      <c r="E30" s="13"/>
      <c r="F30" s="13"/>
      <c r="G30" s="13"/>
      <c r="H30" s="13"/>
      <c r="I30" s="13"/>
      <c r="J30" s="13"/>
    </row>
    <row r="31" spans="3:10" x14ac:dyDescent="0.25">
      <c r="C31" s="13"/>
      <c r="D31" s="13"/>
      <c r="E31" s="13"/>
      <c r="F31" s="13"/>
      <c r="G31" s="13"/>
      <c r="H31" s="13"/>
      <c r="I31" s="13"/>
      <c r="J31" s="13"/>
    </row>
    <row r="32" spans="3:10" x14ac:dyDescent="0.25">
      <c r="C32" s="13"/>
      <c r="D32" s="13"/>
      <c r="E32" s="13"/>
      <c r="F32" s="13"/>
      <c r="G32" s="13"/>
      <c r="H32" s="13"/>
      <c r="I32" s="13"/>
      <c r="J32" s="13"/>
    </row>
    <row r="33" spans="3:10" x14ac:dyDescent="0.25">
      <c r="C33" s="13"/>
      <c r="D33" s="13"/>
      <c r="E33" s="13"/>
      <c r="F33" s="13"/>
      <c r="G33" s="13"/>
      <c r="H33" s="13"/>
      <c r="I33" s="13"/>
      <c r="J33" s="13"/>
    </row>
    <row r="34" spans="3:10" x14ac:dyDescent="0.25">
      <c r="C34" s="13"/>
      <c r="D34" s="13"/>
      <c r="E34" s="13"/>
      <c r="F34" s="13"/>
      <c r="G34" s="13"/>
      <c r="H34" s="13"/>
      <c r="I34" s="13"/>
      <c r="J34" s="13"/>
    </row>
    <row r="35" spans="3:10" x14ac:dyDescent="0.25">
      <c r="C35" s="13"/>
      <c r="D35" s="13"/>
      <c r="E35" s="13"/>
      <c r="F35" s="13"/>
      <c r="G35" s="13"/>
      <c r="H35" s="13"/>
      <c r="I35" s="13"/>
      <c r="J35" s="13"/>
    </row>
    <row r="36" spans="3:10" x14ac:dyDescent="0.25">
      <c r="C36" s="13"/>
      <c r="D36" s="13"/>
      <c r="E36" s="13"/>
      <c r="F36" s="13"/>
      <c r="G36" s="13"/>
      <c r="H36" s="13"/>
      <c r="I36" s="13"/>
      <c r="J36" s="13"/>
    </row>
    <row r="37" spans="3:10" x14ac:dyDescent="0.25">
      <c r="C37" s="13"/>
      <c r="D37" s="13"/>
      <c r="E37" s="13"/>
      <c r="F37" s="13"/>
      <c r="G37" s="13"/>
      <c r="H37" s="13"/>
      <c r="I37" s="13"/>
      <c r="J37" s="13"/>
    </row>
    <row r="38" spans="3:10" x14ac:dyDescent="0.25">
      <c r="C38" s="13"/>
      <c r="D38" s="13"/>
      <c r="E38" s="13"/>
      <c r="F38" s="13"/>
      <c r="G38" s="13"/>
      <c r="H38" s="13"/>
      <c r="I38" s="13"/>
      <c r="J38" s="13"/>
    </row>
    <row r="39" spans="3:10" x14ac:dyDescent="0.25">
      <c r="C39" s="13"/>
      <c r="D39" s="13"/>
      <c r="E39" s="13"/>
      <c r="F39" s="13"/>
      <c r="G39" s="13"/>
      <c r="H39" s="13"/>
      <c r="I39" s="13"/>
      <c r="J39" s="13"/>
    </row>
    <row r="40" spans="3:10" x14ac:dyDescent="0.25">
      <c r="C40" s="13"/>
      <c r="D40" s="13"/>
      <c r="E40" s="13"/>
      <c r="F40" s="13"/>
      <c r="G40" s="13"/>
      <c r="H40" s="13"/>
      <c r="I40" s="13"/>
      <c r="J40" s="13"/>
    </row>
    <row r="41" spans="3:10" x14ac:dyDescent="0.25">
      <c r="C41" s="13"/>
      <c r="D41" s="13"/>
      <c r="E41" s="13"/>
      <c r="F41" s="13"/>
      <c r="G41" s="13"/>
      <c r="H41" s="13"/>
      <c r="I41" s="13"/>
      <c r="J41" s="13"/>
    </row>
    <row r="42" spans="3:10" x14ac:dyDescent="0.25">
      <c r="C42" s="13"/>
      <c r="D42" s="13"/>
      <c r="E42" s="13"/>
      <c r="F42" s="13"/>
      <c r="G42" s="13"/>
      <c r="H42" s="13"/>
      <c r="I42" s="13"/>
      <c r="J42" s="13"/>
    </row>
    <row r="43" spans="3:10" x14ac:dyDescent="0.25">
      <c r="C43" s="13"/>
      <c r="D43" s="13"/>
      <c r="E43" s="13"/>
      <c r="F43" s="13"/>
      <c r="G43" s="13"/>
      <c r="H43" s="13"/>
      <c r="I43" s="13"/>
      <c r="J43" s="13"/>
    </row>
    <row r="44" spans="3:10" x14ac:dyDescent="0.25">
      <c r="C44" s="13"/>
      <c r="D44" s="13"/>
      <c r="E44" s="13"/>
      <c r="F44" s="13"/>
      <c r="G44" s="13"/>
      <c r="H44" s="13"/>
      <c r="I44" s="13"/>
      <c r="J44" s="13"/>
    </row>
    <row r="45" spans="3:10" x14ac:dyDescent="0.25">
      <c r="C45" s="13"/>
      <c r="D45" s="13"/>
      <c r="E45" s="13"/>
      <c r="F45" s="13"/>
      <c r="G45" s="13"/>
      <c r="H45" s="13"/>
      <c r="I45" s="13"/>
      <c r="J45" s="13"/>
    </row>
    <row r="46" spans="3:10" x14ac:dyDescent="0.25">
      <c r="C46" s="13"/>
      <c r="D46" s="13"/>
      <c r="E46" s="13"/>
      <c r="F46" s="13"/>
      <c r="G46" s="13"/>
      <c r="H46" s="13"/>
      <c r="I46" s="13"/>
      <c r="J46" s="13"/>
    </row>
    <row r="47" spans="3:10" x14ac:dyDescent="0.25">
      <c r="C47" s="13"/>
      <c r="D47" s="13"/>
      <c r="E47" s="13"/>
      <c r="F47" s="13"/>
      <c r="G47" s="13"/>
      <c r="H47" s="13"/>
      <c r="I47" s="13"/>
      <c r="J47" s="13"/>
    </row>
    <row r="48" spans="3:10" x14ac:dyDescent="0.25">
      <c r="C48" s="13"/>
      <c r="D48" s="13"/>
      <c r="E48" s="13"/>
      <c r="F48" s="13"/>
      <c r="G48" s="13"/>
      <c r="H48" s="13"/>
      <c r="I48" s="13"/>
      <c r="J48" s="13"/>
    </row>
    <row r="49" spans="3:10" x14ac:dyDescent="0.25">
      <c r="C49" s="13"/>
      <c r="D49" s="13"/>
      <c r="E49" s="13"/>
      <c r="F49" s="13"/>
      <c r="G49" s="13"/>
      <c r="H49" s="13"/>
      <c r="I49" s="13"/>
      <c r="J49" s="13"/>
    </row>
    <row r="50" spans="3:10" x14ac:dyDescent="0.25">
      <c r="C50" s="13"/>
      <c r="D50" s="13"/>
      <c r="E50" s="13"/>
      <c r="F50" s="13"/>
      <c r="G50" s="13"/>
      <c r="H50" s="13"/>
      <c r="I50" s="13"/>
      <c r="J50" s="13"/>
    </row>
    <row r="51" spans="3:10" x14ac:dyDescent="0.25">
      <c r="C51" s="13"/>
      <c r="D51" s="13"/>
      <c r="E51" s="13"/>
      <c r="F51" s="13"/>
      <c r="G51" s="13"/>
      <c r="H51" s="13"/>
      <c r="I51" s="13"/>
      <c r="J51" s="13"/>
    </row>
    <row r="52" spans="3:10" x14ac:dyDescent="0.25">
      <c r="C52" s="13"/>
      <c r="D52" s="13"/>
      <c r="E52" s="13"/>
      <c r="F52" s="13"/>
      <c r="G52" s="13"/>
      <c r="H52" s="13"/>
      <c r="I52" s="13"/>
      <c r="J52" s="13"/>
    </row>
    <row r="53" spans="3:10" x14ac:dyDescent="0.25">
      <c r="C53" s="13"/>
      <c r="D53" s="13"/>
      <c r="E53" s="13"/>
      <c r="F53" s="13"/>
      <c r="G53" s="13"/>
      <c r="H53" s="13"/>
      <c r="I53" s="13"/>
      <c r="J53" s="13"/>
    </row>
    <row r="54" spans="3:10" x14ac:dyDescent="0.25">
      <c r="C54" s="13"/>
      <c r="D54" s="13"/>
      <c r="E54" s="13"/>
      <c r="F54" s="13"/>
      <c r="G54" s="13"/>
      <c r="H54" s="13"/>
      <c r="I54" s="13"/>
      <c r="J54" s="13"/>
    </row>
    <row r="55" spans="3:10" x14ac:dyDescent="0.25">
      <c r="C55" s="13"/>
      <c r="D55" s="13"/>
      <c r="E55" s="13"/>
      <c r="F55" s="13"/>
      <c r="G55" s="13"/>
      <c r="H55" s="13"/>
      <c r="I55" s="13"/>
      <c r="J55" s="13"/>
    </row>
    <row r="56" spans="3:10" x14ac:dyDescent="0.25">
      <c r="C56" s="13"/>
      <c r="D56" s="13"/>
      <c r="E56" s="13"/>
      <c r="F56" s="13"/>
      <c r="G56" s="13"/>
      <c r="H56" s="13"/>
      <c r="I56" s="13"/>
      <c r="J56" s="13"/>
    </row>
    <row r="57" spans="3:10" x14ac:dyDescent="0.25">
      <c r="C57" s="13"/>
      <c r="D57" s="13"/>
      <c r="E57" s="13"/>
      <c r="F57" s="13"/>
      <c r="G57" s="13"/>
      <c r="H57" s="13"/>
      <c r="I57" s="13"/>
      <c r="J57" s="13"/>
    </row>
    <row r="58" spans="3:10" x14ac:dyDescent="0.25">
      <c r="C58" s="13"/>
      <c r="D58" s="13"/>
      <c r="E58" s="13"/>
      <c r="F58" s="13"/>
      <c r="G58" s="13"/>
      <c r="H58" s="13"/>
      <c r="I58" s="13"/>
      <c r="J58" s="13"/>
    </row>
    <row r="59" spans="3:10" x14ac:dyDescent="0.25">
      <c r="C59" s="13"/>
      <c r="D59" s="13"/>
      <c r="E59" s="13"/>
      <c r="F59" s="13"/>
      <c r="G59" s="13"/>
      <c r="H59" s="13"/>
      <c r="I59" s="13"/>
      <c r="J59" s="13"/>
    </row>
    <row r="60" spans="3:10" x14ac:dyDescent="0.25">
      <c r="C60" s="13"/>
      <c r="D60" s="13"/>
      <c r="E60" s="13"/>
      <c r="F60" s="13"/>
      <c r="G60" s="13"/>
      <c r="H60" s="13"/>
      <c r="I60" s="13"/>
      <c r="J60" s="13"/>
    </row>
    <row r="61" spans="3:10" x14ac:dyDescent="0.25">
      <c r="C61" s="13"/>
      <c r="D61" s="13"/>
      <c r="E61" s="13"/>
      <c r="F61" s="13"/>
      <c r="G61" s="13"/>
      <c r="H61" s="13"/>
      <c r="I61" s="13"/>
      <c r="J61" s="13"/>
    </row>
    <row r="62" spans="3:10" x14ac:dyDescent="0.25">
      <c r="C62" s="13"/>
      <c r="D62" s="13"/>
      <c r="E62" s="13"/>
      <c r="F62" s="13"/>
      <c r="G62" s="13"/>
      <c r="H62" s="13"/>
      <c r="I62" s="13"/>
      <c r="J62" s="13"/>
    </row>
    <row r="63" spans="3:10" x14ac:dyDescent="0.25">
      <c r="C63" s="13"/>
      <c r="D63" s="13"/>
      <c r="E63" s="13"/>
      <c r="F63" s="13"/>
      <c r="G63" s="13"/>
      <c r="H63" s="13"/>
      <c r="I63" s="13"/>
      <c r="J63" s="13"/>
    </row>
    <row r="64" spans="3:10" x14ac:dyDescent="0.25">
      <c r="C64" s="13"/>
      <c r="D64" s="13"/>
      <c r="E64" s="13"/>
      <c r="F64" s="13"/>
      <c r="G64" s="13"/>
      <c r="H64" s="13"/>
      <c r="I64" s="13"/>
      <c r="J64" s="13"/>
    </row>
    <row r="65" spans="3:10" x14ac:dyDescent="0.25">
      <c r="C65" s="13"/>
      <c r="D65" s="13"/>
      <c r="E65" s="13"/>
      <c r="F65" s="13"/>
      <c r="G65" s="13"/>
      <c r="H65" s="13"/>
      <c r="I65" s="13"/>
      <c r="J65" s="13"/>
    </row>
    <row r="66" spans="3:10" x14ac:dyDescent="0.25">
      <c r="C66" s="13"/>
      <c r="D66" s="13"/>
      <c r="E66" s="13"/>
      <c r="F66" s="13"/>
      <c r="G66" s="13"/>
      <c r="H66" s="13"/>
      <c r="I66" s="13"/>
      <c r="J66" s="13"/>
    </row>
    <row r="67" spans="3:10" x14ac:dyDescent="0.25">
      <c r="C67" s="13"/>
      <c r="D67" s="13"/>
      <c r="E67" s="13"/>
      <c r="F67" s="13"/>
      <c r="G67" s="13"/>
      <c r="H67" s="13"/>
      <c r="I67" s="13"/>
      <c r="J67" s="13"/>
    </row>
    <row r="68" spans="3:10" x14ac:dyDescent="0.25">
      <c r="C68" s="13"/>
      <c r="D68" s="13"/>
      <c r="E68" s="13"/>
      <c r="F68" s="13"/>
      <c r="G68" s="13"/>
      <c r="H68" s="13"/>
      <c r="I68" s="13"/>
      <c r="J68" s="13"/>
    </row>
    <row r="69" spans="3:10" x14ac:dyDescent="0.25">
      <c r="C69" s="13"/>
      <c r="D69" s="13"/>
      <c r="E69" s="13"/>
      <c r="F69" s="13"/>
      <c r="G69" s="13"/>
      <c r="H69" s="13"/>
      <c r="I69" s="13"/>
      <c r="J69" s="13"/>
    </row>
    <row r="70" spans="3:10" x14ac:dyDescent="0.25">
      <c r="C70" s="13"/>
      <c r="D70" s="13"/>
      <c r="E70" s="13"/>
      <c r="F70" s="13"/>
      <c r="G70" s="13"/>
      <c r="H70" s="13"/>
      <c r="I70" s="13"/>
      <c r="J70" s="13"/>
    </row>
    <row r="71" spans="3:10" x14ac:dyDescent="0.25">
      <c r="C71" s="13"/>
      <c r="D71" s="13"/>
      <c r="E71" s="13"/>
      <c r="F71" s="13"/>
      <c r="G71" s="13"/>
      <c r="H71" s="13"/>
      <c r="I71" s="13"/>
      <c r="J71" s="13"/>
    </row>
    <row r="72" spans="3:10" x14ac:dyDescent="0.25">
      <c r="C72" s="13"/>
      <c r="D72" s="13"/>
      <c r="E72" s="13"/>
      <c r="F72" s="13"/>
      <c r="G72" s="13"/>
      <c r="H72" s="13"/>
      <c r="I72" s="13"/>
      <c r="J72" s="13"/>
    </row>
    <row r="73" spans="3:10" x14ac:dyDescent="0.25">
      <c r="C73" s="13"/>
      <c r="D73" s="13"/>
      <c r="E73" s="13"/>
      <c r="F73" s="13"/>
      <c r="G73" s="13"/>
      <c r="H73" s="13"/>
      <c r="I73" s="13"/>
      <c r="J73" s="13"/>
    </row>
    <row r="74" spans="3:10" x14ac:dyDescent="0.25">
      <c r="C74" s="13"/>
      <c r="D74" s="13"/>
      <c r="E74" s="13"/>
      <c r="F74" s="13"/>
      <c r="G74" s="13"/>
      <c r="H74" s="13"/>
      <c r="I74" s="13"/>
      <c r="J74" s="13"/>
    </row>
    <row r="75" spans="3:10" x14ac:dyDescent="0.25">
      <c r="C75" s="13"/>
      <c r="D75" s="13"/>
      <c r="E75" s="13"/>
      <c r="F75" s="13"/>
      <c r="G75" s="13"/>
      <c r="H75" s="13"/>
      <c r="I75" s="13"/>
      <c r="J75" s="13"/>
    </row>
    <row r="76" spans="3:10" x14ac:dyDescent="0.25">
      <c r="C76" s="13"/>
      <c r="D76" s="13"/>
      <c r="E76" s="13"/>
      <c r="F76" s="13"/>
      <c r="G76" s="13"/>
      <c r="H76" s="13"/>
      <c r="I76" s="13"/>
      <c r="J76" s="13"/>
    </row>
    <row r="77" spans="3:10" x14ac:dyDescent="0.25">
      <c r="C77" s="13"/>
      <c r="D77" s="13"/>
      <c r="E77" s="13"/>
      <c r="F77" s="13"/>
      <c r="G77" s="13"/>
      <c r="H77" s="13"/>
      <c r="I77" s="13"/>
      <c r="J77" s="13"/>
    </row>
    <row r="78" spans="3:10" x14ac:dyDescent="0.25">
      <c r="C78" s="13"/>
      <c r="D78" s="13"/>
      <c r="E78" s="13"/>
      <c r="F78" s="13"/>
      <c r="G78" s="13"/>
      <c r="H78" s="13"/>
      <c r="I78" s="13"/>
      <c r="J78" s="13"/>
    </row>
    <row r="79" spans="3:10" x14ac:dyDescent="0.25">
      <c r="C79" s="13"/>
      <c r="D79" s="13"/>
      <c r="E79" s="13"/>
      <c r="F79" s="13"/>
      <c r="G79" s="13"/>
      <c r="H79" s="13"/>
      <c r="I79" s="13"/>
      <c r="J79" s="13"/>
    </row>
    <row r="80" spans="3:10" x14ac:dyDescent="0.25">
      <c r="C80" s="13"/>
      <c r="D80" s="13"/>
      <c r="E80" s="13"/>
      <c r="F80" s="13"/>
      <c r="G80" s="13"/>
      <c r="H80" s="13"/>
      <c r="I80" s="13"/>
      <c r="J80" s="13"/>
    </row>
    <row r="81" spans="3:10" x14ac:dyDescent="0.25">
      <c r="C81" s="13"/>
      <c r="D81" s="13"/>
      <c r="E81" s="13"/>
      <c r="F81" s="13"/>
      <c r="G81" s="13"/>
      <c r="H81" s="13"/>
      <c r="I81" s="13"/>
      <c r="J81" s="13"/>
    </row>
    <row r="82" spans="3:10" x14ac:dyDescent="0.25">
      <c r="C82" s="13"/>
      <c r="D82" s="13"/>
      <c r="E82" s="13"/>
      <c r="F82" s="13"/>
      <c r="G82" s="13"/>
      <c r="H82" s="13"/>
      <c r="I82" s="13"/>
      <c r="J82" s="13"/>
    </row>
    <row r="83" spans="3:10" x14ac:dyDescent="0.25">
      <c r="C83" s="13"/>
      <c r="D83" s="13"/>
      <c r="E83" s="13"/>
      <c r="F83" s="13"/>
      <c r="G83" s="13"/>
      <c r="H83" s="13"/>
      <c r="I83" s="13"/>
      <c r="J83" s="13"/>
    </row>
    <row r="84" spans="3:10" x14ac:dyDescent="0.25">
      <c r="C84" s="13"/>
      <c r="D84" s="13"/>
      <c r="E84" s="13"/>
      <c r="F84" s="13"/>
      <c r="G84" s="13"/>
      <c r="H84" s="13"/>
      <c r="I84" s="13"/>
      <c r="J84" s="13"/>
    </row>
    <row r="85" spans="3:10" x14ac:dyDescent="0.25">
      <c r="C85" s="13"/>
      <c r="D85" s="13"/>
      <c r="E85" s="13"/>
      <c r="F85" s="13"/>
      <c r="G85" s="13"/>
      <c r="H85" s="13"/>
      <c r="I85" s="13"/>
      <c r="J85" s="13"/>
    </row>
    <row r="86" spans="3:10" x14ac:dyDescent="0.25">
      <c r="C86" s="13"/>
      <c r="D86" s="13"/>
      <c r="E86" s="13"/>
      <c r="F86" s="13"/>
      <c r="G86" s="13"/>
      <c r="H86" s="13"/>
      <c r="I86" s="13"/>
      <c r="J86" s="13"/>
    </row>
    <row r="87" spans="3:10" x14ac:dyDescent="0.25">
      <c r="C87" s="13"/>
      <c r="D87" s="13"/>
      <c r="E87" s="13"/>
      <c r="F87" s="13"/>
      <c r="G87" s="13"/>
      <c r="H87" s="13"/>
      <c r="I87" s="13"/>
      <c r="J87" s="13"/>
    </row>
    <row r="88" spans="3:10" x14ac:dyDescent="0.25">
      <c r="C88" s="13"/>
      <c r="D88" s="13"/>
      <c r="E88" s="13"/>
      <c r="F88" s="13"/>
      <c r="G88" s="13"/>
      <c r="H88" s="13"/>
      <c r="I88" s="13"/>
      <c r="J88" s="13"/>
    </row>
    <row r="89" spans="3:10" x14ac:dyDescent="0.25">
      <c r="C89" s="13"/>
      <c r="D89" s="13"/>
      <c r="E89" s="13"/>
      <c r="F89" s="13"/>
      <c r="G89" s="13"/>
      <c r="H89" s="13"/>
      <c r="I89" s="13"/>
      <c r="J89" s="13"/>
    </row>
    <row r="90" spans="3:10" x14ac:dyDescent="0.25">
      <c r="C90" s="13"/>
      <c r="D90" s="13"/>
      <c r="E90" s="13"/>
      <c r="F90" s="13"/>
      <c r="G90" s="13"/>
      <c r="H90" s="13"/>
      <c r="I90" s="13"/>
      <c r="J90" s="13"/>
    </row>
    <row r="91" spans="3:10" x14ac:dyDescent="0.25">
      <c r="C91" s="13"/>
      <c r="D91" s="13"/>
      <c r="E91" s="13"/>
      <c r="F91" s="13"/>
      <c r="G91" s="13"/>
      <c r="H91" s="13"/>
      <c r="I91" s="13"/>
      <c r="J91" s="13"/>
    </row>
    <row r="92" spans="3:10" x14ac:dyDescent="0.25">
      <c r="C92" s="13"/>
      <c r="D92" s="13"/>
      <c r="E92" s="13"/>
      <c r="F92" s="13"/>
      <c r="G92" s="13"/>
      <c r="H92" s="13"/>
      <c r="I92" s="13"/>
      <c r="J92" s="13"/>
    </row>
    <row r="93" spans="3:10" x14ac:dyDescent="0.25">
      <c r="C93" s="13"/>
      <c r="D93" s="13"/>
      <c r="E93" s="13"/>
      <c r="F93" s="13"/>
      <c r="G93" s="13"/>
      <c r="H93" s="13"/>
      <c r="I93" s="13"/>
      <c r="J93" s="13"/>
    </row>
    <row r="94" spans="3:10" x14ac:dyDescent="0.25">
      <c r="C94" s="13"/>
      <c r="D94" s="13"/>
      <c r="E94" s="13"/>
      <c r="F94" s="13"/>
      <c r="G94" s="13"/>
      <c r="H94" s="13"/>
      <c r="I94" s="13"/>
      <c r="J94" s="13"/>
    </row>
    <row r="95" spans="3:10" x14ac:dyDescent="0.25">
      <c r="C95" s="13"/>
      <c r="D95" s="13"/>
      <c r="E95" s="13"/>
      <c r="F95" s="13"/>
      <c r="G95" s="13"/>
      <c r="H95" s="13"/>
      <c r="I95" s="13"/>
      <c r="J95" s="13"/>
    </row>
    <row r="96" spans="3:10" x14ac:dyDescent="0.25">
      <c r="C96" s="13"/>
      <c r="D96" s="13"/>
      <c r="E96" s="13"/>
      <c r="F96" s="13"/>
      <c r="G96" s="13"/>
      <c r="H96" s="13"/>
      <c r="I96" s="13"/>
      <c r="J96" s="13"/>
    </row>
    <row r="97" spans="3:10" x14ac:dyDescent="0.25">
      <c r="C97" s="13"/>
      <c r="D97" s="13"/>
      <c r="E97" s="13"/>
      <c r="F97" s="13"/>
      <c r="G97" s="13"/>
      <c r="H97" s="13"/>
      <c r="I97" s="13"/>
      <c r="J97" s="13"/>
    </row>
    <row r="98" spans="3:10" x14ac:dyDescent="0.25">
      <c r="C98" s="13"/>
      <c r="D98" s="13"/>
      <c r="E98" s="13"/>
      <c r="F98" s="13"/>
      <c r="G98" s="13"/>
      <c r="H98" s="13"/>
      <c r="I98" s="13"/>
      <c r="J98" s="13"/>
    </row>
    <row r="99" spans="3:10" x14ac:dyDescent="0.25">
      <c r="C99" s="13"/>
      <c r="D99" s="13"/>
      <c r="E99" s="13"/>
      <c r="F99" s="13"/>
      <c r="G99" s="13"/>
      <c r="H99" s="13"/>
      <c r="I99" s="13"/>
      <c r="J99" s="13"/>
    </row>
    <row r="100" spans="3:10" x14ac:dyDescent="0.25">
      <c r="C100" s="13"/>
      <c r="D100" s="13"/>
      <c r="E100" s="13"/>
      <c r="F100" s="13"/>
      <c r="G100" s="13"/>
      <c r="H100" s="13"/>
      <c r="I100" s="13"/>
      <c r="J100" s="13"/>
    </row>
    <row r="101" spans="3:10" x14ac:dyDescent="0.25">
      <c r="C101" s="13"/>
      <c r="D101" s="13"/>
      <c r="E101" s="13"/>
      <c r="F101" s="13"/>
      <c r="G101" s="13"/>
      <c r="H101" s="13"/>
      <c r="I101" s="13"/>
      <c r="J101" s="13"/>
    </row>
    <row r="102" spans="3:10" x14ac:dyDescent="0.25">
      <c r="C102" s="13"/>
      <c r="D102" s="13"/>
      <c r="E102" s="13"/>
      <c r="F102" s="13"/>
      <c r="G102" s="13"/>
      <c r="H102" s="13"/>
      <c r="I102" s="13"/>
      <c r="J102" s="13"/>
    </row>
    <row r="103" spans="3:10" x14ac:dyDescent="0.25">
      <c r="C103" s="13"/>
      <c r="D103" s="13"/>
      <c r="E103" s="13"/>
      <c r="F103" s="13"/>
      <c r="G103" s="13"/>
      <c r="H103" s="13"/>
      <c r="I103" s="13"/>
      <c r="J103" s="13"/>
    </row>
    <row r="104" spans="3:10" x14ac:dyDescent="0.25">
      <c r="C104" s="13"/>
      <c r="D104" s="13"/>
      <c r="E104" s="13"/>
      <c r="F104" s="13"/>
      <c r="G104" s="13"/>
      <c r="H104" s="13"/>
      <c r="I104" s="13"/>
      <c r="J104" s="13"/>
    </row>
    <row r="105" spans="3:10" x14ac:dyDescent="0.25">
      <c r="C105" s="13"/>
      <c r="D105" s="13"/>
      <c r="E105" s="13"/>
      <c r="F105" s="13"/>
      <c r="G105" s="13"/>
      <c r="H105" s="13"/>
      <c r="I105" s="13"/>
      <c r="J105" s="13"/>
    </row>
    <row r="106" spans="3:10" x14ac:dyDescent="0.25">
      <c r="C106" s="13"/>
      <c r="D106" s="13"/>
      <c r="E106" s="13"/>
      <c r="F106" s="13"/>
      <c r="G106" s="13"/>
      <c r="H106" s="13"/>
      <c r="I106" s="13"/>
      <c r="J106" s="13"/>
    </row>
    <row r="107" spans="3:10" x14ac:dyDescent="0.25">
      <c r="C107" s="13"/>
      <c r="D107" s="13"/>
      <c r="E107" s="13"/>
      <c r="F107" s="13"/>
      <c r="G107" s="13"/>
      <c r="H107" s="13"/>
      <c r="I107" s="13"/>
      <c r="J107" s="13"/>
    </row>
    <row r="108" spans="3:10" x14ac:dyDescent="0.25">
      <c r="C108" s="13"/>
      <c r="D108" s="13"/>
      <c r="E108" s="13"/>
      <c r="F108" s="13"/>
      <c r="G108" s="13"/>
      <c r="H108" s="13"/>
      <c r="I108" s="13"/>
      <c r="J108" s="13"/>
    </row>
    <row r="109" spans="3:10" x14ac:dyDescent="0.25">
      <c r="C109" s="13"/>
      <c r="D109" s="13"/>
      <c r="E109" s="13"/>
      <c r="F109" s="13"/>
      <c r="G109" s="13"/>
      <c r="H109" s="13"/>
      <c r="I109" s="13"/>
      <c r="J109" s="13"/>
    </row>
    <row r="110" spans="3:10" x14ac:dyDescent="0.25">
      <c r="C110" s="13"/>
      <c r="D110" s="13"/>
      <c r="E110" s="13"/>
      <c r="F110" s="13"/>
      <c r="G110" s="13"/>
      <c r="H110" s="13"/>
      <c r="I110" s="13"/>
      <c r="J110" s="13"/>
    </row>
    <row r="111" spans="3:10" x14ac:dyDescent="0.25">
      <c r="C111" s="13"/>
      <c r="D111" s="13"/>
      <c r="E111" s="13"/>
      <c r="F111" s="13"/>
      <c r="G111" s="13"/>
      <c r="H111" s="13"/>
      <c r="I111" s="13"/>
      <c r="J111" s="13"/>
    </row>
    <row r="112" spans="3:10" x14ac:dyDescent="0.25">
      <c r="C112" s="13"/>
      <c r="D112" s="13"/>
      <c r="E112" s="13"/>
      <c r="F112" s="13"/>
      <c r="G112" s="13"/>
      <c r="H112" s="13"/>
      <c r="I112" s="13"/>
      <c r="J112" s="13"/>
    </row>
    <row r="113" spans="3:10" x14ac:dyDescent="0.25">
      <c r="C113" s="13"/>
      <c r="D113" s="13"/>
      <c r="E113" s="13"/>
      <c r="F113" s="13"/>
      <c r="G113" s="13"/>
      <c r="H113" s="13"/>
      <c r="I113" s="13"/>
      <c r="J113" s="13"/>
    </row>
    <row r="114" spans="3:10" x14ac:dyDescent="0.25">
      <c r="C114" s="13"/>
      <c r="D114" s="13"/>
      <c r="E114" s="13"/>
      <c r="F114" s="13"/>
      <c r="G114" s="13"/>
      <c r="H114" s="13"/>
      <c r="I114" s="13"/>
      <c r="J114" s="13"/>
    </row>
    <row r="115" spans="3:10" x14ac:dyDescent="0.25">
      <c r="C115" s="13"/>
      <c r="D115" s="13"/>
      <c r="E115" s="13"/>
      <c r="F115" s="13"/>
      <c r="G115" s="13"/>
      <c r="H115" s="13"/>
      <c r="I115" s="13"/>
      <c r="J115" s="13"/>
    </row>
    <row r="116" spans="3:10" x14ac:dyDescent="0.25">
      <c r="C116" s="13"/>
      <c r="D116" s="13"/>
      <c r="E116" s="13"/>
      <c r="F116" s="13"/>
      <c r="G116" s="13"/>
      <c r="H116" s="13"/>
      <c r="I116" s="13"/>
      <c r="J116" s="13"/>
    </row>
    <row r="117" spans="3:10" x14ac:dyDescent="0.25">
      <c r="C117" s="13"/>
      <c r="D117" s="13"/>
      <c r="E117" s="13"/>
      <c r="F117" s="13"/>
      <c r="G117" s="13"/>
      <c r="H117" s="13"/>
      <c r="I117" s="13"/>
      <c r="J117" s="13"/>
    </row>
    <row r="118" spans="3:10" x14ac:dyDescent="0.25">
      <c r="C118" s="13"/>
      <c r="D118" s="13"/>
      <c r="E118" s="13"/>
      <c r="F118" s="13"/>
      <c r="G118" s="13"/>
      <c r="H118" s="13"/>
      <c r="I118" s="13"/>
      <c r="J118" s="13"/>
    </row>
    <row r="119" spans="3:10" x14ac:dyDescent="0.25">
      <c r="C119" s="13"/>
      <c r="D119" s="13"/>
      <c r="E119" s="13"/>
      <c r="F119" s="13"/>
      <c r="G119" s="13"/>
      <c r="H119" s="13"/>
      <c r="I119" s="13"/>
      <c r="J119" s="13"/>
    </row>
    <row r="120" spans="3:10" x14ac:dyDescent="0.25">
      <c r="C120" s="13"/>
      <c r="D120" s="13"/>
      <c r="E120" s="13"/>
      <c r="F120" s="13"/>
      <c r="G120" s="13"/>
      <c r="H120" s="13"/>
      <c r="I120" s="13"/>
      <c r="J120" s="13"/>
    </row>
    <row r="121" spans="3:10" x14ac:dyDescent="0.25">
      <c r="C121" s="13"/>
      <c r="D121" s="13"/>
      <c r="E121" s="13"/>
      <c r="F121" s="13"/>
      <c r="G121" s="13"/>
      <c r="H121" s="13"/>
      <c r="I121" s="13"/>
      <c r="J121" s="13"/>
    </row>
    <row r="122" spans="3:10" x14ac:dyDescent="0.25">
      <c r="C122" s="13"/>
      <c r="D122" s="13"/>
      <c r="E122" s="13"/>
      <c r="F122" s="13"/>
      <c r="G122" s="13"/>
      <c r="H122" s="13"/>
      <c r="I122" s="13"/>
      <c r="J122" s="13"/>
    </row>
    <row r="123" spans="3:10" x14ac:dyDescent="0.25">
      <c r="C123" s="13"/>
      <c r="D123" s="13"/>
      <c r="E123" s="13"/>
      <c r="F123" s="13"/>
      <c r="G123" s="13"/>
      <c r="H123" s="13"/>
      <c r="I123" s="13"/>
      <c r="J123" s="13"/>
    </row>
    <row r="124" spans="3:10" x14ac:dyDescent="0.25">
      <c r="C124" s="13"/>
      <c r="D124" s="13"/>
      <c r="E124" s="13"/>
      <c r="F124" s="13"/>
      <c r="G124" s="13"/>
      <c r="H124" s="13"/>
      <c r="I124" s="13"/>
      <c r="J124" s="13"/>
    </row>
    <row r="125" spans="3:10" x14ac:dyDescent="0.25">
      <c r="C125" s="13"/>
      <c r="D125" s="13"/>
      <c r="E125" s="13"/>
      <c r="F125" s="13"/>
      <c r="G125" s="13"/>
      <c r="H125" s="13"/>
      <c r="I125" s="13"/>
      <c r="J125" s="13"/>
    </row>
    <row r="126" spans="3:10" x14ac:dyDescent="0.25">
      <c r="C126" s="13"/>
      <c r="D126" s="13"/>
      <c r="E126" s="13"/>
      <c r="F126" s="13"/>
      <c r="G126" s="13"/>
      <c r="H126" s="13"/>
      <c r="I126" s="13"/>
      <c r="J126" s="13"/>
    </row>
    <row r="127" spans="3:10" x14ac:dyDescent="0.25">
      <c r="C127" s="13"/>
      <c r="D127" s="13"/>
      <c r="E127" s="13"/>
      <c r="F127" s="13"/>
      <c r="G127" s="13"/>
      <c r="H127" s="13"/>
      <c r="I127" s="13"/>
      <c r="J127" s="13"/>
    </row>
    <row r="128" spans="3:10" x14ac:dyDescent="0.25">
      <c r="C128" s="13"/>
      <c r="D128" s="13"/>
      <c r="E128" s="13"/>
      <c r="F128" s="13"/>
      <c r="G128" s="13"/>
      <c r="H128" s="13"/>
      <c r="I128" s="13"/>
      <c r="J128" s="13"/>
    </row>
    <row r="129" spans="3:10" x14ac:dyDescent="0.25">
      <c r="C129" s="13"/>
      <c r="D129" s="13"/>
      <c r="E129" s="13"/>
      <c r="F129" s="13"/>
      <c r="G129" s="13"/>
      <c r="H129" s="13"/>
      <c r="I129" s="13"/>
      <c r="J129" s="13"/>
    </row>
    <row r="130" spans="3:10" x14ac:dyDescent="0.25">
      <c r="C130" s="13"/>
      <c r="D130" s="13"/>
      <c r="E130" s="13"/>
      <c r="F130" s="13"/>
      <c r="G130" s="13"/>
      <c r="H130" s="13"/>
      <c r="I130" s="13"/>
      <c r="J130" s="13"/>
    </row>
    <row r="131" spans="3:10" x14ac:dyDescent="0.25">
      <c r="C131" s="13"/>
      <c r="D131" s="13"/>
      <c r="E131" s="13"/>
      <c r="F131" s="13"/>
      <c r="G131" s="13"/>
      <c r="H131" s="13"/>
      <c r="I131" s="13"/>
      <c r="J131" s="13"/>
    </row>
    <row r="132" spans="3:10" x14ac:dyDescent="0.25">
      <c r="C132" s="13"/>
      <c r="D132" s="13"/>
      <c r="E132" s="13"/>
      <c r="F132" s="13"/>
      <c r="G132" s="13"/>
      <c r="H132" s="13"/>
      <c r="I132" s="13"/>
      <c r="J132" s="13"/>
    </row>
    <row r="133" spans="3:10" x14ac:dyDescent="0.25">
      <c r="C133" s="13"/>
      <c r="D133" s="13"/>
      <c r="E133" s="13"/>
      <c r="F133" s="13"/>
      <c r="G133" s="13"/>
      <c r="H133" s="13"/>
      <c r="I133" s="13"/>
      <c r="J133" s="13"/>
    </row>
    <row r="134" spans="3:10" x14ac:dyDescent="0.25">
      <c r="C134" s="13"/>
      <c r="D134" s="13"/>
      <c r="E134" s="13"/>
      <c r="F134" s="13"/>
      <c r="G134" s="13"/>
      <c r="H134" s="13"/>
      <c r="I134" s="13"/>
      <c r="J134" s="13"/>
    </row>
    <row r="135" spans="3:10" x14ac:dyDescent="0.25">
      <c r="C135" s="13"/>
      <c r="D135" s="13"/>
      <c r="E135" s="13"/>
      <c r="F135" s="13"/>
      <c r="G135" s="13"/>
      <c r="H135" s="13"/>
      <c r="I135" s="13"/>
      <c r="J135" s="13"/>
    </row>
    <row r="136" spans="3:10" x14ac:dyDescent="0.25">
      <c r="C136" s="13"/>
      <c r="D136" s="13"/>
      <c r="E136" s="13"/>
      <c r="F136" s="13"/>
      <c r="G136" s="13"/>
      <c r="H136" s="13"/>
      <c r="I136" s="13"/>
      <c r="J136" s="13"/>
    </row>
    <row r="137" spans="3:10" x14ac:dyDescent="0.25">
      <c r="C137" s="13"/>
      <c r="D137" s="13"/>
      <c r="E137" s="13"/>
      <c r="F137" s="13"/>
      <c r="G137" s="13"/>
      <c r="H137" s="13"/>
      <c r="I137" s="13"/>
      <c r="J137" s="13"/>
    </row>
    <row r="138" spans="3:10" x14ac:dyDescent="0.25">
      <c r="C138" s="13"/>
      <c r="D138" s="13"/>
      <c r="E138" s="13"/>
      <c r="F138" s="13"/>
      <c r="G138" s="13"/>
      <c r="H138" s="13"/>
      <c r="I138" s="13"/>
      <c r="J138" s="13"/>
    </row>
    <row r="139" spans="3:10" x14ac:dyDescent="0.25">
      <c r="C139" s="13"/>
      <c r="D139" s="13"/>
      <c r="E139" s="13"/>
      <c r="F139" s="13"/>
      <c r="G139" s="13"/>
      <c r="H139" s="13"/>
      <c r="I139" s="13"/>
      <c r="J139" s="13"/>
    </row>
    <row r="140" spans="3:10" x14ac:dyDescent="0.25">
      <c r="C140" s="13"/>
      <c r="D140" s="13"/>
      <c r="E140" s="13"/>
      <c r="F140" s="13"/>
      <c r="G140" s="13"/>
      <c r="H140" s="13"/>
      <c r="I140" s="13"/>
      <c r="J140" s="13"/>
    </row>
    <row r="141" spans="3:10" x14ac:dyDescent="0.25">
      <c r="C141" s="13"/>
      <c r="D141" s="13"/>
      <c r="E141" s="13"/>
      <c r="F141" s="13"/>
      <c r="G141" s="13"/>
      <c r="H141" s="13"/>
      <c r="I141" s="13"/>
      <c r="J141" s="13"/>
    </row>
    <row r="142" spans="3:10" x14ac:dyDescent="0.25">
      <c r="C142" s="13"/>
      <c r="D142" s="13"/>
      <c r="E142" s="13"/>
      <c r="F142" s="13"/>
      <c r="G142" s="13"/>
      <c r="H142" s="13"/>
      <c r="I142" s="13"/>
      <c r="J142" s="13"/>
    </row>
    <row r="143" spans="3:10" x14ac:dyDescent="0.25">
      <c r="C143" s="13"/>
      <c r="D143" s="13"/>
      <c r="E143" s="13"/>
      <c r="F143" s="13"/>
      <c r="G143" s="13"/>
      <c r="H143" s="13"/>
      <c r="I143" s="13"/>
      <c r="J143" s="13"/>
    </row>
    <row r="144" spans="3:10" x14ac:dyDescent="0.25">
      <c r="C144" s="13"/>
      <c r="D144" s="13"/>
      <c r="E144" s="13"/>
      <c r="F144" s="13"/>
      <c r="G144" s="13"/>
      <c r="H144" s="13"/>
      <c r="I144" s="13"/>
      <c r="J144" s="13"/>
    </row>
    <row r="145" spans="3:10" x14ac:dyDescent="0.25">
      <c r="C145" s="13"/>
      <c r="D145" s="13"/>
      <c r="E145" s="13"/>
      <c r="F145" s="13"/>
      <c r="G145" s="13"/>
      <c r="H145" s="13"/>
      <c r="I145" s="13"/>
      <c r="J145" s="13"/>
    </row>
    <row r="146" spans="3:10" x14ac:dyDescent="0.25">
      <c r="C146" s="13"/>
      <c r="D146" s="13"/>
      <c r="E146" s="13"/>
      <c r="F146" s="13"/>
      <c r="G146" s="13"/>
      <c r="H146" s="13"/>
      <c r="I146" s="13"/>
      <c r="J146" s="13"/>
    </row>
    <row r="147" spans="3:10" x14ac:dyDescent="0.25">
      <c r="C147" s="13"/>
      <c r="D147" s="13"/>
      <c r="E147" s="13"/>
      <c r="F147" s="13"/>
      <c r="G147" s="13"/>
      <c r="H147" s="13"/>
      <c r="I147" s="13"/>
      <c r="J147" s="13"/>
    </row>
    <row r="148" spans="3:10" x14ac:dyDescent="0.25">
      <c r="C148" s="13"/>
      <c r="D148" s="13"/>
      <c r="E148" s="13"/>
      <c r="F148" s="13"/>
      <c r="G148" s="13"/>
      <c r="H148" s="13"/>
      <c r="I148" s="13"/>
      <c r="J148" s="13"/>
    </row>
    <row r="149" spans="3:10" x14ac:dyDescent="0.25">
      <c r="C149" s="13"/>
      <c r="D149" s="13"/>
      <c r="E149" s="13"/>
      <c r="F149" s="13"/>
      <c r="G149" s="13"/>
      <c r="H149" s="13"/>
      <c r="I149" s="13"/>
      <c r="J149" s="13"/>
    </row>
    <row r="150" spans="3:10" x14ac:dyDescent="0.25">
      <c r="C150" s="13"/>
      <c r="D150" s="13"/>
      <c r="E150" s="13"/>
      <c r="F150" s="13"/>
      <c r="G150" s="13"/>
      <c r="H150" s="13"/>
      <c r="I150" s="13"/>
      <c r="J150" s="13"/>
    </row>
    <row r="151" spans="3:10" x14ac:dyDescent="0.25">
      <c r="C151" s="13"/>
      <c r="D151" s="13"/>
      <c r="E151" s="13"/>
      <c r="F151" s="13"/>
      <c r="G151" s="13"/>
      <c r="H151" s="13"/>
      <c r="I151" s="13"/>
      <c r="J151" s="13"/>
    </row>
    <row r="152" spans="3:10" x14ac:dyDescent="0.25">
      <c r="C152" s="13"/>
      <c r="D152" s="13"/>
      <c r="E152" s="13"/>
      <c r="F152" s="13"/>
      <c r="G152" s="13"/>
      <c r="H152" s="13"/>
      <c r="I152" s="13"/>
      <c r="J152" s="13"/>
    </row>
    <row r="153" spans="3:10" x14ac:dyDescent="0.25">
      <c r="C153" s="13"/>
      <c r="D153" s="13"/>
      <c r="E153" s="13"/>
      <c r="F153" s="13"/>
      <c r="G153" s="13"/>
      <c r="H153" s="13"/>
      <c r="I153" s="13"/>
      <c r="J153" s="13"/>
    </row>
    <row r="154" spans="3:10" x14ac:dyDescent="0.25">
      <c r="C154" s="13"/>
      <c r="D154" s="13"/>
      <c r="E154" s="13"/>
      <c r="F154" s="13"/>
      <c r="G154" s="13"/>
      <c r="H154" s="13"/>
      <c r="I154" s="13"/>
      <c r="J154" s="13"/>
    </row>
    <row r="155" spans="3:10" x14ac:dyDescent="0.25">
      <c r="C155" s="13"/>
      <c r="D155" s="13"/>
      <c r="E155" s="13"/>
      <c r="F155" s="13"/>
      <c r="G155" s="13"/>
      <c r="H155" s="13"/>
      <c r="I155" s="13"/>
      <c r="J155" s="13"/>
    </row>
    <row r="156" spans="3:10" x14ac:dyDescent="0.25">
      <c r="C156" s="13"/>
      <c r="D156" s="13"/>
      <c r="E156" s="13"/>
      <c r="F156" s="13"/>
      <c r="G156" s="13"/>
      <c r="H156" s="13"/>
      <c r="I156" s="13"/>
      <c r="J156" s="13"/>
    </row>
    <row r="157" spans="3:10" x14ac:dyDescent="0.25">
      <c r="C157" s="13"/>
      <c r="D157" s="13"/>
      <c r="E157" s="13"/>
      <c r="F157" s="13"/>
      <c r="G157" s="13"/>
      <c r="H157" s="13"/>
      <c r="I157" s="13"/>
      <c r="J157" s="13"/>
    </row>
    <row r="158" spans="3:10" x14ac:dyDescent="0.25">
      <c r="C158" s="13"/>
      <c r="D158" s="13"/>
      <c r="E158" s="13"/>
      <c r="F158" s="13"/>
      <c r="G158" s="13"/>
      <c r="H158" s="13"/>
      <c r="I158" s="13"/>
      <c r="J158" s="13"/>
    </row>
    <row r="159" spans="3:10" x14ac:dyDescent="0.25">
      <c r="C159" s="13"/>
      <c r="D159" s="13"/>
      <c r="E159" s="13"/>
      <c r="F159" s="13"/>
      <c r="G159" s="13"/>
      <c r="H159" s="13"/>
      <c r="I159" s="13"/>
      <c r="J159" s="13"/>
    </row>
    <row r="160" spans="3:10" x14ac:dyDescent="0.25">
      <c r="C160" s="13"/>
      <c r="D160" s="13"/>
      <c r="E160" s="13"/>
      <c r="F160" s="13"/>
      <c r="G160" s="13"/>
      <c r="H160" s="13"/>
      <c r="I160" s="13"/>
      <c r="J160" s="13"/>
    </row>
    <row r="161" spans="3:10" x14ac:dyDescent="0.25">
      <c r="C161" s="13"/>
      <c r="D161" s="13"/>
      <c r="E161" s="13"/>
      <c r="F161" s="13"/>
      <c r="G161" s="13"/>
      <c r="H161" s="13"/>
      <c r="I161" s="13"/>
      <c r="J161" s="13"/>
    </row>
    <row r="162" spans="3:10" x14ac:dyDescent="0.25">
      <c r="C162" s="13"/>
      <c r="D162" s="13"/>
      <c r="E162" s="13"/>
      <c r="F162" s="13"/>
      <c r="G162" s="13"/>
      <c r="H162" s="13"/>
      <c r="I162" s="13"/>
      <c r="J162" s="13"/>
    </row>
    <row r="163" spans="3:10" x14ac:dyDescent="0.25">
      <c r="C163" s="13"/>
      <c r="D163" s="13"/>
      <c r="E163" s="13"/>
      <c r="F163" s="13"/>
      <c r="G163" s="13"/>
      <c r="H163" s="13"/>
      <c r="I163" s="13"/>
      <c r="J163" s="13"/>
    </row>
    <row r="164" spans="3:10" x14ac:dyDescent="0.25">
      <c r="C164" s="13"/>
      <c r="D164" s="13"/>
      <c r="E164" s="13"/>
      <c r="F164" s="13"/>
      <c r="G164" s="13"/>
      <c r="H164" s="13"/>
      <c r="I164" s="13"/>
      <c r="J164" s="13"/>
    </row>
    <row r="165" spans="3:10" x14ac:dyDescent="0.25">
      <c r="C165" s="13"/>
      <c r="D165" s="13"/>
      <c r="E165" s="13"/>
      <c r="F165" s="13"/>
      <c r="G165" s="13"/>
      <c r="H165" s="13"/>
      <c r="I165" s="13"/>
      <c r="J165" s="13"/>
    </row>
    <row r="166" spans="3:10" x14ac:dyDescent="0.25">
      <c r="C166" s="13"/>
      <c r="D166" s="13"/>
      <c r="E166" s="13"/>
      <c r="F166" s="13"/>
      <c r="G166" s="13"/>
      <c r="H166" s="13"/>
      <c r="I166" s="13"/>
      <c r="J166" s="13"/>
    </row>
    <row r="167" spans="3:10" x14ac:dyDescent="0.25">
      <c r="C167" s="13"/>
      <c r="D167" s="13"/>
      <c r="E167" s="13"/>
      <c r="F167" s="13"/>
      <c r="G167" s="13"/>
      <c r="H167" s="13"/>
      <c r="I167" s="13"/>
      <c r="J167" s="13"/>
    </row>
    <row r="168" spans="3:10" x14ac:dyDescent="0.25">
      <c r="C168" s="13"/>
      <c r="D168" s="13"/>
      <c r="E168" s="13"/>
      <c r="F168" s="13"/>
      <c r="G168" s="13"/>
      <c r="H168" s="13"/>
      <c r="I168" s="13"/>
      <c r="J168" s="13"/>
    </row>
    <row r="169" spans="3:10" x14ac:dyDescent="0.25">
      <c r="C169" s="13"/>
      <c r="D169" s="13"/>
      <c r="E169" s="13"/>
      <c r="F169" s="13"/>
      <c r="G169" s="13"/>
      <c r="H169" s="13"/>
      <c r="I169" s="13"/>
      <c r="J169" s="13"/>
    </row>
    <row r="170" spans="3:10" x14ac:dyDescent="0.25">
      <c r="C170" s="13"/>
      <c r="D170" s="13"/>
      <c r="E170" s="13"/>
      <c r="F170" s="13"/>
      <c r="G170" s="13"/>
      <c r="H170" s="13"/>
      <c r="I170" s="13"/>
      <c r="J170" s="13"/>
    </row>
    <row r="171" spans="3:10" x14ac:dyDescent="0.25">
      <c r="C171" s="13"/>
      <c r="D171" s="13"/>
      <c r="E171" s="13"/>
      <c r="F171" s="13"/>
      <c r="G171" s="13"/>
      <c r="H171" s="13"/>
      <c r="I171" s="13"/>
      <c r="J171" s="13"/>
    </row>
    <row r="172" spans="3:10" x14ac:dyDescent="0.25">
      <c r="C172" s="13"/>
      <c r="D172" s="13"/>
      <c r="E172" s="13"/>
      <c r="F172" s="13"/>
      <c r="G172" s="13"/>
      <c r="H172" s="13"/>
      <c r="I172" s="13"/>
      <c r="J172" s="13"/>
    </row>
    <row r="173" spans="3:10" x14ac:dyDescent="0.25">
      <c r="C173" s="13"/>
      <c r="D173" s="13"/>
      <c r="E173" s="13"/>
      <c r="F173" s="13"/>
      <c r="G173" s="13"/>
      <c r="H173" s="13"/>
      <c r="I173" s="13"/>
      <c r="J173" s="13"/>
    </row>
    <row r="174" spans="3:10" x14ac:dyDescent="0.25">
      <c r="C174" s="13"/>
      <c r="D174" s="13"/>
      <c r="E174" s="13"/>
      <c r="F174" s="13"/>
      <c r="G174" s="13"/>
      <c r="H174" s="13"/>
      <c r="I174" s="13"/>
      <c r="J174" s="13"/>
    </row>
    <row r="175" spans="3:10" x14ac:dyDescent="0.25">
      <c r="C175" s="13"/>
      <c r="D175" s="13"/>
      <c r="E175" s="13"/>
      <c r="F175" s="13"/>
      <c r="G175" s="13"/>
      <c r="H175" s="13"/>
      <c r="I175" s="13"/>
      <c r="J175" s="13"/>
    </row>
    <row r="176" spans="3:10" x14ac:dyDescent="0.25">
      <c r="C176" s="13"/>
      <c r="D176" s="13"/>
      <c r="E176" s="13"/>
      <c r="F176" s="13"/>
      <c r="G176" s="13"/>
      <c r="H176" s="13"/>
      <c r="I176" s="13"/>
      <c r="J176" s="13"/>
    </row>
    <row r="177" spans="3:10" x14ac:dyDescent="0.25">
      <c r="C177" s="13"/>
      <c r="D177" s="13"/>
      <c r="E177" s="13"/>
      <c r="F177" s="13"/>
      <c r="G177" s="13"/>
      <c r="H177" s="13"/>
      <c r="I177" s="13"/>
      <c r="J177" s="13"/>
    </row>
    <row r="178" spans="3:10" x14ac:dyDescent="0.25">
      <c r="C178" s="13"/>
      <c r="D178" s="13"/>
      <c r="E178" s="13"/>
      <c r="F178" s="13"/>
      <c r="G178" s="13"/>
      <c r="H178" s="13"/>
      <c r="I178" s="13"/>
      <c r="J178" s="13"/>
    </row>
    <row r="179" spans="3:10" x14ac:dyDescent="0.25">
      <c r="C179" s="13"/>
      <c r="D179" s="13"/>
      <c r="E179" s="13"/>
      <c r="F179" s="13"/>
      <c r="G179" s="13"/>
      <c r="H179" s="13"/>
      <c r="I179" s="13"/>
      <c r="J179" s="13"/>
    </row>
    <row r="180" spans="3:10" x14ac:dyDescent="0.25">
      <c r="C180" s="13"/>
      <c r="D180" s="13"/>
      <c r="E180" s="13"/>
      <c r="F180" s="13"/>
      <c r="G180" s="13"/>
      <c r="H180" s="13"/>
      <c r="I180" s="13"/>
      <c r="J180" s="13"/>
    </row>
    <row r="181" spans="3:10" x14ac:dyDescent="0.25">
      <c r="C181" s="13"/>
      <c r="D181" s="13"/>
      <c r="E181" s="13"/>
      <c r="F181" s="13"/>
      <c r="G181" s="13"/>
      <c r="H181" s="13"/>
      <c r="I181" s="13"/>
      <c r="J181" s="13"/>
    </row>
    <row r="182" spans="3:10" x14ac:dyDescent="0.25">
      <c r="C182" s="13"/>
      <c r="D182" s="13"/>
      <c r="E182" s="13"/>
      <c r="F182" s="13"/>
      <c r="G182" s="13"/>
      <c r="H182" s="13"/>
      <c r="I182" s="13"/>
      <c r="J182" s="13"/>
    </row>
    <row r="183" spans="3:10" x14ac:dyDescent="0.25">
      <c r="C183" s="13"/>
      <c r="D183" s="13"/>
      <c r="E183" s="13"/>
      <c r="F183" s="13"/>
      <c r="G183" s="13"/>
      <c r="H183" s="13"/>
      <c r="I183" s="13"/>
      <c r="J183" s="13"/>
    </row>
    <row r="184" spans="3:10" x14ac:dyDescent="0.25">
      <c r="C184" s="13"/>
      <c r="D184" s="13"/>
      <c r="E184" s="13"/>
      <c r="F184" s="13"/>
      <c r="G184" s="13"/>
      <c r="H184" s="13"/>
      <c r="I184" s="13"/>
      <c r="J184" s="13"/>
    </row>
    <row r="185" spans="3:10" x14ac:dyDescent="0.25">
      <c r="C185" s="13"/>
      <c r="D185" s="13"/>
      <c r="E185" s="13"/>
      <c r="F185" s="13"/>
      <c r="G185" s="13"/>
      <c r="H185" s="13"/>
      <c r="I185" s="13"/>
      <c r="J185" s="13"/>
    </row>
    <row r="186" spans="3:10" x14ac:dyDescent="0.25">
      <c r="C186" s="13"/>
      <c r="D186" s="13"/>
      <c r="E186" s="13"/>
      <c r="F186" s="13"/>
      <c r="G186" s="13"/>
      <c r="H186" s="13"/>
      <c r="I186" s="13"/>
      <c r="J186" s="13"/>
    </row>
    <row r="187" spans="3:10" x14ac:dyDescent="0.25">
      <c r="C187" s="13"/>
      <c r="D187" s="13"/>
      <c r="E187" s="13"/>
      <c r="F187" s="13"/>
      <c r="G187" s="13"/>
      <c r="H187" s="13"/>
      <c r="I187" s="13"/>
      <c r="J187" s="13"/>
    </row>
    <row r="188" spans="3:10" x14ac:dyDescent="0.25">
      <c r="C188" s="13"/>
      <c r="D188" s="13"/>
      <c r="E188" s="13"/>
      <c r="F188" s="13"/>
      <c r="G188" s="13"/>
      <c r="H188" s="13"/>
      <c r="I188" s="13"/>
      <c r="J188" s="13"/>
    </row>
    <row r="189" spans="3:10" x14ac:dyDescent="0.25">
      <c r="C189" s="13"/>
      <c r="D189" s="13"/>
      <c r="E189" s="13"/>
      <c r="F189" s="13"/>
      <c r="G189" s="13"/>
      <c r="H189" s="13"/>
      <c r="I189" s="13"/>
      <c r="J189" s="13"/>
    </row>
    <row r="190" spans="3:10" x14ac:dyDescent="0.25">
      <c r="C190" s="13"/>
      <c r="D190" s="13"/>
      <c r="E190" s="13"/>
      <c r="F190" s="13"/>
      <c r="G190" s="13"/>
      <c r="H190" s="13"/>
      <c r="I190" s="13"/>
      <c r="J190" s="13"/>
    </row>
    <row r="191" spans="3:10" x14ac:dyDescent="0.25">
      <c r="C191" s="13"/>
      <c r="D191" s="13"/>
      <c r="E191" s="13"/>
      <c r="F191" s="13"/>
      <c r="G191" s="13"/>
      <c r="H191" s="13"/>
      <c r="I191" s="13"/>
      <c r="J191" s="13"/>
    </row>
    <row r="192" spans="3:10" x14ac:dyDescent="0.25">
      <c r="C192" s="13"/>
      <c r="D192" s="13"/>
      <c r="E192" s="13"/>
      <c r="F192" s="13"/>
      <c r="G192" s="13"/>
      <c r="H192" s="13"/>
      <c r="I192" s="13"/>
      <c r="J192" s="13"/>
    </row>
    <row r="193" spans="3:10" x14ac:dyDescent="0.25">
      <c r="C193" s="13"/>
      <c r="D193" s="13"/>
      <c r="E193" s="13"/>
      <c r="F193" s="13"/>
      <c r="G193" s="13"/>
      <c r="H193" s="13"/>
      <c r="I193" s="13"/>
      <c r="J193" s="13"/>
    </row>
    <row r="194" spans="3:10" x14ac:dyDescent="0.25">
      <c r="C194" s="13"/>
      <c r="D194" s="13"/>
      <c r="E194" s="13"/>
      <c r="F194" s="13"/>
      <c r="G194" s="13"/>
      <c r="H194" s="13"/>
      <c r="I194" s="13"/>
      <c r="J194" s="13"/>
    </row>
    <row r="195" spans="3:10" x14ac:dyDescent="0.25">
      <c r="C195" s="13"/>
      <c r="D195" s="13"/>
      <c r="E195" s="13"/>
      <c r="F195" s="13"/>
      <c r="G195" s="13"/>
      <c r="H195" s="13"/>
      <c r="I195" s="13"/>
      <c r="J195" s="13"/>
    </row>
    <row r="196" spans="3:10" x14ac:dyDescent="0.25">
      <c r="C196" s="13"/>
      <c r="D196" s="13"/>
      <c r="E196" s="13"/>
      <c r="F196" s="13"/>
      <c r="G196" s="13"/>
      <c r="H196" s="13"/>
      <c r="I196" s="13"/>
      <c r="J196" s="13"/>
    </row>
    <row r="197" spans="3:10" x14ac:dyDescent="0.25">
      <c r="C197" s="13"/>
      <c r="D197" s="13"/>
      <c r="E197" s="13"/>
      <c r="F197" s="13"/>
      <c r="G197" s="13"/>
      <c r="H197" s="13"/>
      <c r="I197" s="13"/>
      <c r="J197" s="13"/>
    </row>
    <row r="198" spans="3:10" x14ac:dyDescent="0.25">
      <c r="C198" s="13"/>
      <c r="D198" s="13"/>
      <c r="E198" s="13"/>
      <c r="F198" s="13"/>
      <c r="G198" s="13"/>
      <c r="H198" s="13"/>
      <c r="I198" s="13"/>
      <c r="J198" s="13"/>
    </row>
    <row r="199" spans="3:10" x14ac:dyDescent="0.25">
      <c r="C199" s="13"/>
      <c r="D199" s="13"/>
      <c r="E199" s="13"/>
      <c r="F199" s="13"/>
      <c r="G199" s="13"/>
      <c r="H199" s="13"/>
      <c r="I199" s="13"/>
      <c r="J199" s="13"/>
    </row>
    <row r="200" spans="3:10" x14ac:dyDescent="0.25">
      <c r="C200" s="13"/>
      <c r="D200" s="13"/>
      <c r="E200" s="13"/>
      <c r="F200" s="13"/>
      <c r="G200" s="13"/>
      <c r="H200" s="13"/>
      <c r="I200" s="13"/>
      <c r="J200" s="13"/>
    </row>
    <row r="201" spans="3:10" x14ac:dyDescent="0.25">
      <c r="C201" s="13"/>
      <c r="D201" s="13"/>
      <c r="E201" s="13"/>
      <c r="F201" s="13"/>
      <c r="G201" s="13"/>
      <c r="H201" s="13"/>
      <c r="I201" s="13"/>
      <c r="J201" s="13"/>
    </row>
    <row r="202" spans="3:10" x14ac:dyDescent="0.25">
      <c r="C202" s="13"/>
      <c r="D202" s="13"/>
      <c r="E202" s="13"/>
      <c r="F202" s="13"/>
      <c r="G202" s="13"/>
      <c r="H202" s="13"/>
      <c r="I202" s="13"/>
      <c r="J202" s="13"/>
    </row>
    <row r="203" spans="3:10" x14ac:dyDescent="0.25">
      <c r="C203" s="13"/>
      <c r="D203" s="13"/>
      <c r="E203" s="13"/>
      <c r="F203" s="13"/>
      <c r="G203" s="13"/>
      <c r="H203" s="13"/>
      <c r="I203" s="13"/>
      <c r="J203" s="13"/>
    </row>
    <row r="204" spans="3:10" x14ac:dyDescent="0.25">
      <c r="C204" s="13"/>
      <c r="D204" s="13"/>
      <c r="E204" s="13"/>
      <c r="F204" s="13"/>
      <c r="G204" s="13"/>
      <c r="H204" s="13"/>
      <c r="I204" s="13"/>
      <c r="J204" s="13"/>
    </row>
    <row r="205" spans="3:10" x14ac:dyDescent="0.25">
      <c r="C205" s="13"/>
      <c r="D205" s="13"/>
      <c r="E205" s="13"/>
      <c r="F205" s="13"/>
      <c r="G205" s="13"/>
      <c r="H205" s="13"/>
      <c r="I205" s="13"/>
      <c r="J205" s="13"/>
    </row>
    <row r="206" spans="3:10" x14ac:dyDescent="0.25">
      <c r="C206" s="13"/>
      <c r="D206" s="13"/>
      <c r="E206" s="13"/>
      <c r="F206" s="13"/>
      <c r="G206" s="13"/>
      <c r="H206" s="13"/>
      <c r="I206" s="13"/>
      <c r="J206" s="13"/>
    </row>
    <row r="207" spans="3:10" x14ac:dyDescent="0.25">
      <c r="C207" s="13"/>
      <c r="D207" s="13"/>
      <c r="E207" s="13"/>
      <c r="F207" s="13"/>
      <c r="G207" s="13"/>
      <c r="H207" s="13"/>
      <c r="I207" s="13"/>
      <c r="J207" s="13"/>
    </row>
    <row r="208" spans="3:10" x14ac:dyDescent="0.25">
      <c r="C208" s="13"/>
      <c r="D208" s="13"/>
      <c r="E208" s="13"/>
      <c r="F208" s="13"/>
      <c r="G208" s="13"/>
      <c r="H208" s="13"/>
      <c r="I208" s="13"/>
      <c r="J208" s="13"/>
    </row>
    <row r="209" spans="3:10" x14ac:dyDescent="0.25">
      <c r="C209" s="13"/>
      <c r="D209" s="13"/>
      <c r="E209" s="13"/>
      <c r="F209" s="13"/>
      <c r="G209" s="13"/>
      <c r="H209" s="13"/>
      <c r="I209" s="13"/>
      <c r="J209" s="13"/>
    </row>
    <row r="210" spans="3:10" x14ac:dyDescent="0.25">
      <c r="C210" s="13"/>
      <c r="D210" s="13"/>
      <c r="E210" s="13"/>
      <c r="F210" s="13"/>
      <c r="G210" s="13"/>
      <c r="H210" s="13"/>
      <c r="I210" s="13"/>
      <c r="J210" s="13"/>
    </row>
    <row r="211" spans="3:10" x14ac:dyDescent="0.25">
      <c r="C211" s="13"/>
      <c r="D211" s="13"/>
      <c r="E211" s="13"/>
      <c r="F211" s="13"/>
      <c r="G211" s="13"/>
      <c r="H211" s="13"/>
      <c r="I211" s="13"/>
      <c r="J211" s="13"/>
    </row>
    <row r="212" spans="3:10" x14ac:dyDescent="0.25">
      <c r="C212" s="13"/>
      <c r="D212" s="13"/>
      <c r="E212" s="13"/>
      <c r="F212" s="13"/>
      <c r="G212" s="13"/>
      <c r="H212" s="13"/>
      <c r="I212" s="13"/>
      <c r="J212" s="13"/>
    </row>
    <row r="213" spans="3:10" x14ac:dyDescent="0.25">
      <c r="C213" s="13"/>
      <c r="D213" s="13"/>
      <c r="E213" s="13"/>
      <c r="F213" s="13"/>
      <c r="G213" s="13"/>
      <c r="H213" s="13"/>
      <c r="I213" s="13"/>
      <c r="J213" s="13"/>
    </row>
    <row r="214" spans="3:10" x14ac:dyDescent="0.25">
      <c r="C214" s="13"/>
      <c r="D214" s="13"/>
      <c r="E214" s="13"/>
      <c r="F214" s="13"/>
      <c r="G214" s="13"/>
      <c r="H214" s="13"/>
      <c r="I214" s="13"/>
      <c r="J214" s="13"/>
    </row>
    <row r="215" spans="3:10" x14ac:dyDescent="0.25">
      <c r="C215" s="13"/>
      <c r="D215" s="13"/>
      <c r="E215" s="13"/>
      <c r="F215" s="13"/>
      <c r="G215" s="13"/>
      <c r="H215" s="13"/>
      <c r="I215" s="13"/>
      <c r="J215" s="13"/>
    </row>
    <row r="216" spans="3:10" x14ac:dyDescent="0.25">
      <c r="C216" s="13"/>
      <c r="D216" s="13"/>
      <c r="E216" s="13"/>
      <c r="F216" s="13"/>
      <c r="G216" s="13"/>
      <c r="H216" s="13"/>
      <c r="I216" s="13"/>
      <c r="J216" s="13"/>
    </row>
    <row r="217" spans="3:10" x14ac:dyDescent="0.25">
      <c r="C217" s="13"/>
      <c r="D217" s="13"/>
      <c r="E217" s="13"/>
      <c r="F217" s="13"/>
      <c r="G217" s="13"/>
      <c r="H217" s="13"/>
      <c r="I217" s="13"/>
      <c r="J217" s="13"/>
    </row>
    <row r="218" spans="3:10" x14ac:dyDescent="0.25">
      <c r="C218" s="13"/>
      <c r="D218" s="13"/>
      <c r="E218" s="13"/>
      <c r="F218" s="13"/>
      <c r="G218" s="13"/>
      <c r="H218" s="13"/>
      <c r="I218" s="13"/>
      <c r="J218" s="13"/>
    </row>
    <row r="219" spans="3:10" x14ac:dyDescent="0.25">
      <c r="C219" s="13"/>
      <c r="D219" s="13"/>
      <c r="E219" s="13"/>
      <c r="F219" s="13"/>
      <c r="G219" s="13"/>
      <c r="H219" s="13"/>
      <c r="I219" s="13"/>
      <c r="J219" s="13"/>
    </row>
    <row r="220" spans="3:10" x14ac:dyDescent="0.25">
      <c r="C220" s="13"/>
      <c r="D220" s="13"/>
      <c r="E220" s="13"/>
      <c r="F220" s="13"/>
      <c r="G220" s="13"/>
      <c r="H220" s="13"/>
      <c r="I220" s="13"/>
      <c r="J220" s="13"/>
    </row>
    <row r="221" spans="3:10" x14ac:dyDescent="0.25">
      <c r="C221" s="13"/>
      <c r="D221" s="13"/>
      <c r="E221" s="13"/>
      <c r="F221" s="13"/>
      <c r="G221" s="13"/>
      <c r="H221" s="13"/>
      <c r="I221" s="13"/>
      <c r="J221" s="13"/>
    </row>
    <row r="222" spans="3:10" x14ac:dyDescent="0.25">
      <c r="C222" s="13"/>
      <c r="D222" s="13"/>
      <c r="E222" s="13"/>
      <c r="F222" s="13"/>
      <c r="G222" s="13"/>
      <c r="H222" s="13"/>
      <c r="I222" s="13"/>
      <c r="J222" s="13"/>
    </row>
    <row r="223" spans="3:10" x14ac:dyDescent="0.25">
      <c r="C223" s="13"/>
      <c r="D223" s="13"/>
      <c r="E223" s="13"/>
      <c r="F223" s="13"/>
      <c r="G223" s="13"/>
      <c r="H223" s="13"/>
      <c r="I223" s="13"/>
      <c r="J223" s="13"/>
    </row>
    <row r="224" spans="3:10" x14ac:dyDescent="0.25">
      <c r="C224" s="13"/>
      <c r="D224" s="13"/>
      <c r="E224" s="13"/>
      <c r="F224" s="13"/>
      <c r="G224" s="13"/>
      <c r="H224" s="13"/>
      <c r="I224" s="13"/>
      <c r="J224" s="13"/>
    </row>
    <row r="225" spans="3:10" x14ac:dyDescent="0.25">
      <c r="C225" s="13"/>
      <c r="D225" s="13"/>
      <c r="E225" s="13"/>
      <c r="F225" s="13"/>
      <c r="G225" s="13"/>
      <c r="H225" s="13"/>
      <c r="I225" s="13"/>
      <c r="J225" s="13"/>
    </row>
    <row r="226" spans="3:10" x14ac:dyDescent="0.25">
      <c r="C226" s="13"/>
      <c r="D226" s="13"/>
      <c r="E226" s="13"/>
      <c r="F226" s="13"/>
      <c r="G226" s="13"/>
      <c r="H226" s="13"/>
      <c r="I226" s="13"/>
      <c r="J226" s="13"/>
    </row>
    <row r="227" spans="3:10" x14ac:dyDescent="0.25">
      <c r="C227" s="13"/>
      <c r="D227" s="13"/>
      <c r="E227" s="13"/>
      <c r="F227" s="13"/>
      <c r="G227" s="13"/>
      <c r="H227" s="13"/>
      <c r="I227" s="13"/>
      <c r="J227" s="13"/>
    </row>
    <row r="228" spans="3:10" x14ac:dyDescent="0.25">
      <c r="C228" s="13"/>
      <c r="D228" s="13"/>
      <c r="E228" s="13"/>
      <c r="F228" s="13"/>
      <c r="G228" s="13"/>
      <c r="H228" s="13"/>
      <c r="I228" s="13"/>
      <c r="J228" s="13"/>
    </row>
    <row r="229" spans="3:10" x14ac:dyDescent="0.25">
      <c r="C229" s="13"/>
      <c r="D229" s="13"/>
      <c r="E229" s="13"/>
      <c r="F229" s="13"/>
      <c r="G229" s="13"/>
      <c r="H229" s="13"/>
      <c r="I229" s="13"/>
      <c r="J229" s="13"/>
    </row>
    <row r="230" spans="3:10" x14ac:dyDescent="0.25">
      <c r="C230" s="13"/>
      <c r="D230" s="13"/>
      <c r="E230" s="13"/>
      <c r="F230" s="13"/>
      <c r="G230" s="13"/>
      <c r="H230" s="13"/>
      <c r="I230" s="13"/>
      <c r="J230" s="13"/>
    </row>
    <row r="231" spans="3:10" x14ac:dyDescent="0.25">
      <c r="C231" s="13"/>
      <c r="D231" s="13"/>
      <c r="E231" s="13"/>
      <c r="F231" s="13"/>
      <c r="G231" s="13"/>
      <c r="H231" s="13"/>
      <c r="I231" s="13"/>
      <c r="J231" s="13"/>
    </row>
    <row r="232" spans="3:10" x14ac:dyDescent="0.25">
      <c r="C232" s="13"/>
      <c r="D232" s="13"/>
      <c r="E232" s="13"/>
      <c r="F232" s="13"/>
      <c r="G232" s="13"/>
      <c r="H232" s="13"/>
      <c r="I232" s="13"/>
      <c r="J232" s="13"/>
    </row>
    <row r="233" spans="3:10" x14ac:dyDescent="0.25">
      <c r="C233" s="13"/>
      <c r="D233" s="13"/>
      <c r="E233" s="13"/>
      <c r="F233" s="13"/>
      <c r="G233" s="13"/>
      <c r="H233" s="13"/>
      <c r="I233" s="13"/>
      <c r="J233" s="13"/>
    </row>
    <row r="234" spans="3:10" x14ac:dyDescent="0.25">
      <c r="C234" s="13"/>
      <c r="D234" s="13"/>
      <c r="E234" s="13"/>
      <c r="F234" s="13"/>
      <c r="G234" s="13"/>
      <c r="H234" s="13"/>
      <c r="I234" s="13"/>
      <c r="J234" s="13"/>
    </row>
    <row r="235" spans="3:10" x14ac:dyDescent="0.25">
      <c r="C235" s="13"/>
      <c r="D235" s="13"/>
      <c r="E235" s="13"/>
      <c r="F235" s="13"/>
      <c r="G235" s="13"/>
      <c r="H235" s="13"/>
      <c r="I235" s="13"/>
      <c r="J235" s="13"/>
    </row>
    <row r="236" spans="3:10" x14ac:dyDescent="0.25">
      <c r="C236" s="13"/>
      <c r="D236" s="13"/>
      <c r="E236" s="13"/>
      <c r="F236" s="13"/>
      <c r="G236" s="13"/>
      <c r="H236" s="13"/>
      <c r="I236" s="13"/>
      <c r="J236" s="13"/>
    </row>
    <row r="237" spans="3:10" x14ac:dyDescent="0.25">
      <c r="C237" s="13"/>
      <c r="D237" s="13"/>
      <c r="E237" s="13"/>
      <c r="F237" s="13"/>
      <c r="G237" s="13"/>
      <c r="H237" s="13"/>
      <c r="I237" s="13"/>
      <c r="J237" s="13"/>
    </row>
    <row r="238" spans="3:10" x14ac:dyDescent="0.25">
      <c r="C238" s="13"/>
      <c r="D238" s="13"/>
      <c r="E238" s="13"/>
      <c r="F238" s="13"/>
      <c r="G238" s="13"/>
      <c r="H238" s="13"/>
      <c r="I238" s="13"/>
      <c r="J238" s="13"/>
    </row>
    <row r="239" spans="3:10" x14ac:dyDescent="0.25">
      <c r="C239" s="13"/>
      <c r="D239" s="13"/>
      <c r="E239" s="13"/>
      <c r="F239" s="13"/>
      <c r="G239" s="13"/>
      <c r="H239" s="13"/>
      <c r="I239" s="13"/>
      <c r="J239" s="13"/>
    </row>
    <row r="240" spans="3:10" x14ac:dyDescent="0.25">
      <c r="C240" s="13"/>
      <c r="D240" s="13"/>
      <c r="E240" s="13"/>
      <c r="F240" s="13"/>
      <c r="G240" s="13"/>
      <c r="H240" s="13"/>
      <c r="I240" s="13"/>
      <c r="J240" s="13"/>
    </row>
    <row r="241" spans="3:10" x14ac:dyDescent="0.25">
      <c r="C241" s="13"/>
      <c r="D241" s="13"/>
      <c r="E241" s="13"/>
      <c r="F241" s="13"/>
      <c r="G241" s="13"/>
      <c r="H241" s="13"/>
      <c r="I241" s="13"/>
      <c r="J241" s="13"/>
    </row>
    <row r="242" spans="3:10" x14ac:dyDescent="0.25">
      <c r="C242" s="13"/>
      <c r="D242" s="13"/>
      <c r="E242" s="13"/>
      <c r="F242" s="13"/>
      <c r="G242" s="13"/>
      <c r="H242" s="13"/>
      <c r="I242" s="13"/>
      <c r="J242" s="13"/>
    </row>
    <row r="243" spans="3:10" x14ac:dyDescent="0.25">
      <c r="C243" s="13"/>
      <c r="D243" s="13"/>
      <c r="E243" s="13"/>
      <c r="F243" s="13"/>
      <c r="G243" s="13"/>
      <c r="H243" s="13"/>
      <c r="I243" s="13"/>
      <c r="J243" s="13"/>
    </row>
    <row r="244" spans="3:10" x14ac:dyDescent="0.25">
      <c r="C244" s="13"/>
      <c r="D244" s="13"/>
      <c r="E244" s="13"/>
      <c r="F244" s="13"/>
      <c r="G244" s="13"/>
      <c r="H244" s="13"/>
      <c r="I244" s="13"/>
      <c r="J244" s="13"/>
    </row>
    <row r="245" spans="3:10" x14ac:dyDescent="0.25">
      <c r="C245" s="13"/>
      <c r="D245" s="13"/>
      <c r="E245" s="13"/>
      <c r="F245" s="13"/>
      <c r="G245" s="13"/>
      <c r="H245" s="13"/>
      <c r="I245" s="13"/>
      <c r="J245" s="13"/>
    </row>
    <row r="246" spans="3:10" x14ac:dyDescent="0.25">
      <c r="C246" s="13"/>
      <c r="D246" s="13"/>
      <c r="E246" s="13"/>
      <c r="F246" s="13"/>
      <c r="G246" s="13"/>
      <c r="H246" s="13"/>
      <c r="I246" s="13"/>
      <c r="J246" s="13"/>
    </row>
    <row r="247" spans="3:10" x14ac:dyDescent="0.25">
      <c r="C247" s="13"/>
      <c r="D247" s="13"/>
      <c r="E247" s="13"/>
      <c r="F247" s="13"/>
      <c r="G247" s="13"/>
      <c r="H247" s="13"/>
      <c r="I247" s="13"/>
      <c r="J247" s="13"/>
    </row>
    <row r="248" spans="3:10" x14ac:dyDescent="0.25">
      <c r="C248" s="13"/>
      <c r="D248" s="13"/>
      <c r="E248" s="13"/>
      <c r="F248" s="13"/>
      <c r="G248" s="13"/>
      <c r="H248" s="13"/>
      <c r="I248" s="13"/>
      <c r="J248" s="13"/>
    </row>
    <row r="249" spans="3:10" x14ac:dyDescent="0.25">
      <c r="C249" s="13"/>
      <c r="D249" s="13"/>
      <c r="E249" s="13"/>
      <c r="F249" s="13"/>
      <c r="G249" s="13"/>
      <c r="H249" s="13"/>
      <c r="I249" s="13"/>
      <c r="J249" s="13"/>
    </row>
    <row r="250" spans="3:10" x14ac:dyDescent="0.25">
      <c r="C250" s="13"/>
      <c r="D250" s="13"/>
      <c r="E250" s="13"/>
      <c r="F250" s="13"/>
      <c r="G250" s="13"/>
      <c r="H250" s="13"/>
      <c r="I250" s="13"/>
      <c r="J250" s="13"/>
    </row>
    <row r="251" spans="3:10" x14ac:dyDescent="0.25">
      <c r="C251" s="13"/>
      <c r="D251" s="13"/>
      <c r="E251" s="13"/>
      <c r="F251" s="13"/>
      <c r="G251" s="13"/>
      <c r="H251" s="13"/>
      <c r="I251" s="13"/>
      <c r="J251" s="13"/>
    </row>
    <row r="252" spans="3:10" x14ac:dyDescent="0.25">
      <c r="C252" s="13"/>
      <c r="D252" s="13"/>
      <c r="E252" s="13"/>
      <c r="F252" s="13"/>
      <c r="G252" s="13"/>
      <c r="H252" s="13"/>
      <c r="I252" s="13"/>
      <c r="J252" s="13"/>
    </row>
    <row r="253" spans="3:10" x14ac:dyDescent="0.25">
      <c r="C253" s="13"/>
      <c r="D253" s="13"/>
      <c r="E253" s="13"/>
      <c r="F253" s="13"/>
      <c r="G253" s="13"/>
      <c r="H253" s="13"/>
      <c r="I253" s="13"/>
      <c r="J253" s="13"/>
    </row>
    <row r="254" spans="3:10" x14ac:dyDescent="0.25">
      <c r="C254" s="13"/>
      <c r="D254" s="13"/>
      <c r="E254" s="13"/>
      <c r="F254" s="13"/>
      <c r="G254" s="13"/>
      <c r="H254" s="13"/>
      <c r="I254" s="13"/>
      <c r="J254" s="13"/>
    </row>
    <row r="255" spans="3:10" x14ac:dyDescent="0.25">
      <c r="C255" s="13"/>
      <c r="D255" s="13"/>
      <c r="E255" s="13"/>
      <c r="F255" s="13"/>
      <c r="G255" s="13"/>
      <c r="H255" s="13"/>
      <c r="I255" s="13"/>
      <c r="J255" s="13"/>
    </row>
    <row r="256" spans="3:10" x14ac:dyDescent="0.25">
      <c r="C256" s="13"/>
      <c r="D256" s="13"/>
      <c r="E256" s="13"/>
      <c r="F256" s="13"/>
      <c r="G256" s="13"/>
      <c r="H256" s="13"/>
      <c r="I256" s="13"/>
      <c r="J256" s="13"/>
    </row>
    <row r="257" spans="3:10" x14ac:dyDescent="0.25">
      <c r="C257" s="13"/>
      <c r="D257" s="13"/>
      <c r="E257" s="13"/>
      <c r="F257" s="13"/>
      <c r="G257" s="13"/>
      <c r="H257" s="13"/>
      <c r="I257" s="13"/>
      <c r="J257" s="13"/>
    </row>
    <row r="258" spans="3:10" x14ac:dyDescent="0.25">
      <c r="C258" s="13"/>
      <c r="D258" s="13"/>
      <c r="E258" s="13"/>
      <c r="F258" s="13"/>
      <c r="G258" s="13"/>
      <c r="H258" s="13"/>
      <c r="I258" s="13"/>
      <c r="J258" s="13"/>
    </row>
    <row r="259" spans="3:10" x14ac:dyDescent="0.25">
      <c r="C259" s="13"/>
      <c r="D259" s="13"/>
      <c r="E259" s="13"/>
      <c r="F259" s="13"/>
      <c r="G259" s="13"/>
      <c r="H259" s="13"/>
      <c r="I259" s="13"/>
      <c r="J259" s="13"/>
    </row>
    <row r="260" spans="3:10" x14ac:dyDescent="0.25">
      <c r="C260" s="13"/>
      <c r="D260" s="13"/>
      <c r="E260" s="13"/>
      <c r="F260" s="13"/>
      <c r="G260" s="13"/>
      <c r="H260" s="13"/>
      <c r="I260" s="13"/>
      <c r="J260" s="13"/>
    </row>
    <row r="261" spans="3:10" x14ac:dyDescent="0.25">
      <c r="C261" s="13"/>
      <c r="D261" s="13"/>
      <c r="E261" s="13"/>
      <c r="F261" s="13"/>
      <c r="G261" s="13"/>
      <c r="H261" s="13"/>
      <c r="I261" s="13"/>
      <c r="J261" s="13"/>
    </row>
    <row r="262" spans="3:10" x14ac:dyDescent="0.25">
      <c r="C262" s="13"/>
      <c r="D262" s="13"/>
      <c r="E262" s="13"/>
      <c r="F262" s="13"/>
      <c r="G262" s="13"/>
      <c r="H262" s="13"/>
      <c r="I262" s="13"/>
      <c r="J262" s="13"/>
    </row>
    <row r="263" spans="3:10" x14ac:dyDescent="0.25">
      <c r="C263" s="13"/>
      <c r="D263" s="13"/>
      <c r="E263" s="13"/>
      <c r="F263" s="13"/>
      <c r="G263" s="13"/>
      <c r="H263" s="13"/>
      <c r="I263" s="13"/>
      <c r="J263" s="13"/>
    </row>
    <row r="264" spans="3:10" x14ac:dyDescent="0.25">
      <c r="C264" s="13"/>
      <c r="D264" s="13"/>
      <c r="E264" s="13"/>
      <c r="F264" s="13"/>
      <c r="G264" s="13"/>
      <c r="H264" s="13"/>
      <c r="I264" s="13"/>
      <c r="J264" s="13"/>
    </row>
    <row r="265" spans="3:10" x14ac:dyDescent="0.25">
      <c r="C265" s="13"/>
      <c r="D265" s="13"/>
      <c r="E265" s="13"/>
      <c r="F265" s="13"/>
      <c r="G265" s="13"/>
      <c r="H265" s="13"/>
      <c r="I265" s="13"/>
      <c r="J265" s="13"/>
    </row>
    <row r="266" spans="3:10" x14ac:dyDescent="0.25">
      <c r="C266" s="13"/>
      <c r="D266" s="13"/>
      <c r="E266" s="13"/>
      <c r="F266" s="13"/>
      <c r="G266" s="13"/>
      <c r="H266" s="13"/>
      <c r="I266" s="13"/>
      <c r="J266" s="13"/>
    </row>
    <row r="267" spans="3:10" x14ac:dyDescent="0.25">
      <c r="C267" s="13"/>
      <c r="D267" s="13"/>
      <c r="E267" s="13"/>
      <c r="F267" s="13"/>
      <c r="G267" s="13"/>
      <c r="H267" s="13"/>
      <c r="I267" s="13"/>
      <c r="J267" s="13"/>
    </row>
    <row r="268" spans="3:10" x14ac:dyDescent="0.25">
      <c r="C268" s="13"/>
      <c r="D268" s="13"/>
      <c r="E268" s="13"/>
      <c r="F268" s="13"/>
      <c r="G268" s="13"/>
      <c r="H268" s="13"/>
      <c r="I268" s="13"/>
      <c r="J268" s="13"/>
    </row>
    <row r="269" spans="3:10" x14ac:dyDescent="0.25">
      <c r="C269" s="13"/>
      <c r="D269" s="13"/>
      <c r="E269" s="13"/>
      <c r="F269" s="13"/>
      <c r="G269" s="13"/>
      <c r="H269" s="13"/>
      <c r="I269" s="13"/>
      <c r="J269" s="13"/>
    </row>
    <row r="270" spans="3:10" x14ac:dyDescent="0.25">
      <c r="C270" s="13"/>
      <c r="D270" s="13"/>
      <c r="E270" s="13"/>
      <c r="F270" s="13"/>
      <c r="G270" s="13"/>
      <c r="H270" s="13"/>
      <c r="I270" s="13"/>
      <c r="J270" s="13"/>
    </row>
    <row r="271" spans="3:10" x14ac:dyDescent="0.25">
      <c r="C271" s="13"/>
      <c r="D271" s="13"/>
      <c r="E271" s="13"/>
      <c r="F271" s="13"/>
      <c r="G271" s="13"/>
      <c r="H271" s="13"/>
      <c r="I271" s="13"/>
      <c r="J271" s="13"/>
    </row>
    <row r="272" spans="3:10" x14ac:dyDescent="0.25">
      <c r="C272" s="13"/>
      <c r="D272" s="13"/>
      <c r="E272" s="13"/>
      <c r="F272" s="13"/>
      <c r="G272" s="13"/>
      <c r="H272" s="13"/>
      <c r="I272" s="13"/>
      <c r="J272" s="13"/>
    </row>
    <row r="273" spans="3:10" x14ac:dyDescent="0.25">
      <c r="C273" s="13"/>
      <c r="D273" s="13"/>
      <c r="E273" s="13"/>
      <c r="F273" s="13"/>
      <c r="G273" s="13"/>
      <c r="H273" s="13"/>
      <c r="I273" s="13"/>
      <c r="J273" s="13"/>
    </row>
    <row r="274" spans="3:10" x14ac:dyDescent="0.25">
      <c r="C274" s="13"/>
      <c r="D274" s="13"/>
      <c r="E274" s="13"/>
      <c r="F274" s="13"/>
      <c r="G274" s="13"/>
      <c r="H274" s="13"/>
      <c r="I274" s="13"/>
      <c r="J274" s="13"/>
    </row>
    <row r="275" spans="3:10" x14ac:dyDescent="0.25">
      <c r="C275" s="13"/>
      <c r="D275" s="13"/>
      <c r="E275" s="13"/>
      <c r="F275" s="13"/>
      <c r="G275" s="13"/>
      <c r="H275" s="13"/>
      <c r="I275" s="13"/>
      <c r="J275" s="13"/>
    </row>
    <row r="276" spans="3:10" x14ac:dyDescent="0.25">
      <c r="C276" s="13"/>
      <c r="D276" s="13"/>
      <c r="E276" s="13"/>
      <c r="F276" s="13"/>
      <c r="G276" s="13"/>
      <c r="H276" s="13"/>
      <c r="I276" s="13"/>
      <c r="J276" s="13"/>
    </row>
    <row r="277" spans="3:10" x14ac:dyDescent="0.25">
      <c r="C277" s="13"/>
      <c r="D277" s="13"/>
      <c r="E277" s="13"/>
      <c r="F277" s="13"/>
      <c r="G277" s="13"/>
      <c r="H277" s="13"/>
      <c r="I277" s="13"/>
      <c r="J277" s="13"/>
    </row>
    <row r="278" spans="3:10" x14ac:dyDescent="0.25">
      <c r="C278" s="13"/>
      <c r="D278" s="13"/>
      <c r="E278" s="13"/>
      <c r="F278" s="13"/>
      <c r="G278" s="13"/>
      <c r="H278" s="13"/>
      <c r="I278" s="13"/>
      <c r="J278" s="13"/>
    </row>
    <row r="279" spans="3:10" x14ac:dyDescent="0.25">
      <c r="C279" s="13"/>
      <c r="D279" s="13"/>
      <c r="E279" s="13"/>
      <c r="F279" s="13"/>
      <c r="G279" s="13"/>
      <c r="H279" s="13"/>
      <c r="I279" s="13"/>
      <c r="J279" s="13"/>
    </row>
    <row r="280" spans="3:10" x14ac:dyDescent="0.25">
      <c r="C280" s="13"/>
      <c r="D280" s="13"/>
      <c r="E280" s="13"/>
      <c r="F280" s="13"/>
      <c r="G280" s="13"/>
      <c r="H280" s="13"/>
      <c r="I280" s="13"/>
      <c r="J280" s="13"/>
    </row>
    <row r="281" spans="3:10" x14ac:dyDescent="0.25">
      <c r="C281" s="13"/>
      <c r="D281" s="13"/>
      <c r="E281" s="13"/>
      <c r="F281" s="13"/>
      <c r="G281" s="13"/>
      <c r="H281" s="13"/>
      <c r="I281" s="13"/>
      <c r="J281" s="13"/>
    </row>
    <row r="282" spans="3:10" x14ac:dyDescent="0.25">
      <c r="C282" s="13"/>
      <c r="D282" s="13"/>
      <c r="E282" s="13"/>
      <c r="F282" s="13"/>
      <c r="G282" s="13"/>
      <c r="H282" s="13"/>
      <c r="I282" s="13"/>
      <c r="J282" s="13"/>
    </row>
    <row r="283" spans="3:10" x14ac:dyDescent="0.25">
      <c r="C283" s="13"/>
      <c r="D283" s="13"/>
      <c r="E283" s="13"/>
      <c r="F283" s="13"/>
      <c r="G283" s="13"/>
      <c r="H283" s="13"/>
      <c r="I283" s="13"/>
      <c r="J283" s="13"/>
    </row>
    <row r="284" spans="3:10" x14ac:dyDescent="0.25">
      <c r="C284" s="13"/>
      <c r="D284" s="13"/>
      <c r="E284" s="13"/>
      <c r="F284" s="13"/>
      <c r="G284" s="13"/>
      <c r="H284" s="13"/>
      <c r="I284" s="13"/>
      <c r="J284" s="13"/>
    </row>
    <row r="285" spans="3:10" x14ac:dyDescent="0.25">
      <c r="C285" s="13"/>
      <c r="D285" s="13"/>
      <c r="E285" s="13"/>
      <c r="F285" s="13"/>
      <c r="G285" s="13"/>
      <c r="H285" s="13"/>
      <c r="I285" s="13"/>
      <c r="J285" s="13"/>
    </row>
    <row r="286" spans="3:10" x14ac:dyDescent="0.25">
      <c r="C286" s="13"/>
      <c r="D286" s="13"/>
      <c r="E286" s="13"/>
      <c r="F286" s="13"/>
      <c r="G286" s="13"/>
      <c r="H286" s="13"/>
      <c r="I286" s="13"/>
      <c r="J286" s="13"/>
    </row>
    <row r="287" spans="3:10" x14ac:dyDescent="0.25">
      <c r="C287" s="13"/>
      <c r="D287" s="13"/>
      <c r="E287" s="13"/>
      <c r="F287" s="13"/>
      <c r="G287" s="13"/>
      <c r="H287" s="13"/>
      <c r="I287" s="13"/>
      <c r="J287" s="13"/>
    </row>
    <row r="288" spans="3:10" x14ac:dyDescent="0.25">
      <c r="C288" s="13"/>
      <c r="D288" s="13"/>
      <c r="E288" s="13"/>
      <c r="F288" s="13"/>
      <c r="G288" s="13"/>
      <c r="H288" s="13"/>
      <c r="I288" s="13"/>
      <c r="J288" s="13"/>
    </row>
    <row r="289" spans="3:10" x14ac:dyDescent="0.25">
      <c r="C289" s="13"/>
      <c r="D289" s="13"/>
      <c r="E289" s="13"/>
      <c r="F289" s="13"/>
      <c r="G289" s="13"/>
      <c r="H289" s="13"/>
      <c r="I289" s="13"/>
      <c r="J289" s="13"/>
    </row>
    <row r="290" spans="3:10" x14ac:dyDescent="0.25">
      <c r="C290" s="13"/>
      <c r="D290" s="13"/>
      <c r="E290" s="13"/>
      <c r="F290" s="13"/>
      <c r="G290" s="13"/>
      <c r="H290" s="13"/>
      <c r="I290" s="13"/>
      <c r="J290" s="13"/>
    </row>
    <row r="291" spans="3:10" x14ac:dyDescent="0.25">
      <c r="C291" s="13"/>
      <c r="D291" s="13"/>
      <c r="E291" s="13"/>
      <c r="F291" s="13"/>
      <c r="G291" s="13"/>
      <c r="H291" s="13"/>
      <c r="I291" s="13"/>
      <c r="J291" s="13"/>
    </row>
    <row r="292" spans="3:10" x14ac:dyDescent="0.25">
      <c r="C292" s="13"/>
      <c r="D292" s="13"/>
      <c r="E292" s="13"/>
      <c r="F292" s="13"/>
      <c r="G292" s="13"/>
      <c r="H292" s="13"/>
      <c r="I292" s="13"/>
      <c r="J292" s="13"/>
    </row>
    <row r="293" spans="3:10" x14ac:dyDescent="0.25">
      <c r="C293" s="13"/>
      <c r="D293" s="13"/>
      <c r="E293" s="13"/>
      <c r="F293" s="13"/>
      <c r="G293" s="13"/>
      <c r="H293" s="13"/>
      <c r="I293" s="13"/>
      <c r="J293" s="13"/>
    </row>
    <row r="294" spans="3:10" x14ac:dyDescent="0.25">
      <c r="C294" s="13"/>
      <c r="D294" s="13"/>
      <c r="E294" s="13"/>
      <c r="F294" s="13"/>
      <c r="G294" s="13"/>
      <c r="H294" s="13"/>
      <c r="I294" s="13"/>
      <c r="J294" s="13"/>
    </row>
    <row r="295" spans="3:10" x14ac:dyDescent="0.25">
      <c r="C295" s="13"/>
      <c r="D295" s="13"/>
      <c r="E295" s="13"/>
      <c r="F295" s="13"/>
      <c r="G295" s="13"/>
      <c r="H295" s="13"/>
      <c r="I295" s="13"/>
      <c r="J295" s="13"/>
    </row>
    <row r="296" spans="3:10" x14ac:dyDescent="0.25">
      <c r="C296" s="13"/>
      <c r="D296" s="13"/>
      <c r="E296" s="13"/>
      <c r="F296" s="13"/>
      <c r="G296" s="13"/>
      <c r="H296" s="13"/>
      <c r="I296" s="13"/>
      <c r="J296" s="13"/>
    </row>
    <row r="297" spans="3:10" x14ac:dyDescent="0.25">
      <c r="C297" s="13"/>
      <c r="D297" s="13"/>
      <c r="E297" s="13"/>
      <c r="F297" s="13"/>
      <c r="G297" s="13"/>
      <c r="H297" s="13"/>
      <c r="I297" s="13"/>
      <c r="J297" s="13"/>
    </row>
    <row r="298" spans="3:10" x14ac:dyDescent="0.25">
      <c r="C298" s="13"/>
      <c r="D298" s="13"/>
      <c r="E298" s="13"/>
      <c r="F298" s="13"/>
      <c r="G298" s="13"/>
      <c r="H298" s="13"/>
      <c r="I298" s="13"/>
      <c r="J298" s="13"/>
    </row>
    <row r="299" spans="3:10" x14ac:dyDescent="0.25">
      <c r="C299" s="13"/>
      <c r="D299" s="13"/>
      <c r="E299" s="13"/>
      <c r="F299" s="13"/>
      <c r="G299" s="13"/>
      <c r="H299" s="13"/>
      <c r="I299" s="13"/>
      <c r="J299" s="13"/>
    </row>
    <row r="300" spans="3:10" x14ac:dyDescent="0.25">
      <c r="C300" s="13"/>
      <c r="D300" s="13"/>
      <c r="E300" s="13"/>
      <c r="F300" s="13"/>
      <c r="G300" s="13"/>
      <c r="H300" s="13"/>
      <c r="I300" s="13"/>
      <c r="J300" s="13"/>
    </row>
    <row r="301" spans="3:10" x14ac:dyDescent="0.25">
      <c r="C301" s="13"/>
      <c r="D301" s="13"/>
      <c r="E301" s="13"/>
      <c r="F301" s="13"/>
      <c r="G301" s="13"/>
      <c r="H301" s="13"/>
      <c r="I301" s="13"/>
      <c r="J301" s="13"/>
    </row>
    <row r="302" spans="3:10" x14ac:dyDescent="0.25">
      <c r="C302" s="13"/>
      <c r="D302" s="13"/>
      <c r="E302" s="13"/>
      <c r="F302" s="13"/>
      <c r="G302" s="13"/>
      <c r="H302" s="13"/>
      <c r="I302" s="13"/>
      <c r="J302" s="13"/>
    </row>
    <row r="303" spans="3:10" x14ac:dyDescent="0.25">
      <c r="C303" s="13"/>
      <c r="D303" s="13"/>
      <c r="E303" s="13"/>
      <c r="F303" s="13"/>
      <c r="G303" s="13"/>
      <c r="H303" s="13"/>
      <c r="I303" s="13"/>
      <c r="J303" s="13"/>
    </row>
    <row r="304" spans="3:10" x14ac:dyDescent="0.25">
      <c r="C304" s="13"/>
      <c r="D304" s="13"/>
      <c r="E304" s="13"/>
      <c r="F304" s="13"/>
      <c r="G304" s="13"/>
      <c r="H304" s="13"/>
      <c r="I304" s="13"/>
      <c r="J304" s="13"/>
    </row>
    <row r="305" spans="3:10" x14ac:dyDescent="0.25">
      <c r="C305" s="13"/>
      <c r="D305" s="13"/>
      <c r="E305" s="13"/>
      <c r="F305" s="13"/>
      <c r="G305" s="13"/>
      <c r="H305" s="13"/>
      <c r="I305" s="13"/>
      <c r="J305" s="13"/>
    </row>
    <row r="306" spans="3:10" x14ac:dyDescent="0.25">
      <c r="C306" s="13"/>
      <c r="D306" s="13"/>
      <c r="E306" s="13"/>
      <c r="F306" s="13"/>
      <c r="G306" s="13"/>
      <c r="H306" s="13"/>
      <c r="I306" s="13"/>
      <c r="J306" s="13"/>
    </row>
    <row r="307" spans="3:10" x14ac:dyDescent="0.25">
      <c r="C307" s="13"/>
      <c r="D307" s="13"/>
      <c r="E307" s="13"/>
      <c r="F307" s="13"/>
      <c r="G307" s="13"/>
      <c r="H307" s="13"/>
      <c r="I307" s="13"/>
      <c r="J307" s="13"/>
    </row>
    <row r="308" spans="3:10" x14ac:dyDescent="0.25">
      <c r="C308" s="13"/>
      <c r="D308" s="13"/>
      <c r="E308" s="13"/>
      <c r="F308" s="13"/>
      <c r="G308" s="13"/>
      <c r="H308" s="13"/>
      <c r="I308" s="13"/>
      <c r="J308" s="13"/>
    </row>
    <row r="309" spans="3:10" x14ac:dyDescent="0.25">
      <c r="C309" s="13"/>
      <c r="D309" s="13"/>
      <c r="E309" s="13"/>
      <c r="F309" s="13"/>
      <c r="G309" s="13"/>
      <c r="H309" s="13"/>
      <c r="I309" s="13"/>
      <c r="J309" s="13"/>
    </row>
    <row r="310" spans="3:10" x14ac:dyDescent="0.25">
      <c r="C310" s="13"/>
      <c r="D310" s="13"/>
      <c r="E310" s="13"/>
      <c r="F310" s="13"/>
      <c r="G310" s="13"/>
      <c r="H310" s="13"/>
      <c r="I310" s="13"/>
      <c r="J310" s="13"/>
    </row>
    <row r="311" spans="3:10" x14ac:dyDescent="0.25">
      <c r="C311" s="13"/>
      <c r="D311" s="13"/>
      <c r="E311" s="13"/>
      <c r="F311" s="13"/>
      <c r="G311" s="13"/>
      <c r="H311" s="13"/>
      <c r="I311" s="13"/>
      <c r="J311" s="13"/>
    </row>
    <row r="312" spans="3:10" x14ac:dyDescent="0.25">
      <c r="C312" s="13"/>
      <c r="D312" s="13"/>
      <c r="E312" s="13"/>
      <c r="F312" s="13"/>
      <c r="G312" s="13"/>
      <c r="H312" s="13"/>
      <c r="I312" s="13"/>
      <c r="J312" s="13"/>
    </row>
    <row r="313" spans="3:10" x14ac:dyDescent="0.25">
      <c r="C313" s="13"/>
      <c r="D313" s="13"/>
      <c r="E313" s="13"/>
      <c r="F313" s="13"/>
      <c r="G313" s="13"/>
      <c r="H313" s="13"/>
      <c r="I313" s="13"/>
      <c r="J313" s="13"/>
    </row>
    <row r="314" spans="3:10" x14ac:dyDescent="0.25">
      <c r="C314" s="13"/>
      <c r="D314" s="13"/>
      <c r="E314" s="13"/>
      <c r="F314" s="13"/>
      <c r="G314" s="13"/>
      <c r="H314" s="13"/>
      <c r="I314" s="13"/>
      <c r="J314" s="13"/>
    </row>
    <row r="315" spans="3:10" x14ac:dyDescent="0.25">
      <c r="C315" s="13"/>
      <c r="D315" s="13"/>
      <c r="E315" s="13"/>
      <c r="F315" s="13"/>
      <c r="G315" s="13"/>
      <c r="H315" s="13"/>
      <c r="I315" s="13"/>
      <c r="J315" s="13"/>
    </row>
    <row r="316" spans="3:10" x14ac:dyDescent="0.25">
      <c r="C316" s="13"/>
      <c r="D316" s="13"/>
      <c r="E316" s="13"/>
      <c r="F316" s="13"/>
      <c r="G316" s="13"/>
      <c r="H316" s="13"/>
      <c r="I316" s="13"/>
      <c r="J316" s="13"/>
    </row>
    <row r="317" spans="3:10" x14ac:dyDescent="0.25">
      <c r="C317" s="13"/>
      <c r="D317" s="13"/>
      <c r="E317" s="13"/>
      <c r="F317" s="13"/>
      <c r="G317" s="13"/>
      <c r="H317" s="13"/>
      <c r="I317" s="13"/>
      <c r="J317" s="13"/>
    </row>
    <row r="318" spans="3:10" x14ac:dyDescent="0.25">
      <c r="C318" s="13"/>
      <c r="D318" s="13"/>
      <c r="E318" s="13"/>
      <c r="F318" s="13"/>
      <c r="G318" s="13"/>
      <c r="H318" s="13"/>
      <c r="I318" s="13"/>
      <c r="J318" s="13"/>
    </row>
    <row r="319" spans="3:10" x14ac:dyDescent="0.25">
      <c r="C319" s="13"/>
      <c r="D319" s="13"/>
      <c r="E319" s="13"/>
      <c r="F319" s="13"/>
      <c r="G319" s="13"/>
      <c r="H319" s="13"/>
      <c r="I319" s="13"/>
      <c r="J319" s="13"/>
    </row>
    <row r="320" spans="3:10" x14ac:dyDescent="0.25">
      <c r="C320" s="13"/>
      <c r="D320" s="13"/>
      <c r="E320" s="13"/>
      <c r="F320" s="13"/>
      <c r="G320" s="13"/>
      <c r="H320" s="13"/>
      <c r="I320" s="13"/>
      <c r="J320" s="13"/>
    </row>
    <row r="321" spans="3:10" x14ac:dyDescent="0.25">
      <c r="C321" s="13"/>
      <c r="D321" s="13"/>
      <c r="E321" s="13"/>
      <c r="F321" s="13"/>
      <c r="G321" s="13"/>
      <c r="H321" s="13"/>
      <c r="I321" s="13"/>
      <c r="J321" s="13"/>
    </row>
    <row r="322" spans="3:10" x14ac:dyDescent="0.25">
      <c r="C322" s="13"/>
      <c r="D322" s="13"/>
      <c r="E322" s="13"/>
      <c r="F322" s="13"/>
      <c r="G322" s="13"/>
      <c r="H322" s="13"/>
      <c r="I322" s="13"/>
      <c r="J322" s="13"/>
    </row>
    <row r="323" spans="3:10" x14ac:dyDescent="0.25">
      <c r="C323" s="13"/>
      <c r="D323" s="13"/>
      <c r="E323" s="13"/>
      <c r="F323" s="13"/>
      <c r="G323" s="13"/>
      <c r="H323" s="13"/>
      <c r="I323" s="13"/>
      <c r="J323" s="13"/>
    </row>
    <row r="324" spans="3:10" x14ac:dyDescent="0.25">
      <c r="C324" s="13"/>
      <c r="D324" s="13"/>
      <c r="E324" s="13"/>
      <c r="F324" s="13"/>
      <c r="G324" s="13"/>
      <c r="H324" s="13"/>
      <c r="I324" s="13"/>
      <c r="J324" s="13"/>
    </row>
    <row r="325" spans="3:10" x14ac:dyDescent="0.25">
      <c r="C325" s="13"/>
      <c r="D325" s="13"/>
      <c r="E325" s="13"/>
      <c r="F325" s="13"/>
      <c r="G325" s="13"/>
      <c r="H325" s="13"/>
      <c r="I325" s="13"/>
      <c r="J325" s="13"/>
    </row>
    <row r="326" spans="3:10" x14ac:dyDescent="0.25">
      <c r="C326" s="13"/>
      <c r="D326" s="13"/>
      <c r="E326" s="13"/>
      <c r="F326" s="13"/>
      <c r="G326" s="13"/>
      <c r="H326" s="13"/>
      <c r="I326" s="13"/>
      <c r="J326" s="13"/>
    </row>
    <row r="327" spans="3:10" x14ac:dyDescent="0.25">
      <c r="C327" s="13"/>
      <c r="D327" s="13"/>
      <c r="E327" s="13"/>
      <c r="F327" s="13"/>
      <c r="G327" s="13"/>
      <c r="H327" s="13"/>
      <c r="I327" s="13"/>
      <c r="J327" s="13"/>
    </row>
    <row r="328" spans="3:10" x14ac:dyDescent="0.25">
      <c r="C328" s="13"/>
      <c r="D328" s="13"/>
      <c r="E328" s="13"/>
      <c r="F328" s="13"/>
      <c r="G328" s="13"/>
      <c r="H328" s="13"/>
      <c r="I328" s="13"/>
      <c r="J328" s="13"/>
    </row>
    <row r="329" spans="3:10" x14ac:dyDescent="0.25">
      <c r="C329" s="13"/>
      <c r="D329" s="13"/>
      <c r="E329" s="13"/>
      <c r="F329" s="13"/>
      <c r="G329" s="13"/>
      <c r="H329" s="13"/>
      <c r="I329" s="13"/>
      <c r="J329" s="13"/>
    </row>
    <row r="330" spans="3:10" x14ac:dyDescent="0.25">
      <c r="C330" s="13"/>
      <c r="D330" s="13"/>
      <c r="E330" s="13"/>
      <c r="F330" s="13"/>
      <c r="G330" s="13"/>
      <c r="H330" s="13"/>
      <c r="I330" s="13"/>
      <c r="J330" s="13"/>
    </row>
    <row r="331" spans="3:10" x14ac:dyDescent="0.25">
      <c r="C331" s="13"/>
      <c r="D331" s="13"/>
      <c r="E331" s="13"/>
      <c r="F331" s="13"/>
      <c r="G331" s="13"/>
      <c r="H331" s="13"/>
      <c r="I331" s="13"/>
      <c r="J331" s="13"/>
    </row>
    <row r="332" spans="3:10" x14ac:dyDescent="0.25">
      <c r="C332" s="13"/>
      <c r="D332" s="13"/>
      <c r="E332" s="13"/>
      <c r="F332" s="13"/>
      <c r="G332" s="13"/>
      <c r="H332" s="13"/>
      <c r="I332" s="13"/>
      <c r="J332" s="13"/>
    </row>
    <row r="333" spans="3:10" x14ac:dyDescent="0.25">
      <c r="C333" s="13"/>
      <c r="D333" s="13"/>
      <c r="E333" s="13"/>
      <c r="F333" s="13"/>
      <c r="G333" s="13"/>
      <c r="H333" s="13"/>
      <c r="I333" s="13"/>
      <c r="J333" s="13"/>
    </row>
    <row r="334" spans="3:10" x14ac:dyDescent="0.25">
      <c r="C334" s="13"/>
      <c r="D334" s="13"/>
      <c r="E334" s="13"/>
      <c r="F334" s="13"/>
      <c r="G334" s="13"/>
      <c r="H334" s="13"/>
      <c r="I334" s="13"/>
      <c r="J334" s="13"/>
    </row>
    <row r="335" spans="3:10" x14ac:dyDescent="0.25">
      <c r="C335" s="13"/>
      <c r="D335" s="13"/>
      <c r="E335" s="13"/>
      <c r="F335" s="13"/>
      <c r="G335" s="13"/>
      <c r="H335" s="13"/>
      <c r="I335" s="13"/>
      <c r="J335" s="13"/>
    </row>
    <row r="336" spans="3:10" x14ac:dyDescent="0.25">
      <c r="C336" s="13"/>
      <c r="D336" s="13"/>
      <c r="E336" s="13"/>
      <c r="F336" s="13"/>
      <c r="G336" s="13"/>
      <c r="H336" s="13"/>
      <c r="I336" s="13"/>
      <c r="J336" s="13"/>
    </row>
    <row r="337" spans="3:10" x14ac:dyDescent="0.25">
      <c r="C337" s="13"/>
      <c r="D337" s="13"/>
      <c r="E337" s="13"/>
      <c r="F337" s="13"/>
      <c r="G337" s="13"/>
      <c r="H337" s="13"/>
      <c r="I337" s="13"/>
      <c r="J337" s="13"/>
    </row>
    <row r="338" spans="3:10" x14ac:dyDescent="0.25">
      <c r="C338" s="13"/>
      <c r="D338" s="13"/>
      <c r="E338" s="13"/>
      <c r="F338" s="13"/>
      <c r="G338" s="13"/>
      <c r="H338" s="13"/>
      <c r="I338" s="13"/>
      <c r="J338" s="13"/>
    </row>
    <row r="339" spans="3:10" x14ac:dyDescent="0.25">
      <c r="C339" s="13"/>
      <c r="D339" s="13"/>
      <c r="E339" s="13"/>
      <c r="F339" s="13"/>
      <c r="G339" s="13"/>
      <c r="H339" s="13"/>
      <c r="I339" s="13"/>
      <c r="J339" s="13"/>
    </row>
    <row r="340" spans="3:10" x14ac:dyDescent="0.25">
      <c r="C340" s="13"/>
      <c r="D340" s="13"/>
      <c r="E340" s="13"/>
      <c r="F340" s="13"/>
      <c r="G340" s="13"/>
      <c r="H340" s="13"/>
      <c r="I340" s="13"/>
      <c r="J340" s="13"/>
    </row>
    <row r="341" spans="3:10" x14ac:dyDescent="0.25">
      <c r="C341" s="13"/>
      <c r="D341" s="13"/>
      <c r="E341" s="13"/>
      <c r="F341" s="13"/>
      <c r="G341" s="13"/>
      <c r="H341" s="13"/>
      <c r="I341" s="13"/>
      <c r="J341" s="13"/>
    </row>
    <row r="342" spans="3:10" x14ac:dyDescent="0.25">
      <c r="C342" s="13"/>
      <c r="D342" s="13"/>
      <c r="E342" s="13"/>
      <c r="F342" s="13"/>
      <c r="G342" s="13"/>
      <c r="H342" s="13"/>
      <c r="I342" s="13"/>
      <c r="J342" s="13"/>
    </row>
    <row r="343" spans="3:10" x14ac:dyDescent="0.25">
      <c r="C343" s="13"/>
      <c r="D343" s="13"/>
      <c r="E343" s="13"/>
      <c r="F343" s="13"/>
      <c r="G343" s="13"/>
      <c r="H343" s="13"/>
      <c r="I343" s="13"/>
      <c r="J343" s="13"/>
    </row>
    <row r="344" spans="3:10" x14ac:dyDescent="0.25">
      <c r="C344" s="13"/>
      <c r="D344" s="13"/>
      <c r="E344" s="13"/>
      <c r="F344" s="13"/>
      <c r="G344" s="13"/>
      <c r="H344" s="13"/>
      <c r="I344" s="13"/>
      <c r="J344" s="13"/>
    </row>
    <row r="345" spans="3:10" x14ac:dyDescent="0.25">
      <c r="C345" s="13"/>
      <c r="D345" s="13"/>
      <c r="E345" s="13"/>
      <c r="F345" s="13"/>
      <c r="G345" s="13"/>
      <c r="H345" s="13"/>
      <c r="I345" s="13"/>
      <c r="J345" s="13"/>
    </row>
    <row r="346" spans="3:10" x14ac:dyDescent="0.25">
      <c r="C346" s="13"/>
      <c r="D346" s="13"/>
      <c r="E346" s="13"/>
      <c r="F346" s="13"/>
      <c r="G346" s="13"/>
      <c r="H346" s="13"/>
      <c r="I346" s="13"/>
      <c r="J346" s="13"/>
    </row>
    <row r="347" spans="3:10" x14ac:dyDescent="0.25">
      <c r="C347" s="13"/>
      <c r="D347" s="13"/>
      <c r="E347" s="13"/>
      <c r="F347" s="13"/>
      <c r="G347" s="13"/>
      <c r="H347" s="13"/>
      <c r="I347" s="13"/>
      <c r="J347" s="13"/>
    </row>
    <row r="348" spans="3:10" x14ac:dyDescent="0.25">
      <c r="C348" s="13"/>
      <c r="D348" s="13"/>
      <c r="E348" s="13"/>
      <c r="F348" s="13"/>
      <c r="G348" s="13"/>
      <c r="H348" s="13"/>
      <c r="I348" s="13"/>
      <c r="J348" s="13"/>
    </row>
    <row r="349" spans="3:10" x14ac:dyDescent="0.25">
      <c r="C349" s="13"/>
      <c r="D349" s="13"/>
      <c r="E349" s="13"/>
      <c r="F349" s="13"/>
      <c r="G349" s="13"/>
      <c r="H349" s="13"/>
      <c r="I349" s="13"/>
      <c r="J349" s="13"/>
    </row>
    <row r="350" spans="3:10" x14ac:dyDescent="0.25">
      <c r="C350" s="13"/>
      <c r="D350" s="13"/>
      <c r="E350" s="13"/>
      <c r="F350" s="13"/>
      <c r="G350" s="13"/>
      <c r="H350" s="13"/>
      <c r="I350" s="13"/>
      <c r="J350" s="13"/>
    </row>
    <row r="351" spans="3:10" x14ac:dyDescent="0.25">
      <c r="C351" s="13"/>
      <c r="D351" s="13"/>
      <c r="E351" s="13"/>
      <c r="F351" s="13"/>
      <c r="G351" s="13"/>
      <c r="H351" s="13"/>
      <c r="I351" s="13"/>
      <c r="J351" s="13"/>
    </row>
    <row r="352" spans="3:10" x14ac:dyDescent="0.25">
      <c r="C352" s="13"/>
      <c r="D352" s="13"/>
      <c r="E352" s="13"/>
      <c r="F352" s="13"/>
      <c r="G352" s="13"/>
      <c r="H352" s="13"/>
      <c r="I352" s="13"/>
      <c r="J352" s="13"/>
    </row>
    <row r="353" spans="3:10" x14ac:dyDescent="0.25">
      <c r="C353" s="13"/>
      <c r="D353" s="13"/>
      <c r="E353" s="13"/>
      <c r="F353" s="13"/>
      <c r="G353" s="13"/>
      <c r="H353" s="13"/>
      <c r="I353" s="13"/>
      <c r="J353" s="13"/>
    </row>
    <row r="354" spans="3:10" x14ac:dyDescent="0.25">
      <c r="C354" s="13"/>
      <c r="D354" s="13"/>
      <c r="E354" s="13"/>
      <c r="F354" s="13"/>
      <c r="G354" s="13"/>
      <c r="H354" s="13"/>
      <c r="I354" s="13"/>
      <c r="J354" s="13"/>
    </row>
    <row r="355" spans="3:10" x14ac:dyDescent="0.25">
      <c r="C355" s="13"/>
      <c r="D355" s="13"/>
      <c r="E355" s="13"/>
      <c r="F355" s="13"/>
      <c r="G355" s="13"/>
      <c r="H355" s="13"/>
      <c r="I355" s="13"/>
      <c r="J355" s="13"/>
    </row>
    <row r="356" spans="3:10" x14ac:dyDescent="0.25">
      <c r="C356" s="13"/>
      <c r="D356" s="13"/>
      <c r="E356" s="13"/>
      <c r="F356" s="13"/>
      <c r="G356" s="13"/>
      <c r="H356" s="13"/>
      <c r="I356" s="13"/>
      <c r="J356" s="13"/>
    </row>
    <row r="357" spans="3:10" x14ac:dyDescent="0.25">
      <c r="C357" s="13"/>
      <c r="D357" s="13"/>
      <c r="E357" s="13"/>
      <c r="F357" s="13"/>
      <c r="G357" s="13"/>
      <c r="H357" s="13"/>
      <c r="I357" s="13"/>
      <c r="J357" s="13"/>
    </row>
    <row r="358" spans="3:10" x14ac:dyDescent="0.25">
      <c r="C358" s="13"/>
      <c r="D358" s="13"/>
      <c r="E358" s="13"/>
      <c r="F358" s="13"/>
      <c r="G358" s="13"/>
      <c r="H358" s="13"/>
      <c r="I358" s="13"/>
      <c r="J358" s="13"/>
    </row>
    <row r="359" spans="3:10" x14ac:dyDescent="0.25">
      <c r="C359" s="13"/>
      <c r="D359" s="13"/>
      <c r="E359" s="13"/>
      <c r="F359" s="13"/>
      <c r="G359" s="13"/>
      <c r="H359" s="13"/>
      <c r="I359" s="13"/>
      <c r="J359" s="13"/>
    </row>
    <row r="360" spans="3:10" x14ac:dyDescent="0.25">
      <c r="C360" s="13"/>
      <c r="D360" s="13"/>
      <c r="E360" s="13"/>
      <c r="F360" s="13"/>
      <c r="G360" s="13"/>
      <c r="H360" s="13"/>
      <c r="I360" s="13"/>
      <c r="J360" s="13"/>
    </row>
    <row r="361" spans="3:10" x14ac:dyDescent="0.25">
      <c r="C361" s="13"/>
      <c r="D361" s="13"/>
      <c r="E361" s="13"/>
      <c r="F361" s="13"/>
      <c r="G361" s="13"/>
      <c r="H361" s="13"/>
      <c r="I361" s="13"/>
      <c r="J361" s="13"/>
    </row>
    <row r="362" spans="3:10" x14ac:dyDescent="0.25">
      <c r="C362" s="13"/>
      <c r="D362" s="13"/>
      <c r="E362" s="13"/>
      <c r="F362" s="13"/>
      <c r="G362" s="13"/>
      <c r="H362" s="13"/>
      <c r="I362" s="13"/>
      <c r="J362" s="13"/>
    </row>
    <row r="363" spans="3:10" x14ac:dyDescent="0.25">
      <c r="C363" s="13"/>
      <c r="D363" s="13"/>
      <c r="E363" s="13"/>
      <c r="F363" s="13"/>
      <c r="G363" s="13"/>
      <c r="H363" s="13"/>
      <c r="I363" s="13"/>
      <c r="J363" s="13"/>
    </row>
    <row r="364" spans="3:10" x14ac:dyDescent="0.25">
      <c r="C364" s="13"/>
      <c r="D364" s="13"/>
      <c r="E364" s="13"/>
      <c r="F364" s="13"/>
      <c r="G364" s="13"/>
      <c r="H364" s="13"/>
      <c r="I364" s="13"/>
      <c r="J364" s="13"/>
    </row>
    <row r="365" spans="3:10" x14ac:dyDescent="0.25">
      <c r="C365" s="13"/>
      <c r="D365" s="13"/>
      <c r="E365" s="13"/>
      <c r="F365" s="13"/>
      <c r="G365" s="13"/>
      <c r="H365" s="13"/>
      <c r="I365" s="13"/>
      <c r="J365" s="13"/>
    </row>
    <row r="366" spans="3:10" x14ac:dyDescent="0.25">
      <c r="C366" s="13"/>
      <c r="D366" s="13"/>
      <c r="E366" s="13"/>
      <c r="F366" s="13"/>
      <c r="G366" s="13"/>
      <c r="H366" s="13"/>
      <c r="I366" s="13"/>
      <c r="J366" s="13"/>
    </row>
    <row r="367" spans="3:10" x14ac:dyDescent="0.25">
      <c r="C367" s="13"/>
      <c r="D367" s="13"/>
      <c r="E367" s="13"/>
      <c r="F367" s="13"/>
      <c r="G367" s="13"/>
      <c r="H367" s="13"/>
      <c r="I367" s="13"/>
      <c r="J367" s="13"/>
    </row>
    <row r="368" spans="3:10" x14ac:dyDescent="0.25">
      <c r="C368" s="13"/>
      <c r="D368" s="13"/>
      <c r="E368" s="13"/>
      <c r="F368" s="13"/>
      <c r="G368" s="13"/>
      <c r="H368" s="13"/>
      <c r="I368" s="13"/>
      <c r="J368" s="13"/>
    </row>
    <row r="369" spans="3:10" x14ac:dyDescent="0.25">
      <c r="C369" s="13"/>
      <c r="D369" s="13"/>
      <c r="E369" s="13"/>
      <c r="F369" s="13"/>
      <c r="G369" s="13"/>
      <c r="H369" s="13"/>
      <c r="I369" s="13"/>
      <c r="J369" s="13"/>
    </row>
    <row r="370" spans="3:10" x14ac:dyDescent="0.25">
      <c r="C370" s="13"/>
      <c r="D370" s="13"/>
      <c r="E370" s="13"/>
      <c r="F370" s="13"/>
      <c r="G370" s="13"/>
      <c r="H370" s="13"/>
      <c r="I370" s="13"/>
      <c r="J370" s="13"/>
    </row>
    <row r="371" spans="3:10" x14ac:dyDescent="0.25">
      <c r="C371" s="13"/>
      <c r="D371" s="13"/>
      <c r="E371" s="13"/>
      <c r="F371" s="13"/>
      <c r="G371" s="13"/>
      <c r="H371" s="13"/>
      <c r="I371" s="13"/>
      <c r="J371" s="13"/>
    </row>
    <row r="372" spans="3:10" x14ac:dyDescent="0.25">
      <c r="C372" s="13"/>
      <c r="D372" s="13"/>
      <c r="E372" s="13"/>
      <c r="F372" s="13"/>
      <c r="G372" s="13"/>
      <c r="H372" s="13"/>
      <c r="I372" s="13"/>
      <c r="J372" s="13"/>
    </row>
    <row r="373" spans="3:10" x14ac:dyDescent="0.25">
      <c r="C373" s="13"/>
      <c r="D373" s="13"/>
      <c r="E373" s="13"/>
      <c r="F373" s="13"/>
      <c r="G373" s="13"/>
      <c r="H373" s="13"/>
      <c r="I373" s="13"/>
      <c r="J373" s="13"/>
    </row>
    <row r="374" spans="3:10" x14ac:dyDescent="0.25">
      <c r="C374" s="13"/>
      <c r="D374" s="13"/>
      <c r="E374" s="13"/>
      <c r="F374" s="13"/>
      <c r="G374" s="13"/>
      <c r="H374" s="13"/>
      <c r="I374" s="13"/>
      <c r="J374" s="13"/>
    </row>
    <row r="375" spans="3:10" x14ac:dyDescent="0.25">
      <c r="C375" s="13"/>
      <c r="D375" s="13"/>
      <c r="E375" s="13"/>
      <c r="F375" s="13"/>
      <c r="G375" s="13"/>
      <c r="H375" s="13"/>
      <c r="I375" s="13"/>
      <c r="J375" s="13"/>
    </row>
    <row r="376" spans="3:10" x14ac:dyDescent="0.25">
      <c r="C376" s="13"/>
      <c r="D376" s="13"/>
      <c r="E376" s="13"/>
      <c r="F376" s="13"/>
      <c r="G376" s="13"/>
      <c r="H376" s="13"/>
      <c r="I376" s="13"/>
      <c r="J376" s="13"/>
    </row>
    <row r="377" spans="3:10" x14ac:dyDescent="0.25">
      <c r="C377" s="13"/>
      <c r="D377" s="13"/>
      <c r="E377" s="13"/>
      <c r="F377" s="13"/>
      <c r="G377" s="13"/>
      <c r="H377" s="13"/>
      <c r="I377" s="13"/>
      <c r="J377" s="13"/>
    </row>
    <row r="378" spans="3:10" x14ac:dyDescent="0.25">
      <c r="C378" s="13"/>
      <c r="D378" s="13"/>
      <c r="E378" s="13"/>
      <c r="F378" s="13"/>
      <c r="G378" s="13"/>
      <c r="H378" s="13"/>
      <c r="I378" s="13"/>
      <c r="J378" s="13"/>
    </row>
    <row r="379" spans="3:10" x14ac:dyDescent="0.25">
      <c r="C379" s="13"/>
      <c r="D379" s="13"/>
      <c r="E379" s="13"/>
      <c r="F379" s="13"/>
      <c r="G379" s="13"/>
      <c r="H379" s="13"/>
      <c r="I379" s="13"/>
      <c r="J379" s="13"/>
    </row>
    <row r="380" spans="3:10" x14ac:dyDescent="0.25">
      <c r="C380" s="13"/>
      <c r="D380" s="13"/>
      <c r="E380" s="13"/>
      <c r="F380" s="13"/>
      <c r="G380" s="13"/>
      <c r="H380" s="13"/>
      <c r="I380" s="13"/>
      <c r="J380" s="13"/>
    </row>
    <row r="381" spans="3:10" x14ac:dyDescent="0.25">
      <c r="C381" s="13"/>
      <c r="D381" s="13"/>
      <c r="E381" s="13"/>
      <c r="F381" s="13"/>
      <c r="G381" s="13"/>
      <c r="H381" s="13"/>
      <c r="I381" s="13"/>
      <c r="J381" s="13"/>
    </row>
    <row r="382" spans="3:10" x14ac:dyDescent="0.25">
      <c r="C382" s="13"/>
      <c r="D382" s="13"/>
      <c r="E382" s="13"/>
      <c r="F382" s="13"/>
      <c r="G382" s="13"/>
      <c r="H382" s="13"/>
      <c r="I382" s="13"/>
      <c r="J382" s="13"/>
    </row>
    <row r="383" spans="3:10" x14ac:dyDescent="0.25">
      <c r="C383" s="13"/>
      <c r="D383" s="13"/>
      <c r="E383" s="13"/>
      <c r="F383" s="13"/>
      <c r="G383" s="13"/>
      <c r="H383" s="13"/>
      <c r="I383" s="13"/>
      <c r="J383" s="13"/>
    </row>
    <row r="384" spans="3:10" x14ac:dyDescent="0.25">
      <c r="C384" s="13"/>
      <c r="D384" s="13"/>
      <c r="E384" s="13"/>
      <c r="F384" s="13"/>
      <c r="G384" s="13"/>
      <c r="H384" s="13"/>
      <c r="I384" s="13"/>
      <c r="J384" s="13"/>
    </row>
    <row r="385" spans="3:10" x14ac:dyDescent="0.25">
      <c r="C385" s="13"/>
      <c r="D385" s="13"/>
      <c r="E385" s="13"/>
      <c r="F385" s="13"/>
      <c r="G385" s="13"/>
      <c r="H385" s="13"/>
      <c r="I385" s="13"/>
      <c r="J385" s="13"/>
    </row>
    <row r="386" spans="3:10" x14ac:dyDescent="0.25">
      <c r="C386" s="13"/>
      <c r="D386" s="13"/>
      <c r="E386" s="13"/>
      <c r="F386" s="13"/>
      <c r="G386" s="13"/>
      <c r="H386" s="13"/>
      <c r="I386" s="13"/>
      <c r="J386" s="13"/>
    </row>
    <row r="387" spans="3:10" x14ac:dyDescent="0.25">
      <c r="C387" s="13"/>
      <c r="D387" s="13"/>
      <c r="E387" s="13"/>
      <c r="F387" s="13"/>
      <c r="G387" s="13"/>
      <c r="H387" s="13"/>
      <c r="I387" s="13"/>
      <c r="J387" s="13"/>
    </row>
    <row r="388" spans="3:10" x14ac:dyDescent="0.25">
      <c r="C388" s="13"/>
      <c r="D388" s="13"/>
      <c r="E388" s="13"/>
      <c r="F388" s="13"/>
      <c r="G388" s="13"/>
      <c r="H388" s="13"/>
      <c r="I388" s="13"/>
      <c r="J388" s="13"/>
    </row>
    <row r="389" spans="3:10" x14ac:dyDescent="0.25">
      <c r="C389" s="13"/>
      <c r="D389" s="13"/>
      <c r="E389" s="13"/>
      <c r="F389" s="13"/>
      <c r="G389" s="13"/>
      <c r="H389" s="13"/>
      <c r="I389" s="13"/>
      <c r="J389" s="13"/>
    </row>
    <row r="390" spans="3:10" x14ac:dyDescent="0.25">
      <c r="C390" s="13"/>
      <c r="D390" s="13"/>
      <c r="E390" s="13"/>
      <c r="F390" s="13"/>
      <c r="G390" s="13"/>
      <c r="H390" s="13"/>
      <c r="I390" s="13"/>
      <c r="J390" s="13"/>
    </row>
    <row r="391" spans="3:10" x14ac:dyDescent="0.25">
      <c r="C391" s="13"/>
      <c r="D391" s="13"/>
      <c r="E391" s="13"/>
      <c r="F391" s="13"/>
      <c r="G391" s="13"/>
      <c r="H391" s="13"/>
      <c r="I391" s="13"/>
      <c r="J391" s="13"/>
    </row>
    <row r="392" spans="3:10" x14ac:dyDescent="0.25">
      <c r="C392" s="13"/>
      <c r="D392" s="13"/>
      <c r="E392" s="13"/>
      <c r="F392" s="13"/>
      <c r="G392" s="13"/>
      <c r="H392" s="13"/>
      <c r="I392" s="13"/>
      <c r="J392" s="13"/>
    </row>
    <row r="393" spans="3:10" x14ac:dyDescent="0.25">
      <c r="C393" s="13"/>
      <c r="D393" s="13"/>
      <c r="E393" s="13"/>
      <c r="F393" s="13"/>
      <c r="G393" s="13"/>
      <c r="H393" s="13"/>
      <c r="I393" s="13"/>
      <c r="J393" s="13"/>
    </row>
    <row r="394" spans="3:10" x14ac:dyDescent="0.25">
      <c r="C394" s="13"/>
      <c r="D394" s="13"/>
      <c r="E394" s="13"/>
      <c r="F394" s="13"/>
      <c r="G394" s="13"/>
      <c r="H394" s="13"/>
      <c r="I394" s="13"/>
      <c r="J394" s="13"/>
    </row>
    <row r="395" spans="3:10" x14ac:dyDescent="0.25">
      <c r="C395" s="13"/>
      <c r="D395" s="13"/>
      <c r="E395" s="13"/>
      <c r="F395" s="13"/>
      <c r="G395" s="13"/>
      <c r="H395" s="13"/>
      <c r="I395" s="13"/>
      <c r="J395" s="13"/>
    </row>
    <row r="396" spans="3:10" x14ac:dyDescent="0.25">
      <c r="C396" s="13"/>
      <c r="D396" s="13"/>
      <c r="E396" s="13"/>
      <c r="F396" s="13"/>
      <c r="G396" s="13"/>
      <c r="H396" s="13"/>
      <c r="I396" s="13"/>
      <c r="J396" s="13"/>
    </row>
    <row r="397" spans="3:10" x14ac:dyDescent="0.25">
      <c r="C397" s="13"/>
      <c r="D397" s="13"/>
      <c r="E397" s="13"/>
      <c r="F397" s="13"/>
      <c r="G397" s="13"/>
      <c r="H397" s="13"/>
      <c r="I397" s="13"/>
      <c r="J397" s="13"/>
    </row>
    <row r="398" spans="3:10" x14ac:dyDescent="0.25">
      <c r="C398" s="13"/>
      <c r="D398" s="13"/>
      <c r="E398" s="13"/>
      <c r="F398" s="13"/>
      <c r="G398" s="13"/>
      <c r="H398" s="13"/>
      <c r="I398" s="13"/>
      <c r="J398" s="13"/>
    </row>
    <row r="399" spans="3:10" x14ac:dyDescent="0.25">
      <c r="C399" s="13"/>
      <c r="D399" s="13"/>
      <c r="E399" s="13"/>
      <c r="F399" s="13"/>
      <c r="G399" s="13"/>
      <c r="H399" s="13"/>
      <c r="I399" s="13"/>
      <c r="J399" s="13"/>
    </row>
    <row r="400" spans="3:10" x14ac:dyDescent="0.25">
      <c r="C400" s="13"/>
      <c r="D400" s="13"/>
      <c r="E400" s="13"/>
      <c r="F400" s="13"/>
      <c r="G400" s="13"/>
      <c r="H400" s="13"/>
      <c r="I400" s="13"/>
      <c r="J400" s="13"/>
    </row>
    <row r="401" spans="3:10" x14ac:dyDescent="0.25">
      <c r="C401" s="13"/>
      <c r="D401" s="13"/>
      <c r="E401" s="13"/>
      <c r="F401" s="13"/>
      <c r="G401" s="13"/>
      <c r="H401" s="13"/>
      <c r="I401" s="13"/>
      <c r="J401" s="13"/>
    </row>
    <row r="402" spans="3:10" x14ac:dyDescent="0.25">
      <c r="C402" s="13"/>
      <c r="D402" s="13"/>
      <c r="E402" s="13"/>
      <c r="F402" s="13"/>
      <c r="G402" s="13"/>
      <c r="H402" s="13"/>
      <c r="I402" s="13"/>
      <c r="J402" s="13"/>
    </row>
    <row r="403" spans="3:10" x14ac:dyDescent="0.25">
      <c r="C403" s="13"/>
      <c r="D403" s="13"/>
      <c r="E403" s="13"/>
      <c r="F403" s="13"/>
      <c r="G403" s="13"/>
      <c r="H403" s="13"/>
      <c r="I403" s="13"/>
      <c r="J403" s="13"/>
    </row>
    <row r="404" spans="3:10" x14ac:dyDescent="0.25">
      <c r="C404" s="13"/>
      <c r="D404" s="13"/>
      <c r="E404" s="13"/>
      <c r="F404" s="13"/>
      <c r="G404" s="13"/>
      <c r="H404" s="13"/>
      <c r="I404" s="13"/>
      <c r="J404" s="13"/>
    </row>
    <row r="405" spans="3:10" x14ac:dyDescent="0.25">
      <c r="C405" s="13"/>
      <c r="D405" s="13"/>
      <c r="E405" s="13"/>
      <c r="F405" s="13"/>
      <c r="G405" s="13"/>
      <c r="H405" s="13"/>
      <c r="I405" s="13"/>
      <c r="J405" s="13"/>
    </row>
    <row r="406" spans="3:10" x14ac:dyDescent="0.25">
      <c r="C406" s="13"/>
      <c r="D406" s="13"/>
      <c r="E406" s="13"/>
      <c r="F406" s="13"/>
      <c r="G406" s="13"/>
      <c r="H406" s="13"/>
      <c r="I406" s="13"/>
      <c r="J406" s="13"/>
    </row>
    <row r="407" spans="3:10" x14ac:dyDescent="0.25">
      <c r="C407" s="13"/>
      <c r="D407" s="13"/>
      <c r="E407" s="13"/>
      <c r="F407" s="13"/>
      <c r="G407" s="13"/>
      <c r="H407" s="13"/>
      <c r="I407" s="13"/>
      <c r="J407" s="13"/>
    </row>
    <row r="408" spans="3:10" x14ac:dyDescent="0.25">
      <c r="C408" s="13"/>
      <c r="D408" s="13"/>
      <c r="E408" s="13"/>
      <c r="F408" s="13"/>
      <c r="G408" s="13"/>
      <c r="H408" s="13"/>
      <c r="I408" s="13"/>
      <c r="J408" s="13"/>
    </row>
    <row r="409" spans="3:10" x14ac:dyDescent="0.25">
      <c r="C409" s="13"/>
      <c r="D409" s="13"/>
      <c r="E409" s="13"/>
      <c r="F409" s="13"/>
      <c r="G409" s="13"/>
      <c r="H409" s="13"/>
      <c r="I409" s="13"/>
      <c r="J409" s="13"/>
    </row>
    <row r="410" spans="3:10" x14ac:dyDescent="0.25">
      <c r="C410" s="13"/>
      <c r="D410" s="13"/>
      <c r="E410" s="13"/>
      <c r="F410" s="13"/>
      <c r="G410" s="13"/>
      <c r="H410" s="13"/>
      <c r="I410" s="13"/>
      <c r="J410" s="13"/>
    </row>
    <row r="411" spans="3:10" x14ac:dyDescent="0.25">
      <c r="C411" s="13"/>
      <c r="D411" s="13"/>
      <c r="E411" s="13"/>
      <c r="F411" s="13"/>
      <c r="G411" s="13"/>
      <c r="H411" s="13"/>
      <c r="I411" s="13"/>
      <c r="J411" s="13"/>
    </row>
    <row r="412" spans="3:10" x14ac:dyDescent="0.25">
      <c r="C412" s="13"/>
      <c r="D412" s="13"/>
      <c r="E412" s="13"/>
      <c r="F412" s="13"/>
      <c r="G412" s="13"/>
      <c r="H412" s="13"/>
      <c r="I412" s="13"/>
      <c r="J412" s="13"/>
    </row>
    <row r="413" spans="3:10" x14ac:dyDescent="0.25">
      <c r="C413" s="13"/>
      <c r="D413" s="13"/>
      <c r="E413" s="13"/>
      <c r="F413" s="13"/>
      <c r="G413" s="13"/>
      <c r="H413" s="13"/>
      <c r="I413" s="13"/>
      <c r="J413" s="13"/>
    </row>
    <row r="414" spans="3:10" x14ac:dyDescent="0.25">
      <c r="C414" s="13"/>
      <c r="D414" s="13"/>
      <c r="E414" s="13"/>
      <c r="F414" s="13"/>
      <c r="G414" s="13"/>
      <c r="H414" s="13"/>
      <c r="I414" s="13"/>
      <c r="J414" s="13"/>
    </row>
    <row r="415" spans="3:10" x14ac:dyDescent="0.25">
      <c r="C415" s="13"/>
      <c r="D415" s="13"/>
      <c r="E415" s="13"/>
      <c r="F415" s="13"/>
      <c r="G415" s="13"/>
      <c r="H415" s="13"/>
      <c r="I415" s="13"/>
      <c r="J415" s="13"/>
    </row>
    <row r="416" spans="3:10" x14ac:dyDescent="0.25">
      <c r="C416" s="13"/>
      <c r="D416" s="13"/>
      <c r="E416" s="13"/>
      <c r="F416" s="13"/>
      <c r="G416" s="13"/>
      <c r="H416" s="13"/>
      <c r="I416" s="13"/>
      <c r="J416" s="13"/>
    </row>
    <row r="417" spans="3:10" x14ac:dyDescent="0.25">
      <c r="C417" s="13"/>
      <c r="D417" s="13"/>
      <c r="E417" s="13"/>
      <c r="F417" s="13"/>
      <c r="G417" s="13"/>
      <c r="H417" s="13"/>
      <c r="I417" s="13"/>
      <c r="J417" s="13"/>
    </row>
    <row r="418" spans="3:10" x14ac:dyDescent="0.25">
      <c r="C418" s="13"/>
      <c r="D418" s="13"/>
      <c r="E418" s="13"/>
      <c r="F418" s="13"/>
      <c r="G418" s="13"/>
      <c r="H418" s="13"/>
      <c r="I418" s="13"/>
      <c r="J418" s="13"/>
    </row>
    <row r="419" spans="3:10" x14ac:dyDescent="0.25">
      <c r="C419" s="13"/>
      <c r="D419" s="13"/>
      <c r="E419" s="13"/>
      <c r="F419" s="13"/>
      <c r="G419" s="13"/>
      <c r="H419" s="13"/>
      <c r="I419" s="13"/>
      <c r="J419" s="13"/>
    </row>
    <row r="420" spans="3:10" x14ac:dyDescent="0.25">
      <c r="C420" s="13"/>
      <c r="D420" s="13"/>
      <c r="E420" s="13"/>
      <c r="F420" s="13"/>
      <c r="G420" s="13"/>
      <c r="H420" s="13"/>
      <c r="I420" s="13"/>
      <c r="J420" s="13"/>
    </row>
    <row r="421" spans="3:10" x14ac:dyDescent="0.25">
      <c r="C421" s="13"/>
      <c r="D421" s="13"/>
      <c r="E421" s="13"/>
      <c r="F421" s="13"/>
      <c r="G421" s="13"/>
      <c r="H421" s="13"/>
      <c r="I421" s="13"/>
      <c r="J421" s="13"/>
    </row>
    <row r="422" spans="3:10" x14ac:dyDescent="0.25">
      <c r="C422" s="13"/>
      <c r="D422" s="13"/>
      <c r="E422" s="13"/>
      <c r="F422" s="13"/>
      <c r="G422" s="13"/>
      <c r="H422" s="13"/>
      <c r="I422" s="13"/>
      <c r="J422" s="13"/>
    </row>
    <row r="423" spans="3:10" x14ac:dyDescent="0.25">
      <c r="C423" s="13"/>
      <c r="D423" s="13"/>
      <c r="E423" s="13"/>
      <c r="F423" s="13"/>
      <c r="G423" s="13"/>
      <c r="H423" s="13"/>
      <c r="I423" s="13"/>
      <c r="J423" s="13"/>
    </row>
    <row r="424" spans="3:10" x14ac:dyDescent="0.25">
      <c r="C424" s="13"/>
      <c r="D424" s="13"/>
      <c r="E424" s="13"/>
      <c r="F424" s="13"/>
      <c r="G424" s="13"/>
      <c r="H424" s="13"/>
      <c r="I424" s="13"/>
      <c r="J424" s="13"/>
    </row>
    <row r="425" spans="3:10" x14ac:dyDescent="0.25">
      <c r="C425" s="13"/>
      <c r="D425" s="13"/>
      <c r="E425" s="13"/>
      <c r="F425" s="13"/>
      <c r="G425" s="13"/>
      <c r="H425" s="13"/>
      <c r="I425" s="13"/>
      <c r="J425" s="13"/>
    </row>
    <row r="426" spans="3:10" x14ac:dyDescent="0.25">
      <c r="C426" s="13"/>
      <c r="D426" s="13"/>
      <c r="E426" s="13"/>
      <c r="F426" s="13"/>
      <c r="G426" s="13"/>
      <c r="H426" s="13"/>
      <c r="I426" s="13"/>
      <c r="J426" s="13"/>
    </row>
    <row r="427" spans="3:10" x14ac:dyDescent="0.25">
      <c r="C427" s="13"/>
      <c r="D427" s="13"/>
      <c r="E427" s="13"/>
      <c r="F427" s="13"/>
      <c r="G427" s="13"/>
      <c r="H427" s="13"/>
      <c r="I427" s="13"/>
      <c r="J427" s="13"/>
    </row>
    <row r="428" spans="3:10" x14ac:dyDescent="0.25">
      <c r="C428" s="13"/>
      <c r="D428" s="13"/>
      <c r="E428" s="13"/>
      <c r="F428" s="13"/>
      <c r="G428" s="13"/>
      <c r="H428" s="13"/>
      <c r="I428" s="13"/>
      <c r="J428" s="13"/>
    </row>
    <row r="429" spans="3:10" x14ac:dyDescent="0.25">
      <c r="C429" s="13"/>
      <c r="D429" s="13"/>
      <c r="E429" s="13"/>
      <c r="F429" s="13"/>
      <c r="G429" s="13"/>
      <c r="H429" s="13"/>
      <c r="I429" s="13"/>
      <c r="J429" s="13"/>
    </row>
    <row r="430" spans="3:10" x14ac:dyDescent="0.25">
      <c r="C430" s="13"/>
      <c r="D430" s="13"/>
      <c r="E430" s="13"/>
      <c r="F430" s="13"/>
      <c r="G430" s="13"/>
      <c r="H430" s="13"/>
      <c r="I430" s="13"/>
      <c r="J430" s="13"/>
    </row>
    <row r="431" spans="3:10" x14ac:dyDescent="0.25">
      <c r="C431" s="13"/>
      <c r="D431" s="13"/>
      <c r="E431" s="13"/>
      <c r="F431" s="13"/>
      <c r="G431" s="13"/>
      <c r="H431" s="13"/>
      <c r="I431" s="13"/>
      <c r="J431" s="13"/>
    </row>
    <row r="432" spans="3:10" x14ac:dyDescent="0.25">
      <c r="C432" s="13"/>
      <c r="D432" s="13"/>
      <c r="E432" s="13"/>
      <c r="F432" s="13"/>
      <c r="G432" s="13"/>
      <c r="H432" s="13"/>
      <c r="I432" s="13"/>
      <c r="J432" s="13"/>
    </row>
    <row r="433" spans="3:10" x14ac:dyDescent="0.25">
      <c r="C433" s="13"/>
      <c r="D433" s="13"/>
      <c r="E433" s="13"/>
      <c r="F433" s="13"/>
      <c r="G433" s="13"/>
      <c r="H433" s="13"/>
      <c r="I433" s="13"/>
      <c r="J433" s="13"/>
    </row>
    <row r="434" spans="3:10" x14ac:dyDescent="0.25">
      <c r="C434" s="13"/>
      <c r="D434" s="13"/>
      <c r="E434" s="13"/>
      <c r="F434" s="13"/>
      <c r="G434" s="13"/>
      <c r="H434" s="13"/>
      <c r="I434" s="13"/>
      <c r="J434" s="13"/>
    </row>
    <row r="435" spans="3:10" x14ac:dyDescent="0.25">
      <c r="C435" s="13"/>
      <c r="D435" s="13"/>
      <c r="E435" s="13"/>
      <c r="F435" s="13"/>
      <c r="G435" s="13"/>
      <c r="H435" s="13"/>
      <c r="I435" s="13"/>
      <c r="J435" s="13"/>
    </row>
    <row r="436" spans="3:10" x14ac:dyDescent="0.25">
      <c r="C436" s="13"/>
      <c r="D436" s="13"/>
      <c r="E436" s="13"/>
      <c r="F436" s="13"/>
      <c r="G436" s="13"/>
      <c r="H436" s="13"/>
      <c r="I436" s="13"/>
      <c r="J436" s="13"/>
    </row>
    <row r="437" spans="3:10" x14ac:dyDescent="0.25">
      <c r="C437" s="13"/>
      <c r="D437" s="13"/>
      <c r="E437" s="13"/>
      <c r="F437" s="13"/>
      <c r="G437" s="13"/>
      <c r="H437" s="13"/>
      <c r="I437" s="13"/>
      <c r="J437" s="13"/>
    </row>
    <row r="438" spans="3:10" x14ac:dyDescent="0.25">
      <c r="C438" s="13"/>
      <c r="D438" s="13"/>
      <c r="E438" s="13"/>
      <c r="F438" s="13"/>
      <c r="G438" s="13"/>
      <c r="H438" s="13"/>
      <c r="I438" s="13"/>
      <c r="J438" s="13"/>
    </row>
    <row r="439" spans="3:10" x14ac:dyDescent="0.25">
      <c r="C439" s="13"/>
      <c r="D439" s="13"/>
      <c r="E439" s="13"/>
      <c r="F439" s="13"/>
      <c r="G439" s="13"/>
      <c r="H439" s="13"/>
      <c r="I439" s="13"/>
      <c r="J439" s="13"/>
    </row>
    <row r="440" spans="3:10" x14ac:dyDescent="0.25">
      <c r="C440" s="13"/>
      <c r="D440" s="13"/>
      <c r="E440" s="13"/>
      <c r="F440" s="13"/>
      <c r="G440" s="13"/>
      <c r="H440" s="13"/>
      <c r="I440" s="13"/>
      <c r="J440" s="13"/>
    </row>
    <row r="441" spans="3:10" x14ac:dyDescent="0.25">
      <c r="C441" s="13"/>
      <c r="D441" s="13"/>
      <c r="E441" s="13"/>
      <c r="F441" s="13"/>
      <c r="G441" s="13"/>
      <c r="H441" s="13"/>
      <c r="I441" s="13"/>
      <c r="J441" s="13"/>
    </row>
    <row r="442" spans="3:10" x14ac:dyDescent="0.25">
      <c r="C442" s="13"/>
      <c r="D442" s="13"/>
      <c r="E442" s="13"/>
      <c r="F442" s="13"/>
      <c r="G442" s="13"/>
      <c r="H442" s="13"/>
      <c r="I442" s="13"/>
      <c r="J442" s="13"/>
    </row>
    <row r="443" spans="3:10" x14ac:dyDescent="0.25">
      <c r="C443" s="13"/>
      <c r="D443" s="13"/>
      <c r="E443" s="13"/>
      <c r="F443" s="13"/>
      <c r="G443" s="13"/>
      <c r="H443" s="13"/>
      <c r="I443" s="13"/>
      <c r="J443" s="13"/>
    </row>
    <row r="444" spans="3:10" x14ac:dyDescent="0.25">
      <c r="C444" s="13"/>
      <c r="D444" s="13"/>
      <c r="E444" s="13"/>
      <c r="F444" s="13"/>
      <c r="G444" s="13"/>
      <c r="H444" s="13"/>
      <c r="I444" s="13"/>
      <c r="J444" s="13"/>
    </row>
    <row r="445" spans="3:10" x14ac:dyDescent="0.25">
      <c r="C445" s="13"/>
      <c r="D445" s="13"/>
      <c r="E445" s="13"/>
      <c r="F445" s="13"/>
      <c r="G445" s="13"/>
      <c r="H445" s="13"/>
      <c r="I445" s="13"/>
      <c r="J445" s="13"/>
    </row>
    <row r="446" spans="3:10" x14ac:dyDescent="0.25">
      <c r="C446" s="13"/>
      <c r="D446" s="13"/>
      <c r="E446" s="13"/>
      <c r="F446" s="13"/>
      <c r="G446" s="13"/>
      <c r="H446" s="13"/>
      <c r="I446" s="13"/>
      <c r="J446" s="13"/>
    </row>
    <row r="447" spans="3:10" x14ac:dyDescent="0.25">
      <c r="C447" s="13"/>
      <c r="D447" s="13"/>
      <c r="E447" s="13"/>
      <c r="F447" s="13"/>
      <c r="G447" s="13"/>
      <c r="H447" s="13"/>
      <c r="I447" s="13"/>
      <c r="J447" s="13"/>
    </row>
    <row r="448" spans="3:10" x14ac:dyDescent="0.25">
      <c r="C448" s="13"/>
      <c r="D448" s="13"/>
      <c r="E448" s="13"/>
      <c r="F448" s="13"/>
      <c r="G448" s="13"/>
      <c r="H448" s="13"/>
      <c r="I448" s="13"/>
      <c r="J448" s="13"/>
    </row>
    <row r="449" spans="3:10" x14ac:dyDescent="0.25">
      <c r="C449" s="13"/>
      <c r="D449" s="13"/>
      <c r="E449" s="13"/>
      <c r="F449" s="13"/>
      <c r="G449" s="13"/>
      <c r="H449" s="13"/>
      <c r="I449" s="13"/>
      <c r="J449" s="13"/>
    </row>
    <row r="450" spans="3:10" x14ac:dyDescent="0.25">
      <c r="C450" s="13"/>
      <c r="D450" s="13"/>
      <c r="E450" s="13"/>
      <c r="F450" s="13"/>
      <c r="G450" s="13"/>
      <c r="H450" s="13"/>
      <c r="I450" s="13"/>
      <c r="J450" s="13"/>
    </row>
    <row r="451" spans="3:10" x14ac:dyDescent="0.25">
      <c r="C451" s="13"/>
      <c r="D451" s="13"/>
      <c r="E451" s="13"/>
      <c r="F451" s="13"/>
      <c r="G451" s="13"/>
      <c r="H451" s="13"/>
      <c r="I451" s="13"/>
      <c r="J451" s="13"/>
    </row>
    <row r="452" spans="3:10" x14ac:dyDescent="0.25">
      <c r="C452" s="13"/>
      <c r="D452" s="13"/>
      <c r="E452" s="13"/>
      <c r="F452" s="13"/>
      <c r="G452" s="13"/>
      <c r="H452" s="13"/>
      <c r="I452" s="13"/>
      <c r="J452" s="13"/>
    </row>
    <row r="453" spans="3:10" x14ac:dyDescent="0.25">
      <c r="C453" s="13"/>
      <c r="D453" s="13"/>
      <c r="E453" s="13"/>
      <c r="F453" s="13"/>
      <c r="G453" s="13"/>
      <c r="H453" s="13"/>
      <c r="I453" s="13"/>
      <c r="J453" s="13"/>
    </row>
    <row r="454" spans="3:10" x14ac:dyDescent="0.25">
      <c r="C454" s="13"/>
      <c r="D454" s="13"/>
      <c r="E454" s="13"/>
      <c r="F454" s="13"/>
      <c r="G454" s="13"/>
      <c r="H454" s="13"/>
      <c r="I454" s="13"/>
      <c r="J454" s="13"/>
    </row>
    <row r="455" spans="3:10" x14ac:dyDescent="0.25">
      <c r="C455" s="13"/>
      <c r="D455" s="13"/>
      <c r="E455" s="13"/>
      <c r="F455" s="13"/>
      <c r="G455" s="13"/>
      <c r="H455" s="13"/>
      <c r="I455" s="13"/>
      <c r="J455" s="13"/>
    </row>
    <row r="456" spans="3:10" x14ac:dyDescent="0.25">
      <c r="C456" s="13"/>
      <c r="D456" s="13"/>
      <c r="E456" s="13"/>
      <c r="F456" s="13"/>
      <c r="G456" s="13"/>
      <c r="H456" s="13"/>
      <c r="I456" s="13"/>
      <c r="J456" s="13"/>
    </row>
    <row r="457" spans="3:10" x14ac:dyDescent="0.25">
      <c r="C457" s="13"/>
      <c r="D457" s="13"/>
      <c r="E457" s="13"/>
      <c r="F457" s="13"/>
      <c r="G457" s="13"/>
      <c r="H457" s="13"/>
      <c r="I457" s="13"/>
      <c r="J457" s="13"/>
    </row>
    <row r="458" spans="3:10" x14ac:dyDescent="0.25">
      <c r="C458" s="13"/>
      <c r="D458" s="13"/>
      <c r="E458" s="13"/>
      <c r="F458" s="13"/>
      <c r="G458" s="13"/>
      <c r="H458" s="13"/>
      <c r="I458" s="13"/>
      <c r="J458" s="13"/>
    </row>
    <row r="459" spans="3:10" x14ac:dyDescent="0.25">
      <c r="C459" s="13"/>
      <c r="D459" s="13"/>
      <c r="E459" s="13"/>
      <c r="F459" s="13"/>
      <c r="G459" s="13"/>
      <c r="H459" s="13"/>
      <c r="I459" s="13"/>
      <c r="J459" s="13"/>
    </row>
    <row r="460" spans="3:10" x14ac:dyDescent="0.25">
      <c r="C460" s="13"/>
      <c r="D460" s="13"/>
      <c r="E460" s="13"/>
      <c r="F460" s="13"/>
      <c r="G460" s="13"/>
      <c r="H460" s="13"/>
      <c r="I460" s="13"/>
      <c r="J460" s="13"/>
    </row>
    <row r="461" spans="3:10" x14ac:dyDescent="0.25">
      <c r="C461" s="13"/>
      <c r="D461" s="13"/>
      <c r="E461" s="13"/>
      <c r="F461" s="13"/>
      <c r="G461" s="13"/>
      <c r="H461" s="13"/>
      <c r="I461" s="13"/>
      <c r="J461" s="13"/>
    </row>
    <row r="462" spans="3:10" x14ac:dyDescent="0.25">
      <c r="C462" s="13"/>
      <c r="D462" s="13"/>
      <c r="E462" s="13"/>
      <c r="F462" s="13"/>
      <c r="G462" s="13"/>
      <c r="H462" s="13"/>
      <c r="I462" s="13"/>
      <c r="J462" s="13"/>
    </row>
    <row r="463" spans="3:10" x14ac:dyDescent="0.25">
      <c r="C463" s="13"/>
      <c r="D463" s="13"/>
      <c r="E463" s="13"/>
      <c r="F463" s="13"/>
      <c r="G463" s="13"/>
      <c r="H463" s="13"/>
      <c r="I463" s="13"/>
      <c r="J463" s="13"/>
    </row>
    <row r="464" spans="3:10" x14ac:dyDescent="0.25">
      <c r="C464" s="13"/>
      <c r="D464" s="13"/>
      <c r="E464" s="13"/>
      <c r="F464" s="13"/>
      <c r="G464" s="13"/>
      <c r="H464" s="13"/>
      <c r="I464" s="13"/>
      <c r="J464" s="13"/>
    </row>
    <row r="465" spans="3:10" x14ac:dyDescent="0.25">
      <c r="C465" s="13"/>
      <c r="D465" s="13"/>
      <c r="E465" s="13"/>
      <c r="F465" s="13"/>
      <c r="G465" s="13"/>
      <c r="H465" s="13"/>
      <c r="I465" s="13"/>
      <c r="J465" s="13"/>
    </row>
    <row r="466" spans="3:10" x14ac:dyDescent="0.25">
      <c r="C466" s="13"/>
      <c r="D466" s="13"/>
      <c r="E466" s="13"/>
      <c r="F466" s="13"/>
      <c r="G466" s="13"/>
      <c r="H466" s="13"/>
      <c r="I466" s="13"/>
      <c r="J466" s="13"/>
    </row>
    <row r="467" spans="3:10" x14ac:dyDescent="0.25">
      <c r="C467" s="13"/>
      <c r="D467" s="13"/>
      <c r="E467" s="13"/>
      <c r="F467" s="13"/>
      <c r="G467" s="13"/>
      <c r="H467" s="13"/>
      <c r="I467" s="13"/>
      <c r="J467" s="13"/>
    </row>
    <row r="468" spans="3:10" x14ac:dyDescent="0.25">
      <c r="C468" s="13"/>
      <c r="D468" s="13"/>
      <c r="E468" s="13"/>
      <c r="F468" s="13"/>
      <c r="G468" s="13"/>
      <c r="H468" s="13"/>
      <c r="I468" s="13"/>
      <c r="J468" s="13"/>
    </row>
    <row r="469" spans="3:10" x14ac:dyDescent="0.25">
      <c r="C469" s="13"/>
      <c r="D469" s="13"/>
      <c r="E469" s="13"/>
      <c r="F469" s="13"/>
      <c r="G469" s="13"/>
      <c r="H469" s="13"/>
      <c r="I469" s="13"/>
      <c r="J469" s="13"/>
    </row>
    <row r="470" spans="3:10" x14ac:dyDescent="0.25">
      <c r="C470" s="13"/>
      <c r="D470" s="13"/>
      <c r="E470" s="13"/>
      <c r="F470" s="13"/>
      <c r="G470" s="13"/>
      <c r="H470" s="13"/>
      <c r="I470" s="13"/>
      <c r="J470" s="13"/>
    </row>
    <row r="471" spans="3:10" x14ac:dyDescent="0.25">
      <c r="C471" s="13"/>
      <c r="D471" s="13"/>
      <c r="E471" s="13"/>
      <c r="F471" s="13"/>
      <c r="G471" s="13"/>
      <c r="H471" s="13"/>
      <c r="I471" s="13"/>
      <c r="J471" s="13"/>
    </row>
    <row r="472" spans="3:10" x14ac:dyDescent="0.25">
      <c r="C472" s="13"/>
      <c r="D472" s="13"/>
      <c r="E472" s="13"/>
      <c r="F472" s="13"/>
      <c r="G472" s="13"/>
      <c r="H472" s="13"/>
      <c r="I472" s="13"/>
      <c r="J472" s="13"/>
    </row>
    <row r="473" spans="3:10" x14ac:dyDescent="0.25">
      <c r="C473" s="13"/>
      <c r="D473" s="13"/>
      <c r="E473" s="13"/>
      <c r="F473" s="13"/>
      <c r="G473" s="13"/>
      <c r="H473" s="13"/>
      <c r="I473" s="13"/>
      <c r="J473" s="13"/>
    </row>
    <row r="474" spans="3:10" x14ac:dyDescent="0.25">
      <c r="C474" s="13"/>
      <c r="D474" s="13"/>
      <c r="E474" s="13"/>
      <c r="F474" s="13"/>
      <c r="G474" s="13"/>
      <c r="H474" s="13"/>
      <c r="I474" s="13"/>
      <c r="J474" s="13"/>
    </row>
    <row r="475" spans="3:10" x14ac:dyDescent="0.25">
      <c r="C475" s="13"/>
      <c r="D475" s="13"/>
      <c r="E475" s="13"/>
      <c r="F475" s="13"/>
      <c r="G475" s="13"/>
      <c r="H475" s="13"/>
      <c r="I475" s="13"/>
      <c r="J475" s="13"/>
    </row>
    <row r="476" spans="3:10" x14ac:dyDescent="0.25">
      <c r="C476" s="13"/>
      <c r="D476" s="13"/>
      <c r="E476" s="13"/>
      <c r="F476" s="13"/>
      <c r="G476" s="13"/>
      <c r="H476" s="13"/>
      <c r="I476" s="13"/>
      <c r="J476" s="13"/>
    </row>
    <row r="477" spans="3:10" x14ac:dyDescent="0.25">
      <c r="C477" s="13"/>
      <c r="D477" s="13"/>
      <c r="E477" s="13"/>
      <c r="F477" s="13"/>
      <c r="G477" s="13"/>
      <c r="H477" s="13"/>
      <c r="I477" s="13"/>
      <c r="J477" s="13"/>
    </row>
    <row r="478" spans="3:10" x14ac:dyDescent="0.25">
      <c r="C478" s="13"/>
      <c r="D478" s="13"/>
      <c r="E478" s="13"/>
      <c r="F478" s="13"/>
      <c r="G478" s="13"/>
      <c r="H478" s="13"/>
      <c r="I478" s="13"/>
      <c r="J478" s="13"/>
    </row>
    <row r="479" spans="3:10" x14ac:dyDescent="0.25">
      <c r="C479" s="13"/>
      <c r="D479" s="13"/>
      <c r="E479" s="13"/>
      <c r="F479" s="13"/>
      <c r="G479" s="13"/>
      <c r="H479" s="13"/>
      <c r="I479" s="13"/>
      <c r="J479" s="13"/>
    </row>
    <row r="480" spans="3:10" x14ac:dyDescent="0.25">
      <c r="C480" s="13"/>
      <c r="D480" s="13"/>
      <c r="E480" s="13"/>
      <c r="F480" s="13"/>
      <c r="G480" s="13"/>
      <c r="H480" s="13"/>
      <c r="I480" s="13"/>
      <c r="J480" s="13"/>
    </row>
    <row r="481" spans="3:10" x14ac:dyDescent="0.25">
      <c r="C481" s="13"/>
      <c r="D481" s="13"/>
      <c r="E481" s="13"/>
      <c r="F481" s="13"/>
      <c r="G481" s="13"/>
      <c r="H481" s="13"/>
      <c r="I481" s="13"/>
      <c r="J481" s="13"/>
    </row>
    <row r="482" spans="3:10" x14ac:dyDescent="0.25">
      <c r="C482" s="13"/>
      <c r="D482" s="13"/>
      <c r="E482" s="13"/>
      <c r="F482" s="13"/>
      <c r="G482" s="13"/>
      <c r="H482" s="13"/>
      <c r="I482" s="13"/>
      <c r="J482" s="13"/>
    </row>
    <row r="483" spans="3:10" x14ac:dyDescent="0.25">
      <c r="C483" s="13"/>
      <c r="D483" s="13"/>
      <c r="E483" s="13"/>
      <c r="F483" s="13"/>
      <c r="G483" s="13"/>
      <c r="H483" s="13"/>
      <c r="I483" s="13"/>
      <c r="J483" s="13"/>
    </row>
    <row r="484" spans="3:10" x14ac:dyDescent="0.25">
      <c r="C484" s="13"/>
      <c r="D484" s="13"/>
      <c r="E484" s="13"/>
      <c r="F484" s="13"/>
      <c r="G484" s="13"/>
      <c r="H484" s="13"/>
      <c r="I484" s="13"/>
      <c r="J484" s="13"/>
    </row>
    <row r="485" spans="3:10" x14ac:dyDescent="0.25">
      <c r="C485" s="13"/>
      <c r="D485" s="13"/>
      <c r="E485" s="13"/>
      <c r="F485" s="13"/>
      <c r="G485" s="13"/>
      <c r="H485" s="13"/>
      <c r="I485" s="13"/>
      <c r="J485" s="13"/>
    </row>
    <row r="486" spans="3:10" x14ac:dyDescent="0.25">
      <c r="C486" s="13"/>
      <c r="D486" s="13"/>
      <c r="E486" s="13"/>
      <c r="F486" s="13"/>
      <c r="G486" s="13"/>
      <c r="H486" s="13"/>
      <c r="I486" s="13"/>
      <c r="J486" s="13"/>
    </row>
    <row r="487" spans="3:10" x14ac:dyDescent="0.25">
      <c r="C487" s="13"/>
      <c r="D487" s="13"/>
      <c r="E487" s="13"/>
      <c r="F487" s="13"/>
      <c r="G487" s="13"/>
      <c r="H487" s="13"/>
      <c r="I487" s="13"/>
      <c r="J487" s="13"/>
    </row>
    <row r="488" spans="3:10" x14ac:dyDescent="0.25">
      <c r="C488" s="13"/>
      <c r="D488" s="13"/>
      <c r="E488" s="13"/>
      <c r="F488" s="13"/>
      <c r="G488" s="13"/>
      <c r="H488" s="13"/>
      <c r="I488" s="13"/>
      <c r="J488" s="13"/>
    </row>
    <row r="489" spans="3:10" x14ac:dyDescent="0.25">
      <c r="C489" s="13"/>
      <c r="D489" s="13"/>
      <c r="E489" s="13"/>
      <c r="F489" s="13"/>
      <c r="G489" s="13"/>
      <c r="H489" s="13"/>
      <c r="I489" s="13"/>
      <c r="J489" s="13"/>
    </row>
    <row r="490" spans="3:10" x14ac:dyDescent="0.25">
      <c r="C490" s="13"/>
      <c r="D490" s="13"/>
      <c r="E490" s="13"/>
      <c r="F490" s="13"/>
      <c r="G490" s="13"/>
      <c r="H490" s="13"/>
      <c r="I490" s="13"/>
      <c r="J490" s="13"/>
    </row>
    <row r="491" spans="3:10" x14ac:dyDescent="0.25">
      <c r="C491" s="13"/>
      <c r="D491" s="13"/>
      <c r="E491" s="13"/>
      <c r="F491" s="13"/>
      <c r="G491" s="13"/>
      <c r="H491" s="13"/>
      <c r="I491" s="13"/>
      <c r="J491" s="13"/>
    </row>
    <row r="492" spans="3:10" x14ac:dyDescent="0.25">
      <c r="C492" s="13"/>
      <c r="D492" s="13"/>
      <c r="E492" s="13"/>
      <c r="F492" s="13"/>
      <c r="G492" s="13"/>
      <c r="H492" s="13"/>
      <c r="I492" s="13"/>
      <c r="J492" s="13"/>
    </row>
    <row r="493" spans="3:10" x14ac:dyDescent="0.25">
      <c r="C493" s="13"/>
      <c r="D493" s="13"/>
      <c r="E493" s="13"/>
      <c r="F493" s="13"/>
      <c r="G493" s="13"/>
      <c r="H493" s="13"/>
      <c r="I493" s="13"/>
      <c r="J493" s="13"/>
    </row>
    <row r="494" spans="3:10" x14ac:dyDescent="0.25">
      <c r="C494" s="13"/>
      <c r="D494" s="13"/>
      <c r="E494" s="13"/>
      <c r="F494" s="13"/>
      <c r="G494" s="13"/>
      <c r="H494" s="13"/>
      <c r="I494" s="13"/>
      <c r="J494" s="13"/>
    </row>
    <row r="495" spans="3:10" x14ac:dyDescent="0.25">
      <c r="C495" s="13"/>
      <c r="D495" s="13"/>
      <c r="E495" s="13"/>
      <c r="F495" s="13"/>
      <c r="G495" s="13"/>
      <c r="H495" s="13"/>
      <c r="I495" s="13"/>
      <c r="J495" s="13"/>
    </row>
    <row r="496" spans="3:10" x14ac:dyDescent="0.25">
      <c r="C496" s="13"/>
      <c r="D496" s="13"/>
      <c r="E496" s="13"/>
      <c r="F496" s="13"/>
      <c r="G496" s="13"/>
      <c r="H496" s="13"/>
      <c r="I496" s="13"/>
      <c r="J496" s="13"/>
    </row>
    <row r="497" spans="3:10" x14ac:dyDescent="0.25">
      <c r="C497" s="13"/>
      <c r="D497" s="13"/>
      <c r="E497" s="13"/>
      <c r="F497" s="13"/>
      <c r="G497" s="13"/>
      <c r="H497" s="13"/>
      <c r="I497" s="13"/>
      <c r="J497" s="13"/>
    </row>
    <row r="498" spans="3:10" x14ac:dyDescent="0.25">
      <c r="C498" s="13"/>
      <c r="D498" s="13"/>
      <c r="E498" s="13"/>
      <c r="F498" s="13"/>
      <c r="G498" s="13"/>
      <c r="H498" s="13"/>
      <c r="I498" s="13"/>
      <c r="J498" s="13"/>
    </row>
    <row r="499" spans="3:10" x14ac:dyDescent="0.25">
      <c r="C499" s="13"/>
      <c r="D499" s="13"/>
      <c r="E499" s="13"/>
      <c r="F499" s="13"/>
      <c r="G499" s="13"/>
      <c r="H499" s="13"/>
      <c r="I499" s="13"/>
      <c r="J499" s="13"/>
    </row>
    <row r="500" spans="3:10" x14ac:dyDescent="0.25">
      <c r="C500" s="13"/>
      <c r="D500" s="13"/>
      <c r="E500" s="13"/>
      <c r="F500" s="13"/>
      <c r="G500" s="13"/>
      <c r="H500" s="13"/>
      <c r="I500" s="13"/>
      <c r="J500" s="13"/>
    </row>
    <row r="501" spans="3:10" x14ac:dyDescent="0.25">
      <c r="C501" s="13"/>
      <c r="D501" s="13"/>
      <c r="E501" s="13"/>
      <c r="F501" s="13"/>
      <c r="G501" s="13"/>
      <c r="H501" s="13"/>
      <c r="I501" s="13"/>
      <c r="J501" s="13"/>
    </row>
    <row r="502" spans="3:10" x14ac:dyDescent="0.25">
      <c r="C502" s="13"/>
      <c r="D502" s="13"/>
      <c r="E502" s="13"/>
      <c r="F502" s="13"/>
      <c r="G502" s="13"/>
      <c r="H502" s="13"/>
      <c r="I502" s="13"/>
      <c r="J502" s="13"/>
    </row>
    <row r="503" spans="3:10" x14ac:dyDescent="0.25">
      <c r="C503" s="13"/>
      <c r="D503" s="13"/>
      <c r="E503" s="13"/>
      <c r="F503" s="13"/>
      <c r="G503" s="13"/>
      <c r="H503" s="13"/>
      <c r="I503" s="13"/>
      <c r="J503" s="13"/>
    </row>
    <row r="504" spans="3:10" x14ac:dyDescent="0.25">
      <c r="C504" s="13"/>
      <c r="D504" s="13"/>
      <c r="E504" s="13"/>
      <c r="F504" s="13"/>
      <c r="G504" s="13"/>
      <c r="H504" s="13"/>
      <c r="I504" s="13"/>
      <c r="J504" s="13"/>
    </row>
    <row r="505" spans="3:10" x14ac:dyDescent="0.25">
      <c r="C505" s="13"/>
      <c r="D505" s="13"/>
      <c r="E505" s="13"/>
      <c r="F505" s="13"/>
      <c r="G505" s="13"/>
      <c r="H505" s="13"/>
      <c r="I505" s="13"/>
      <c r="J505" s="13"/>
    </row>
    <row r="506" spans="3:10" x14ac:dyDescent="0.25">
      <c r="C506" s="13"/>
      <c r="D506" s="13"/>
      <c r="E506" s="13"/>
      <c r="F506" s="13"/>
      <c r="G506" s="13"/>
      <c r="H506" s="13"/>
      <c r="I506" s="13"/>
      <c r="J506" s="13"/>
    </row>
    <row r="507" spans="3:10" x14ac:dyDescent="0.25">
      <c r="C507" s="13"/>
      <c r="D507" s="13"/>
      <c r="E507" s="13"/>
      <c r="F507" s="13"/>
      <c r="G507" s="13"/>
      <c r="H507" s="13"/>
      <c r="I507" s="13"/>
      <c r="J507" s="13"/>
    </row>
    <row r="508" spans="3:10" x14ac:dyDescent="0.25">
      <c r="C508" s="13"/>
      <c r="D508" s="13"/>
      <c r="E508" s="13"/>
      <c r="F508" s="13"/>
      <c r="G508" s="13"/>
      <c r="H508" s="13"/>
      <c r="I508" s="13"/>
      <c r="J508" s="13"/>
    </row>
    <row r="509" spans="3:10" x14ac:dyDescent="0.25">
      <c r="C509" s="13"/>
      <c r="D509" s="13"/>
      <c r="E509" s="13"/>
      <c r="F509" s="13"/>
      <c r="G509" s="13"/>
      <c r="H509" s="13"/>
      <c r="I509" s="13"/>
      <c r="J509" s="13"/>
    </row>
    <row r="510" spans="3:10" x14ac:dyDescent="0.25">
      <c r="C510" s="13"/>
      <c r="D510" s="13"/>
      <c r="E510" s="13"/>
      <c r="F510" s="13"/>
      <c r="G510" s="13"/>
      <c r="H510" s="13"/>
      <c r="I510" s="13"/>
      <c r="J510" s="13"/>
    </row>
    <row r="511" spans="3:10" x14ac:dyDescent="0.25">
      <c r="C511" s="13"/>
      <c r="D511" s="13"/>
      <c r="E511" s="13"/>
      <c r="F511" s="13"/>
      <c r="G511" s="13"/>
      <c r="H511" s="13"/>
      <c r="I511" s="13"/>
      <c r="J511" s="13"/>
    </row>
    <row r="512" spans="3:10" x14ac:dyDescent="0.25">
      <c r="C512" s="13"/>
      <c r="D512" s="13"/>
      <c r="E512" s="13"/>
      <c r="F512" s="13"/>
      <c r="G512" s="13"/>
      <c r="H512" s="13"/>
      <c r="I512" s="13"/>
      <c r="J512" s="13"/>
    </row>
    <row r="513" spans="3:10" x14ac:dyDescent="0.25">
      <c r="C513" s="13"/>
      <c r="D513" s="13"/>
      <c r="E513" s="13"/>
      <c r="F513" s="13"/>
      <c r="G513" s="13"/>
      <c r="H513" s="13"/>
      <c r="I513" s="13"/>
      <c r="J513" s="13"/>
    </row>
    <row r="514" spans="3:10" x14ac:dyDescent="0.25">
      <c r="C514" s="13"/>
      <c r="D514" s="13"/>
      <c r="E514" s="13"/>
      <c r="F514" s="13"/>
      <c r="G514" s="13"/>
      <c r="H514" s="13"/>
      <c r="I514" s="13"/>
      <c r="J514" s="13"/>
    </row>
    <row r="515" spans="3:10" x14ac:dyDescent="0.25">
      <c r="C515" s="13"/>
      <c r="D515" s="13"/>
      <c r="E515" s="13"/>
      <c r="F515" s="13"/>
      <c r="G515" s="13"/>
      <c r="H515" s="13"/>
      <c r="I515" s="13"/>
      <c r="J515" s="13"/>
    </row>
    <row r="516" spans="3:10" x14ac:dyDescent="0.25">
      <c r="C516" s="13"/>
      <c r="D516" s="13"/>
      <c r="E516" s="13"/>
      <c r="F516" s="13"/>
      <c r="G516" s="13"/>
      <c r="H516" s="13"/>
      <c r="I516" s="13"/>
      <c r="J516" s="13"/>
    </row>
    <row r="517" spans="3:10" x14ac:dyDescent="0.25">
      <c r="C517" s="13"/>
      <c r="D517" s="13"/>
      <c r="E517" s="13"/>
      <c r="F517" s="13"/>
      <c r="G517" s="13"/>
      <c r="H517" s="13"/>
      <c r="I517" s="13"/>
      <c r="J517" s="13"/>
    </row>
    <row r="518" spans="3:10" x14ac:dyDescent="0.25">
      <c r="C518" s="13"/>
      <c r="D518" s="13"/>
      <c r="E518" s="13"/>
      <c r="F518" s="13"/>
      <c r="G518" s="13"/>
      <c r="H518" s="13"/>
      <c r="I518" s="13"/>
      <c r="J518" s="13"/>
    </row>
    <row r="519" spans="3:10" x14ac:dyDescent="0.25">
      <c r="C519" s="13"/>
      <c r="D519" s="13"/>
      <c r="E519" s="13"/>
      <c r="F519" s="13"/>
      <c r="G519" s="13"/>
      <c r="H519" s="13"/>
      <c r="I519" s="13"/>
      <c r="J519" s="13"/>
    </row>
    <row r="520" spans="3:10" x14ac:dyDescent="0.25">
      <c r="C520" s="13"/>
      <c r="D520" s="13"/>
      <c r="E520" s="13"/>
      <c r="F520" s="13"/>
      <c r="G520" s="13"/>
      <c r="H520" s="13"/>
      <c r="I520" s="13"/>
      <c r="J520" s="13"/>
    </row>
    <row r="521" spans="3:10" x14ac:dyDescent="0.25">
      <c r="C521" s="13"/>
      <c r="D521" s="13"/>
      <c r="E521" s="13"/>
      <c r="F521" s="13"/>
      <c r="G521" s="13"/>
      <c r="H521" s="13"/>
      <c r="I521" s="13"/>
      <c r="J521" s="13"/>
    </row>
    <row r="522" spans="3:10" x14ac:dyDescent="0.25">
      <c r="C522" s="13"/>
      <c r="D522" s="13"/>
      <c r="E522" s="13"/>
      <c r="F522" s="13"/>
      <c r="G522" s="13"/>
      <c r="H522" s="13"/>
      <c r="I522" s="13"/>
      <c r="J522" s="13"/>
    </row>
    <row r="523" spans="3:10" x14ac:dyDescent="0.25">
      <c r="C523" s="13"/>
      <c r="D523" s="13"/>
      <c r="E523" s="13"/>
      <c r="F523" s="13"/>
      <c r="G523" s="13"/>
      <c r="H523" s="13"/>
      <c r="I523" s="13"/>
      <c r="J523" s="13"/>
    </row>
    <row r="524" spans="3:10" x14ac:dyDescent="0.25">
      <c r="C524" s="13"/>
      <c r="D524" s="13"/>
      <c r="E524" s="13"/>
      <c r="F524" s="13"/>
      <c r="G524" s="13"/>
      <c r="H524" s="13"/>
      <c r="I524" s="13"/>
      <c r="J524" s="13"/>
    </row>
    <row r="525" spans="3:10" x14ac:dyDescent="0.25">
      <c r="C525" s="13"/>
      <c r="D525" s="13"/>
      <c r="E525" s="13"/>
      <c r="F525" s="13"/>
      <c r="G525" s="13"/>
      <c r="H525" s="13"/>
      <c r="I525" s="13"/>
      <c r="J525" s="13"/>
    </row>
    <row r="526" spans="3:10" x14ac:dyDescent="0.25">
      <c r="C526" s="13"/>
      <c r="D526" s="13"/>
      <c r="E526" s="13"/>
      <c r="F526" s="13"/>
      <c r="G526" s="13"/>
      <c r="H526" s="13"/>
      <c r="I526" s="13"/>
      <c r="J526" s="13"/>
    </row>
    <row r="527" spans="3:10" x14ac:dyDescent="0.25">
      <c r="C527" s="13"/>
      <c r="D527" s="13"/>
      <c r="E527" s="13"/>
      <c r="F527" s="13"/>
      <c r="G527" s="13"/>
      <c r="H527" s="13"/>
      <c r="I527" s="13"/>
      <c r="J527" s="13"/>
    </row>
    <row r="528" spans="3:10" x14ac:dyDescent="0.25">
      <c r="C528" s="13"/>
      <c r="D528" s="13"/>
      <c r="E528" s="13"/>
      <c r="F528" s="13"/>
      <c r="G528" s="13"/>
      <c r="H528" s="13"/>
      <c r="I528" s="13"/>
      <c r="J528" s="13"/>
    </row>
    <row r="529" spans="3:10" x14ac:dyDescent="0.25">
      <c r="C529" s="13"/>
      <c r="D529" s="13"/>
      <c r="E529" s="13"/>
      <c r="F529" s="13"/>
      <c r="G529" s="13"/>
      <c r="H529" s="13"/>
      <c r="I529" s="13"/>
      <c r="J529" s="13"/>
    </row>
    <row r="530" spans="3:10" x14ac:dyDescent="0.25">
      <c r="C530" s="13"/>
      <c r="D530" s="13"/>
      <c r="E530" s="13"/>
      <c r="F530" s="13"/>
      <c r="G530" s="13"/>
      <c r="H530" s="13"/>
      <c r="I530" s="13"/>
      <c r="J530" s="13"/>
    </row>
    <row r="531" spans="3:10" x14ac:dyDescent="0.25">
      <c r="C531" s="13"/>
      <c r="D531" s="13"/>
      <c r="E531" s="13"/>
      <c r="F531" s="13"/>
      <c r="G531" s="13"/>
      <c r="H531" s="13"/>
      <c r="I531" s="13"/>
      <c r="J531" s="13"/>
    </row>
    <row r="532" spans="3:10" x14ac:dyDescent="0.25">
      <c r="C532" s="13"/>
      <c r="D532" s="13"/>
      <c r="E532" s="13"/>
      <c r="F532" s="13"/>
      <c r="G532" s="13"/>
      <c r="H532" s="13"/>
      <c r="I532" s="13"/>
      <c r="J532" s="13"/>
    </row>
    <row r="533" spans="3:10" x14ac:dyDescent="0.25">
      <c r="C533" s="13"/>
      <c r="D533" s="13"/>
      <c r="E533" s="13"/>
      <c r="F533" s="13"/>
      <c r="G533" s="13"/>
      <c r="H533" s="13"/>
      <c r="I533" s="13"/>
      <c r="J533" s="13"/>
    </row>
    <row r="534" spans="3:10" x14ac:dyDescent="0.25">
      <c r="C534" s="13"/>
      <c r="D534" s="13"/>
      <c r="E534" s="13"/>
      <c r="F534" s="13"/>
      <c r="G534" s="13"/>
      <c r="H534" s="13"/>
      <c r="I534" s="13"/>
      <c r="J534" s="13"/>
    </row>
    <row r="535" spans="3:10" x14ac:dyDescent="0.25">
      <c r="C535" s="13"/>
      <c r="D535" s="13"/>
      <c r="E535" s="13"/>
      <c r="F535" s="13"/>
      <c r="G535" s="13"/>
      <c r="H535" s="13"/>
      <c r="I535" s="13"/>
      <c r="J535" s="13"/>
    </row>
    <row r="536" spans="3:10" x14ac:dyDescent="0.25">
      <c r="C536" s="13"/>
      <c r="D536" s="13"/>
      <c r="E536" s="13"/>
      <c r="F536" s="13"/>
      <c r="G536" s="13"/>
      <c r="H536" s="13"/>
      <c r="I536" s="13"/>
      <c r="J536" s="13"/>
    </row>
    <row r="537" spans="3:10" x14ac:dyDescent="0.25">
      <c r="C537" s="13"/>
      <c r="D537" s="13"/>
      <c r="E537" s="13"/>
      <c r="F537" s="13"/>
      <c r="G537" s="13"/>
      <c r="H537" s="13"/>
      <c r="I537" s="13"/>
      <c r="J537" s="13"/>
    </row>
    <row r="538" spans="3:10" x14ac:dyDescent="0.25">
      <c r="C538" s="13"/>
      <c r="D538" s="13"/>
      <c r="E538" s="13"/>
      <c r="F538" s="13"/>
      <c r="G538" s="13"/>
      <c r="H538" s="13"/>
      <c r="I538" s="13"/>
      <c r="J538" s="13"/>
    </row>
    <row r="539" spans="3:10" x14ac:dyDescent="0.25">
      <c r="C539" s="13"/>
      <c r="D539" s="13"/>
      <c r="E539" s="13"/>
      <c r="F539" s="13"/>
      <c r="G539" s="13"/>
      <c r="H539" s="13"/>
      <c r="I539" s="13"/>
      <c r="J539" s="13"/>
    </row>
    <row r="540" spans="3:10" x14ac:dyDescent="0.25">
      <c r="C540" s="13"/>
      <c r="D540" s="13"/>
      <c r="E540" s="13"/>
      <c r="F540" s="13"/>
      <c r="G540" s="13"/>
      <c r="H540" s="13"/>
      <c r="I540" s="13"/>
      <c r="J540" s="13"/>
    </row>
    <row r="541" spans="3:10" x14ac:dyDescent="0.25">
      <c r="C541" s="13"/>
      <c r="D541" s="13"/>
      <c r="E541" s="13"/>
      <c r="F541" s="13"/>
      <c r="G541" s="13"/>
      <c r="H541" s="13"/>
      <c r="I541" s="13"/>
      <c r="J541" s="13"/>
    </row>
    <row r="542" spans="3:10" x14ac:dyDescent="0.25">
      <c r="C542" s="13"/>
      <c r="D542" s="13"/>
      <c r="E542" s="13"/>
      <c r="F542" s="13"/>
      <c r="G542" s="13"/>
      <c r="H542" s="13"/>
      <c r="I542" s="13"/>
      <c r="J542" s="13"/>
    </row>
    <row r="543" spans="3:10" x14ac:dyDescent="0.25">
      <c r="C543" s="13"/>
      <c r="D543" s="13"/>
      <c r="E543" s="13"/>
      <c r="F543" s="13"/>
      <c r="G543" s="13"/>
      <c r="H543" s="13"/>
      <c r="I543" s="13"/>
      <c r="J543" s="13"/>
    </row>
    <row r="544" spans="3:10" x14ac:dyDescent="0.25">
      <c r="C544" s="13"/>
      <c r="D544" s="13"/>
      <c r="E544" s="13"/>
      <c r="F544" s="13"/>
      <c r="G544" s="13"/>
      <c r="H544" s="13"/>
      <c r="I544" s="13"/>
      <c r="J544" s="13"/>
    </row>
    <row r="545" spans="3:10" x14ac:dyDescent="0.25">
      <c r="C545" s="13"/>
      <c r="D545" s="13"/>
      <c r="E545" s="13"/>
      <c r="F545" s="13"/>
      <c r="G545" s="13"/>
      <c r="H545" s="13"/>
      <c r="I545" s="13"/>
      <c r="J545" s="13"/>
    </row>
    <row r="546" spans="3:10" x14ac:dyDescent="0.25">
      <c r="C546" s="13"/>
      <c r="D546" s="13"/>
      <c r="E546" s="13"/>
      <c r="F546" s="13"/>
      <c r="G546" s="13"/>
      <c r="H546" s="13"/>
      <c r="I546" s="13"/>
      <c r="J546" s="13"/>
    </row>
    <row r="547" spans="3:10" x14ac:dyDescent="0.25">
      <c r="C547" s="13"/>
      <c r="D547" s="13"/>
      <c r="E547" s="13"/>
      <c r="F547" s="13"/>
      <c r="G547" s="13"/>
      <c r="H547" s="13"/>
      <c r="I547" s="13"/>
      <c r="J547" s="13"/>
    </row>
    <row r="548" spans="3:10" x14ac:dyDescent="0.25">
      <c r="C548" s="13"/>
      <c r="D548" s="13"/>
      <c r="E548" s="13"/>
      <c r="F548" s="13"/>
      <c r="G548" s="13"/>
      <c r="H548" s="13"/>
      <c r="I548" s="13"/>
      <c r="J548" s="13"/>
    </row>
    <row r="549" spans="3:10" x14ac:dyDescent="0.25">
      <c r="C549" s="13"/>
      <c r="D549" s="13"/>
      <c r="E549" s="13"/>
      <c r="F549" s="13"/>
      <c r="G549" s="13"/>
      <c r="H549" s="13"/>
      <c r="I549" s="13"/>
      <c r="J549" s="13"/>
    </row>
    <row r="550" spans="3:10" x14ac:dyDescent="0.25">
      <c r="C550" s="13"/>
      <c r="D550" s="13"/>
      <c r="E550" s="13"/>
      <c r="F550" s="13"/>
      <c r="G550" s="13"/>
      <c r="H550" s="13"/>
      <c r="I550" s="13"/>
      <c r="J550" s="13"/>
    </row>
    <row r="551" spans="3:10" x14ac:dyDescent="0.25">
      <c r="C551" s="13"/>
      <c r="D551" s="13"/>
      <c r="E551" s="13"/>
      <c r="F551" s="13"/>
      <c r="G551" s="13"/>
      <c r="H551" s="13"/>
      <c r="I551" s="13"/>
      <c r="J551" s="13"/>
    </row>
    <row r="552" spans="3:10" x14ac:dyDescent="0.25">
      <c r="C552" s="13"/>
      <c r="D552" s="13"/>
      <c r="E552" s="13"/>
      <c r="F552" s="13"/>
      <c r="G552" s="13"/>
      <c r="H552" s="13"/>
      <c r="I552" s="13"/>
      <c r="J552" s="13"/>
    </row>
    <row r="553" spans="3:10" x14ac:dyDescent="0.25">
      <c r="C553" s="13"/>
      <c r="D553" s="13"/>
      <c r="E553" s="13"/>
      <c r="F553" s="13"/>
      <c r="G553" s="13"/>
      <c r="H553" s="13"/>
      <c r="I553" s="13"/>
      <c r="J553" s="13"/>
    </row>
    <row r="554" spans="3:10" x14ac:dyDescent="0.25">
      <c r="C554" s="13"/>
      <c r="D554" s="13"/>
      <c r="E554" s="13"/>
      <c r="F554" s="13"/>
      <c r="G554" s="13"/>
      <c r="H554" s="13"/>
      <c r="I554" s="13"/>
      <c r="J554" s="13"/>
    </row>
    <row r="555" spans="3:10" x14ac:dyDescent="0.25">
      <c r="C555" s="13"/>
      <c r="D555" s="13"/>
      <c r="E555" s="13"/>
      <c r="F555" s="13"/>
      <c r="G555" s="13"/>
      <c r="H555" s="13"/>
      <c r="I555" s="13"/>
      <c r="J555" s="13"/>
    </row>
    <row r="556" spans="3:10" x14ac:dyDescent="0.25">
      <c r="C556" s="13"/>
      <c r="D556" s="13"/>
      <c r="E556" s="13"/>
      <c r="F556" s="13"/>
      <c r="G556" s="13"/>
      <c r="H556" s="13"/>
      <c r="I556" s="13"/>
      <c r="J556" s="13"/>
    </row>
    <row r="557" spans="3:10" x14ac:dyDescent="0.25">
      <c r="C557" s="13"/>
      <c r="D557" s="13"/>
      <c r="E557" s="13"/>
      <c r="F557" s="13"/>
      <c r="G557" s="13"/>
      <c r="H557" s="13"/>
      <c r="I557" s="13"/>
      <c r="J557" s="13"/>
    </row>
    <row r="558" spans="3:10" x14ac:dyDescent="0.25">
      <c r="C558" s="13"/>
      <c r="D558" s="13"/>
      <c r="E558" s="13"/>
      <c r="F558" s="13"/>
      <c r="G558" s="13"/>
      <c r="H558" s="13"/>
      <c r="I558" s="13"/>
      <c r="J558" s="13"/>
    </row>
    <row r="559" spans="3:10" x14ac:dyDescent="0.25">
      <c r="C559" s="13"/>
      <c r="D559" s="13"/>
      <c r="E559" s="13"/>
      <c r="F559" s="13"/>
      <c r="G559" s="13"/>
      <c r="H559" s="13"/>
      <c r="I559" s="13"/>
      <c r="J559" s="13"/>
    </row>
    <row r="560" spans="3:10" x14ac:dyDescent="0.25">
      <c r="C560" s="13"/>
      <c r="D560" s="13"/>
      <c r="E560" s="13"/>
      <c r="F560" s="13"/>
      <c r="G560" s="13"/>
      <c r="H560" s="13"/>
      <c r="I560" s="13"/>
      <c r="J560" s="13"/>
    </row>
    <row r="561" spans="3:10" x14ac:dyDescent="0.25">
      <c r="C561" s="13"/>
      <c r="D561" s="13"/>
      <c r="E561" s="13"/>
      <c r="F561" s="13"/>
      <c r="G561" s="13"/>
      <c r="H561" s="13"/>
      <c r="I561" s="13"/>
      <c r="J561" s="13"/>
    </row>
    <row r="562" spans="3:10" x14ac:dyDescent="0.25">
      <c r="C562" s="13"/>
      <c r="D562" s="13"/>
      <c r="E562" s="13"/>
      <c r="F562" s="13"/>
      <c r="G562" s="13"/>
      <c r="H562" s="13"/>
      <c r="I562" s="13"/>
      <c r="J562" s="13"/>
    </row>
    <row r="563" spans="3:10" x14ac:dyDescent="0.25">
      <c r="C563" s="13"/>
      <c r="D563" s="13"/>
      <c r="E563" s="13"/>
      <c r="F563" s="13"/>
      <c r="G563" s="13"/>
      <c r="H563" s="13"/>
      <c r="I563" s="13"/>
      <c r="J563" s="13"/>
    </row>
    <row r="564" spans="3:10" x14ac:dyDescent="0.25">
      <c r="C564" s="13"/>
      <c r="D564" s="13"/>
      <c r="E564" s="13"/>
      <c r="F564" s="13"/>
      <c r="G564" s="13"/>
      <c r="H564" s="13"/>
      <c r="I564" s="13"/>
      <c r="J564" s="13"/>
    </row>
    <row r="565" spans="3:10" x14ac:dyDescent="0.25">
      <c r="C565" s="13"/>
      <c r="D565" s="13"/>
      <c r="E565" s="13"/>
      <c r="F565" s="13"/>
      <c r="G565" s="13"/>
      <c r="H565" s="13"/>
      <c r="I565" s="13"/>
      <c r="J565" s="13"/>
    </row>
    <row r="566" spans="3:10" x14ac:dyDescent="0.25">
      <c r="C566" s="13"/>
      <c r="D566" s="13"/>
      <c r="E566" s="13"/>
      <c r="F566" s="13"/>
      <c r="G566" s="13"/>
      <c r="H566" s="13"/>
      <c r="I566" s="13"/>
      <c r="J566" s="13"/>
    </row>
    <row r="567" spans="3:10" x14ac:dyDescent="0.25">
      <c r="C567" s="13"/>
      <c r="D567" s="13"/>
      <c r="E567" s="13"/>
      <c r="F567" s="13"/>
      <c r="G567" s="13"/>
      <c r="H567" s="13"/>
      <c r="I567" s="13"/>
      <c r="J567" s="13"/>
    </row>
    <row r="568" spans="3:10" x14ac:dyDescent="0.25">
      <c r="C568" s="13"/>
      <c r="D568" s="13"/>
      <c r="E568" s="13"/>
      <c r="F568" s="13"/>
      <c r="G568" s="13"/>
      <c r="H568" s="13"/>
      <c r="I568" s="13"/>
      <c r="J568" s="13"/>
    </row>
    <row r="569" spans="3:10" x14ac:dyDescent="0.25">
      <c r="C569" s="13"/>
      <c r="D569" s="13"/>
      <c r="E569" s="13"/>
      <c r="F569" s="13"/>
      <c r="G569" s="13"/>
      <c r="H569" s="13"/>
      <c r="I569" s="13"/>
      <c r="J569" s="13"/>
    </row>
    <row r="570" spans="3:10" x14ac:dyDescent="0.25">
      <c r="C570" s="13"/>
      <c r="D570" s="13"/>
      <c r="E570" s="13"/>
      <c r="F570" s="13"/>
      <c r="G570" s="13"/>
      <c r="H570" s="13"/>
      <c r="I570" s="13"/>
      <c r="J570" s="13"/>
    </row>
    <row r="571" spans="3:10" x14ac:dyDescent="0.25">
      <c r="C571" s="13"/>
      <c r="D571" s="13"/>
      <c r="E571" s="13"/>
      <c r="F571" s="13"/>
      <c r="G571" s="13"/>
      <c r="H571" s="13"/>
      <c r="I571" s="13"/>
      <c r="J571" s="13"/>
    </row>
    <row r="572" spans="3:10" x14ac:dyDescent="0.25">
      <c r="C572" s="13"/>
      <c r="D572" s="13"/>
      <c r="E572" s="13"/>
      <c r="F572" s="13"/>
      <c r="G572" s="13"/>
      <c r="H572" s="13"/>
      <c r="I572" s="13"/>
      <c r="J572" s="13"/>
    </row>
    <row r="573" spans="3:10" x14ac:dyDescent="0.25">
      <c r="C573" s="13"/>
      <c r="D573" s="13"/>
      <c r="E573" s="13"/>
      <c r="F573" s="13"/>
      <c r="G573" s="13"/>
      <c r="H573" s="13"/>
      <c r="I573" s="13"/>
      <c r="J573" s="13"/>
    </row>
    <row r="574" spans="3:10" x14ac:dyDescent="0.25">
      <c r="C574" s="13"/>
      <c r="D574" s="13"/>
      <c r="E574" s="13"/>
      <c r="F574" s="13"/>
      <c r="G574" s="13"/>
      <c r="H574" s="13"/>
      <c r="I574" s="13"/>
      <c r="J574" s="13"/>
    </row>
    <row r="575" spans="3:10" x14ac:dyDescent="0.25">
      <c r="C575" s="13"/>
      <c r="D575" s="13"/>
      <c r="E575" s="13"/>
      <c r="F575" s="13"/>
      <c r="G575" s="13"/>
      <c r="H575" s="13"/>
      <c r="I575" s="13"/>
      <c r="J575" s="13"/>
    </row>
    <row r="576" spans="3:10" x14ac:dyDescent="0.25">
      <c r="C576" s="13"/>
      <c r="D576" s="13"/>
      <c r="E576" s="13"/>
      <c r="F576" s="13"/>
      <c r="G576" s="13"/>
      <c r="H576" s="13"/>
      <c r="I576" s="13"/>
      <c r="J576" s="13"/>
    </row>
    <row r="577" spans="3:10" x14ac:dyDescent="0.25">
      <c r="C577" s="13"/>
      <c r="D577" s="13"/>
      <c r="E577" s="13"/>
      <c r="F577" s="13"/>
      <c r="G577" s="13"/>
      <c r="H577" s="13"/>
      <c r="I577" s="13"/>
      <c r="J577" s="13"/>
    </row>
    <row r="578" spans="3:10" x14ac:dyDescent="0.25">
      <c r="C578" s="13"/>
      <c r="D578" s="13"/>
      <c r="E578" s="13"/>
      <c r="F578" s="13"/>
      <c r="G578" s="13"/>
      <c r="H578" s="13"/>
      <c r="I578" s="13"/>
      <c r="J578" s="13"/>
    </row>
    <row r="579" spans="3:10" x14ac:dyDescent="0.25">
      <c r="C579" s="13"/>
      <c r="D579" s="13"/>
      <c r="E579" s="13"/>
      <c r="F579" s="13"/>
      <c r="G579" s="13"/>
      <c r="H579" s="13"/>
      <c r="I579" s="13"/>
      <c r="J579" s="13"/>
    </row>
    <row r="580" spans="3:10" x14ac:dyDescent="0.25">
      <c r="C580" s="13"/>
      <c r="D580" s="13"/>
      <c r="E580" s="13"/>
      <c r="F580" s="13"/>
      <c r="G580" s="13"/>
      <c r="H580" s="13"/>
      <c r="I580" s="13"/>
      <c r="J580" s="13"/>
    </row>
    <row r="581" spans="3:10" x14ac:dyDescent="0.25">
      <c r="C581" s="13"/>
      <c r="D581" s="13"/>
      <c r="E581" s="13"/>
      <c r="F581" s="13"/>
      <c r="G581" s="13"/>
      <c r="H581" s="13"/>
      <c r="I581" s="13"/>
      <c r="J581" s="13"/>
    </row>
    <row r="582" spans="3:10" x14ac:dyDescent="0.25">
      <c r="C582" s="13"/>
      <c r="D582" s="13"/>
      <c r="E582" s="13"/>
      <c r="F582" s="13"/>
      <c r="G582" s="13"/>
      <c r="H582" s="13"/>
      <c r="I582" s="13"/>
      <c r="J582" s="13"/>
    </row>
    <row r="583" spans="3:10" x14ac:dyDescent="0.25">
      <c r="C583" s="13"/>
      <c r="D583" s="13"/>
      <c r="E583" s="13"/>
      <c r="F583" s="13"/>
      <c r="G583" s="13"/>
      <c r="H583" s="13"/>
      <c r="I583" s="13"/>
      <c r="J583" s="13"/>
    </row>
    <row r="584" spans="3:10" x14ac:dyDescent="0.25">
      <c r="C584" s="13"/>
      <c r="D584" s="13"/>
      <c r="E584" s="13"/>
      <c r="F584" s="13"/>
      <c r="G584" s="13"/>
      <c r="H584" s="13"/>
      <c r="I584" s="13"/>
      <c r="J584" s="13"/>
    </row>
    <row r="585" spans="3:10" x14ac:dyDescent="0.25">
      <c r="C585" s="13"/>
      <c r="D585" s="13"/>
      <c r="E585" s="13"/>
      <c r="F585" s="13"/>
      <c r="G585" s="13"/>
      <c r="H585" s="13"/>
      <c r="I585" s="13"/>
      <c r="J585" s="13"/>
    </row>
    <row r="586" spans="3:10" x14ac:dyDescent="0.25">
      <c r="C586" s="13"/>
      <c r="D586" s="13"/>
      <c r="E586" s="13"/>
      <c r="F586" s="13"/>
      <c r="G586" s="13"/>
      <c r="H586" s="13"/>
      <c r="I586" s="13"/>
      <c r="J586" s="13"/>
    </row>
    <row r="587" spans="3:10" x14ac:dyDescent="0.25">
      <c r="C587" s="13"/>
      <c r="D587" s="13"/>
      <c r="E587" s="13"/>
      <c r="F587" s="13"/>
      <c r="G587" s="13"/>
      <c r="H587" s="13"/>
      <c r="I587" s="13"/>
      <c r="J587" s="13"/>
    </row>
    <row r="588" spans="3:10" x14ac:dyDescent="0.25">
      <c r="C588" s="13"/>
      <c r="D588" s="13"/>
      <c r="E588" s="13"/>
      <c r="F588" s="13"/>
      <c r="G588" s="13"/>
      <c r="H588" s="13"/>
      <c r="I588" s="13"/>
      <c r="J588" s="13"/>
    </row>
    <row r="589" spans="3:10" x14ac:dyDescent="0.25">
      <c r="C589" s="13"/>
      <c r="D589" s="13"/>
      <c r="E589" s="13"/>
      <c r="F589" s="13"/>
      <c r="G589" s="13"/>
      <c r="H589" s="13"/>
      <c r="I589" s="13"/>
      <c r="J589" s="13"/>
    </row>
    <row r="590" spans="3:10" x14ac:dyDescent="0.25">
      <c r="C590" s="13"/>
      <c r="D590" s="13"/>
      <c r="E590" s="13"/>
      <c r="F590" s="13"/>
      <c r="G590" s="13"/>
      <c r="H590" s="13"/>
      <c r="I590" s="13"/>
      <c r="J590" s="13"/>
    </row>
    <row r="591" spans="3:10" x14ac:dyDescent="0.25">
      <c r="C591" s="13"/>
      <c r="D591" s="13"/>
      <c r="E591" s="13"/>
      <c r="F591" s="13"/>
      <c r="G591" s="13"/>
      <c r="H591" s="13"/>
      <c r="I591" s="13"/>
      <c r="J591" s="13"/>
    </row>
    <row r="592" spans="3:10" x14ac:dyDescent="0.25">
      <c r="C592" s="13"/>
      <c r="D592" s="13"/>
      <c r="E592" s="13"/>
      <c r="F592" s="13"/>
      <c r="G592" s="13"/>
      <c r="H592" s="13"/>
      <c r="I592" s="13"/>
      <c r="J592" s="13"/>
    </row>
    <row r="593" spans="3:10" x14ac:dyDescent="0.25">
      <c r="C593" s="13"/>
      <c r="D593" s="13"/>
      <c r="E593" s="13"/>
      <c r="F593" s="13"/>
      <c r="G593" s="13"/>
      <c r="H593" s="13"/>
      <c r="I593" s="13"/>
      <c r="J593" s="13"/>
    </row>
    <row r="594" spans="3:10" x14ac:dyDescent="0.25">
      <c r="C594" s="13"/>
      <c r="D594" s="13"/>
      <c r="E594" s="13"/>
      <c r="F594" s="13"/>
      <c r="G594" s="13"/>
      <c r="H594" s="13"/>
      <c r="I594" s="13"/>
      <c r="J594" s="13"/>
    </row>
    <row r="595" spans="3:10" x14ac:dyDescent="0.25">
      <c r="C595" s="13"/>
      <c r="D595" s="13"/>
      <c r="E595" s="13"/>
      <c r="F595" s="13"/>
      <c r="G595" s="13"/>
      <c r="H595" s="13"/>
      <c r="I595" s="13"/>
      <c r="J595" s="13"/>
    </row>
    <row r="596" spans="3:10" x14ac:dyDescent="0.25">
      <c r="C596" s="13"/>
      <c r="D596" s="13"/>
      <c r="E596" s="13"/>
      <c r="F596" s="13"/>
      <c r="G596" s="13"/>
      <c r="H596" s="13"/>
      <c r="I596" s="13"/>
      <c r="J596" s="13"/>
    </row>
    <row r="597" spans="3:10" x14ac:dyDescent="0.25">
      <c r="C597" s="13"/>
      <c r="D597" s="13"/>
      <c r="E597" s="13"/>
      <c r="F597" s="13"/>
      <c r="G597" s="13"/>
      <c r="H597" s="13"/>
      <c r="I597" s="13"/>
      <c r="J597" s="13"/>
    </row>
    <row r="598" spans="3:10" x14ac:dyDescent="0.25">
      <c r="C598" s="13"/>
      <c r="D598" s="13"/>
      <c r="E598" s="13"/>
      <c r="F598" s="13"/>
      <c r="G598" s="13"/>
      <c r="H598" s="13"/>
      <c r="I598" s="13"/>
      <c r="J598" s="13"/>
    </row>
    <row r="599" spans="3:10" x14ac:dyDescent="0.25">
      <c r="C599" s="13"/>
      <c r="D599" s="13"/>
      <c r="E599" s="13"/>
      <c r="F599" s="13"/>
      <c r="G599" s="13"/>
      <c r="H599" s="13"/>
      <c r="I599" s="13"/>
      <c r="J599" s="13"/>
    </row>
    <row r="600" spans="3:10" x14ac:dyDescent="0.25">
      <c r="C600" s="13"/>
      <c r="D600" s="13"/>
      <c r="E600" s="13"/>
      <c r="F600" s="13"/>
      <c r="G600" s="13"/>
      <c r="H600" s="13"/>
      <c r="I600" s="13"/>
      <c r="J600" s="13"/>
    </row>
    <row r="601" spans="3:10" x14ac:dyDescent="0.25">
      <c r="C601" s="13"/>
      <c r="D601" s="13"/>
      <c r="E601" s="13"/>
      <c r="F601" s="13"/>
      <c r="G601" s="13"/>
      <c r="H601" s="13"/>
      <c r="I601" s="13"/>
      <c r="J601" s="13"/>
    </row>
    <row r="602" spans="3:10" x14ac:dyDescent="0.25">
      <c r="C602" s="13"/>
      <c r="D602" s="13"/>
      <c r="E602" s="13"/>
      <c r="F602" s="13"/>
      <c r="G602" s="13"/>
      <c r="H602" s="13"/>
      <c r="I602" s="13"/>
      <c r="J602" s="13"/>
    </row>
    <row r="603" spans="3:10" x14ac:dyDescent="0.25">
      <c r="C603" s="13"/>
      <c r="D603" s="13"/>
      <c r="E603" s="13"/>
      <c r="F603" s="13"/>
      <c r="G603" s="13"/>
      <c r="H603" s="13"/>
      <c r="I603" s="13"/>
      <c r="J603" s="13"/>
    </row>
    <row r="604" spans="3:10" x14ac:dyDescent="0.25">
      <c r="C604" s="13"/>
      <c r="D604" s="13"/>
      <c r="E604" s="13"/>
      <c r="F604" s="13"/>
      <c r="G604" s="13"/>
      <c r="H604" s="13"/>
      <c r="I604" s="13"/>
      <c r="J604" s="13"/>
    </row>
    <row r="605" spans="3:10" x14ac:dyDescent="0.25">
      <c r="C605" s="13"/>
      <c r="D605" s="13"/>
      <c r="E605" s="13"/>
      <c r="F605" s="13"/>
      <c r="G605" s="13"/>
      <c r="H605" s="13"/>
      <c r="I605" s="13"/>
      <c r="J605" s="13"/>
    </row>
    <row r="606" spans="3:10" x14ac:dyDescent="0.25">
      <c r="C606" s="13"/>
      <c r="D606" s="13"/>
      <c r="E606" s="13"/>
      <c r="F606" s="13"/>
      <c r="G606" s="13"/>
      <c r="H606" s="13"/>
      <c r="I606" s="13"/>
      <c r="J606" s="13"/>
    </row>
    <row r="607" spans="3:10" x14ac:dyDescent="0.25">
      <c r="C607" s="13"/>
      <c r="D607" s="13"/>
      <c r="E607" s="13"/>
      <c r="F607" s="13"/>
      <c r="G607" s="13"/>
      <c r="H607" s="13"/>
      <c r="I607" s="13"/>
      <c r="J607" s="13"/>
    </row>
    <row r="608" spans="3:10" x14ac:dyDescent="0.25">
      <c r="C608" s="13"/>
      <c r="D608" s="13"/>
      <c r="E608" s="13"/>
      <c r="F608" s="13"/>
      <c r="G608" s="13"/>
      <c r="H608" s="13"/>
      <c r="I608" s="13"/>
      <c r="J608" s="13"/>
    </row>
    <row r="609" spans="3:10" x14ac:dyDescent="0.25">
      <c r="C609" s="13"/>
      <c r="D609" s="13"/>
      <c r="E609" s="13"/>
      <c r="F609" s="13"/>
      <c r="G609" s="13"/>
      <c r="H609" s="13"/>
      <c r="I609" s="13"/>
      <c r="J609" s="13"/>
    </row>
    <row r="610" spans="3:10" x14ac:dyDescent="0.25">
      <c r="C610" s="13"/>
      <c r="D610" s="13"/>
      <c r="E610" s="13"/>
      <c r="F610" s="13"/>
      <c r="G610" s="13"/>
      <c r="H610" s="13"/>
      <c r="I610" s="13"/>
      <c r="J610" s="13"/>
    </row>
    <row r="611" spans="3:10" x14ac:dyDescent="0.25">
      <c r="C611" s="13"/>
      <c r="D611" s="13"/>
      <c r="E611" s="13"/>
      <c r="F611" s="13"/>
      <c r="G611" s="13"/>
      <c r="H611" s="13"/>
      <c r="I611" s="13"/>
      <c r="J611" s="13"/>
    </row>
    <row r="612" spans="3:10" x14ac:dyDescent="0.25">
      <c r="C612" s="13"/>
      <c r="D612" s="13"/>
      <c r="E612" s="13"/>
      <c r="F612" s="13"/>
      <c r="G612" s="13"/>
      <c r="H612" s="13"/>
      <c r="I612" s="13"/>
      <c r="J612" s="13"/>
    </row>
    <row r="613" spans="3:10" x14ac:dyDescent="0.25">
      <c r="C613" s="13"/>
      <c r="D613" s="13"/>
      <c r="E613" s="13"/>
      <c r="F613" s="13"/>
      <c r="G613" s="13"/>
      <c r="H613" s="13"/>
      <c r="I613" s="13"/>
      <c r="J613" s="13"/>
    </row>
    <row r="614" spans="3:10" x14ac:dyDescent="0.25">
      <c r="C614" s="13"/>
      <c r="D614" s="13"/>
      <c r="E614" s="13"/>
      <c r="F614" s="13"/>
      <c r="G614" s="13"/>
      <c r="H614" s="13"/>
      <c r="I614" s="13"/>
      <c r="J614" s="13"/>
    </row>
    <row r="615" spans="3:10" x14ac:dyDescent="0.25">
      <c r="C615" s="13"/>
      <c r="D615" s="13"/>
      <c r="E615" s="13"/>
      <c r="F615" s="13"/>
      <c r="G615" s="13"/>
      <c r="H615" s="13"/>
      <c r="I615" s="13"/>
      <c r="J615" s="13"/>
    </row>
    <row r="616" spans="3:10" x14ac:dyDescent="0.25">
      <c r="C616" s="13"/>
      <c r="D616" s="13"/>
      <c r="E616" s="13"/>
      <c r="F616" s="13"/>
      <c r="G616" s="13"/>
      <c r="H616" s="13"/>
      <c r="I616" s="13"/>
      <c r="J616" s="13"/>
    </row>
    <row r="617" spans="3:10" x14ac:dyDescent="0.25">
      <c r="C617" s="13"/>
      <c r="D617" s="13"/>
      <c r="E617" s="13"/>
      <c r="F617" s="13"/>
      <c r="G617" s="13"/>
      <c r="H617" s="13"/>
      <c r="I617" s="13"/>
      <c r="J617" s="13"/>
    </row>
    <row r="618" spans="3:10" x14ac:dyDescent="0.25">
      <c r="C618" s="13"/>
      <c r="D618" s="13"/>
      <c r="E618" s="13"/>
      <c r="F618" s="13"/>
      <c r="G618" s="13"/>
      <c r="H618" s="13"/>
      <c r="I618" s="13"/>
      <c r="J618" s="13"/>
    </row>
    <row r="619" spans="3:10" x14ac:dyDescent="0.25">
      <c r="C619" s="13"/>
      <c r="D619" s="13"/>
      <c r="E619" s="13"/>
      <c r="F619" s="13"/>
      <c r="G619" s="13"/>
      <c r="H619" s="13"/>
      <c r="I619" s="13"/>
      <c r="J619" s="13"/>
    </row>
    <row r="620" spans="3:10" x14ac:dyDescent="0.25">
      <c r="C620" s="13"/>
      <c r="D620" s="13"/>
      <c r="E620" s="13"/>
      <c r="F620" s="13"/>
      <c r="G620" s="13"/>
      <c r="H620" s="13"/>
      <c r="I620" s="13"/>
      <c r="J620" s="13"/>
    </row>
    <row r="621" spans="3:10" x14ac:dyDescent="0.25">
      <c r="C621" s="13"/>
      <c r="D621" s="13"/>
      <c r="E621" s="13"/>
      <c r="F621" s="13"/>
      <c r="G621" s="13"/>
      <c r="H621" s="13"/>
      <c r="I621" s="13"/>
      <c r="J621" s="13"/>
    </row>
    <row r="622" spans="3:10" x14ac:dyDescent="0.25">
      <c r="C622" s="13"/>
      <c r="D622" s="13"/>
      <c r="E622" s="13"/>
      <c r="F622" s="13"/>
      <c r="G622" s="13"/>
      <c r="H622" s="13"/>
      <c r="I622" s="13"/>
      <c r="J622" s="13"/>
    </row>
    <row r="623" spans="3:10" x14ac:dyDescent="0.25">
      <c r="C623" s="13"/>
      <c r="D623" s="13"/>
      <c r="E623" s="13"/>
      <c r="F623" s="13"/>
      <c r="G623" s="13"/>
      <c r="H623" s="13"/>
      <c r="I623" s="13"/>
      <c r="J623" s="13"/>
    </row>
    <row r="624" spans="3:10" x14ac:dyDescent="0.25">
      <c r="C624" s="13"/>
      <c r="D624" s="13"/>
      <c r="E624" s="13"/>
      <c r="F624" s="13"/>
      <c r="G624" s="13"/>
      <c r="H624" s="13"/>
      <c r="I624" s="13"/>
      <c r="J624" s="13"/>
    </row>
    <row r="625" spans="3:10" x14ac:dyDescent="0.25">
      <c r="C625" s="13"/>
      <c r="D625" s="13"/>
      <c r="E625" s="13"/>
      <c r="F625" s="13"/>
      <c r="G625" s="13"/>
      <c r="H625" s="13"/>
      <c r="I625" s="13"/>
      <c r="J625" s="13"/>
    </row>
    <row r="626" spans="3:10" x14ac:dyDescent="0.25">
      <c r="C626" s="13"/>
      <c r="D626" s="13"/>
      <c r="E626" s="13"/>
      <c r="F626" s="13"/>
      <c r="G626" s="13"/>
      <c r="H626" s="13"/>
      <c r="I626" s="13"/>
      <c r="J626" s="13"/>
    </row>
    <row r="627" spans="3:10" x14ac:dyDescent="0.25">
      <c r="C627" s="13"/>
      <c r="D627" s="13"/>
      <c r="E627" s="13"/>
      <c r="F627" s="13"/>
      <c r="G627" s="13"/>
      <c r="H627" s="13"/>
      <c r="I627" s="13"/>
      <c r="J627" s="13"/>
    </row>
    <row r="628" spans="3:10" x14ac:dyDescent="0.25">
      <c r="C628" s="13"/>
      <c r="D628" s="13"/>
      <c r="E628" s="13"/>
      <c r="F628" s="13"/>
      <c r="G628" s="13"/>
      <c r="H628" s="13"/>
      <c r="I628" s="13"/>
      <c r="J628" s="13"/>
    </row>
    <row r="629" spans="3:10" x14ac:dyDescent="0.25">
      <c r="C629" s="13"/>
      <c r="D629" s="13"/>
      <c r="E629" s="13"/>
      <c r="F629" s="13"/>
      <c r="G629" s="13"/>
      <c r="H629" s="13"/>
      <c r="I629" s="13"/>
      <c r="J629" s="13"/>
    </row>
    <row r="630" spans="3:10" x14ac:dyDescent="0.25">
      <c r="C630" s="13"/>
      <c r="D630" s="13"/>
      <c r="E630" s="13"/>
      <c r="F630" s="13"/>
      <c r="G630" s="13"/>
      <c r="H630" s="13"/>
      <c r="I630" s="13"/>
      <c r="J630" s="13"/>
    </row>
    <row r="631" spans="3:10" x14ac:dyDescent="0.25">
      <c r="C631" s="13"/>
      <c r="D631" s="13"/>
      <c r="E631" s="13"/>
      <c r="F631" s="13"/>
      <c r="G631" s="13"/>
      <c r="H631" s="13"/>
      <c r="I631" s="13"/>
      <c r="J631" s="13"/>
    </row>
    <row r="632" spans="3:10" x14ac:dyDescent="0.25">
      <c r="C632" s="13"/>
      <c r="D632" s="13"/>
      <c r="E632" s="13"/>
      <c r="F632" s="13"/>
      <c r="G632" s="13"/>
      <c r="H632" s="13"/>
      <c r="I632" s="13"/>
      <c r="J632" s="13"/>
    </row>
    <row r="633" spans="3:10" x14ac:dyDescent="0.25">
      <c r="C633" s="13"/>
      <c r="D633" s="13"/>
      <c r="E633" s="13"/>
      <c r="F633" s="13"/>
      <c r="G633" s="13"/>
      <c r="H633" s="13"/>
      <c r="I633" s="13"/>
      <c r="J633" s="13"/>
    </row>
    <row r="634" spans="3:10" x14ac:dyDescent="0.25">
      <c r="C634" s="13"/>
      <c r="D634" s="13"/>
      <c r="E634" s="13"/>
      <c r="F634" s="13"/>
      <c r="G634" s="13"/>
      <c r="H634" s="13"/>
      <c r="I634" s="13"/>
      <c r="J634" s="13"/>
    </row>
    <row r="635" spans="3:10" x14ac:dyDescent="0.25">
      <c r="C635" s="13"/>
      <c r="D635" s="13"/>
      <c r="E635" s="13"/>
      <c r="F635" s="13"/>
      <c r="G635" s="13"/>
      <c r="H635" s="13"/>
      <c r="I635" s="13"/>
      <c r="J635" s="13"/>
    </row>
    <row r="636" spans="3:10" x14ac:dyDescent="0.25">
      <c r="C636" s="13"/>
      <c r="D636" s="13"/>
      <c r="E636" s="13"/>
      <c r="F636" s="13"/>
      <c r="G636" s="13"/>
      <c r="H636" s="13"/>
      <c r="I636" s="13"/>
      <c r="J636" s="13"/>
    </row>
    <row r="637" spans="3:10" x14ac:dyDescent="0.25">
      <c r="C637" s="13"/>
      <c r="D637" s="13"/>
      <c r="E637" s="13"/>
      <c r="F637" s="13"/>
      <c r="G637" s="13"/>
      <c r="H637" s="13"/>
      <c r="I637" s="13"/>
      <c r="J637" s="13"/>
    </row>
    <row r="638" spans="3:10" x14ac:dyDescent="0.25">
      <c r="C638" s="13"/>
      <c r="D638" s="13"/>
      <c r="E638" s="13"/>
      <c r="F638" s="13"/>
      <c r="G638" s="13"/>
      <c r="H638" s="13"/>
      <c r="I638" s="13"/>
      <c r="J638" s="13"/>
    </row>
    <row r="639" spans="3:10" x14ac:dyDescent="0.25">
      <c r="C639" s="13"/>
      <c r="D639" s="13"/>
      <c r="E639" s="13"/>
      <c r="F639" s="13"/>
      <c r="G639" s="13"/>
      <c r="H639" s="13"/>
      <c r="I639" s="13"/>
      <c r="J639" s="13"/>
    </row>
    <row r="640" spans="3:10" x14ac:dyDescent="0.25">
      <c r="C640" s="13"/>
      <c r="D640" s="13"/>
      <c r="E640" s="13"/>
      <c r="F640" s="13"/>
      <c r="G640" s="13"/>
      <c r="H640" s="13"/>
      <c r="I640" s="13"/>
      <c r="J640" s="13"/>
    </row>
    <row r="641" spans="3:10" x14ac:dyDescent="0.25">
      <c r="C641" s="13"/>
      <c r="D641" s="13"/>
      <c r="E641" s="13"/>
      <c r="F641" s="13"/>
      <c r="G641" s="13"/>
      <c r="H641" s="13"/>
      <c r="I641" s="13"/>
      <c r="J641" s="13"/>
    </row>
    <row r="642" spans="3:10" x14ac:dyDescent="0.25">
      <c r="C642" s="13"/>
      <c r="D642" s="13"/>
      <c r="E642" s="13"/>
      <c r="F642" s="13"/>
      <c r="G642" s="13"/>
      <c r="H642" s="13"/>
      <c r="I642" s="13"/>
      <c r="J642" s="13"/>
    </row>
    <row r="643" spans="3:10" x14ac:dyDescent="0.25">
      <c r="C643" s="13"/>
      <c r="D643" s="13"/>
      <c r="E643" s="13"/>
      <c r="F643" s="13"/>
      <c r="G643" s="13"/>
      <c r="H643" s="13"/>
      <c r="I643" s="13"/>
      <c r="J643" s="13"/>
    </row>
    <row r="644" spans="3:10" x14ac:dyDescent="0.25">
      <c r="C644" s="13"/>
      <c r="D644" s="13"/>
      <c r="E644" s="13"/>
      <c r="F644" s="13"/>
      <c r="G644" s="13"/>
      <c r="H644" s="13"/>
      <c r="I644" s="13"/>
      <c r="J644" s="13"/>
    </row>
    <row r="645" spans="3:10" x14ac:dyDescent="0.25">
      <c r="C645" s="13"/>
      <c r="D645" s="13"/>
      <c r="E645" s="13"/>
      <c r="F645" s="13"/>
      <c r="G645" s="13"/>
      <c r="H645" s="13"/>
      <c r="I645" s="13"/>
      <c r="J645" s="13"/>
    </row>
    <row r="646" spans="3:10" x14ac:dyDescent="0.25">
      <c r="C646" s="13"/>
      <c r="D646" s="13"/>
      <c r="E646" s="13"/>
      <c r="F646" s="13"/>
      <c r="G646" s="13"/>
      <c r="H646" s="13"/>
      <c r="I646" s="13"/>
      <c r="J646" s="13"/>
    </row>
    <row r="647" spans="3:10" x14ac:dyDescent="0.25">
      <c r="C647" s="13"/>
      <c r="D647" s="13"/>
      <c r="E647" s="13"/>
      <c r="F647" s="13"/>
      <c r="G647" s="13"/>
      <c r="H647" s="13"/>
      <c r="I647" s="13"/>
      <c r="J647" s="13"/>
    </row>
    <row r="648" spans="3:10" x14ac:dyDescent="0.25">
      <c r="C648" s="13"/>
      <c r="D648" s="13"/>
      <c r="E648" s="13"/>
      <c r="F648" s="13"/>
      <c r="G648" s="13"/>
      <c r="H648" s="13"/>
      <c r="I648" s="13"/>
      <c r="J648" s="13"/>
    </row>
    <row r="649" spans="3:10" x14ac:dyDescent="0.25">
      <c r="C649" s="13"/>
      <c r="D649" s="13"/>
      <c r="E649" s="13"/>
      <c r="F649" s="13"/>
      <c r="G649" s="13"/>
      <c r="H649" s="13"/>
      <c r="I649" s="13"/>
      <c r="J649" s="13"/>
    </row>
    <row r="650" spans="3:10" x14ac:dyDescent="0.25">
      <c r="C650" s="13"/>
      <c r="D650" s="13"/>
      <c r="E650" s="13"/>
      <c r="F650" s="13"/>
      <c r="G650" s="13"/>
      <c r="H650" s="13"/>
      <c r="I650" s="13"/>
      <c r="J650" s="13"/>
    </row>
    <row r="651" spans="3:10" x14ac:dyDescent="0.25">
      <c r="C651" s="13"/>
      <c r="D651" s="13"/>
      <c r="E651" s="13"/>
      <c r="F651" s="13"/>
      <c r="G651" s="13"/>
      <c r="H651" s="13"/>
      <c r="I651" s="13"/>
      <c r="J651" s="13"/>
    </row>
    <row r="652" spans="3:10" x14ac:dyDescent="0.25">
      <c r="C652" s="13"/>
      <c r="D652" s="13"/>
      <c r="E652" s="13"/>
      <c r="F652" s="13"/>
      <c r="G652" s="13"/>
      <c r="H652" s="13"/>
      <c r="I652" s="13"/>
      <c r="J652" s="13"/>
    </row>
    <row r="653" spans="3:10" x14ac:dyDescent="0.25">
      <c r="C653" s="13"/>
      <c r="D653" s="13"/>
      <c r="E653" s="13"/>
      <c r="F653" s="13"/>
      <c r="G653" s="13"/>
      <c r="H653" s="13"/>
      <c r="I653" s="13"/>
      <c r="J653" s="13"/>
    </row>
    <row r="654" spans="3:10" x14ac:dyDescent="0.25">
      <c r="C654" s="13"/>
      <c r="D654" s="13"/>
      <c r="E654" s="13"/>
      <c r="F654" s="13"/>
      <c r="G654" s="13"/>
      <c r="H654" s="13"/>
      <c r="I654" s="13"/>
      <c r="J654" s="13"/>
    </row>
    <row r="655" spans="3:10" x14ac:dyDescent="0.25">
      <c r="C655" s="13"/>
      <c r="D655" s="13"/>
      <c r="E655" s="13"/>
      <c r="F655" s="13"/>
      <c r="G655" s="13"/>
      <c r="H655" s="13"/>
      <c r="I655" s="13"/>
      <c r="J655" s="13"/>
    </row>
    <row r="656" spans="3:10" x14ac:dyDescent="0.25">
      <c r="C656" s="13"/>
      <c r="D656" s="13"/>
      <c r="E656" s="13"/>
      <c r="F656" s="13"/>
      <c r="G656" s="13"/>
      <c r="H656" s="13"/>
      <c r="I656" s="13"/>
      <c r="J656" s="13"/>
    </row>
    <row r="657" spans="3:10" x14ac:dyDescent="0.25">
      <c r="C657" s="13"/>
      <c r="D657" s="13"/>
      <c r="E657" s="13"/>
      <c r="F657" s="13"/>
      <c r="G657" s="13"/>
      <c r="H657" s="13"/>
      <c r="I657" s="13"/>
      <c r="J657" s="13"/>
    </row>
    <row r="658" spans="3:10" x14ac:dyDescent="0.25">
      <c r="C658" s="13"/>
      <c r="D658" s="13"/>
      <c r="E658" s="13"/>
      <c r="F658" s="13"/>
      <c r="G658" s="13"/>
      <c r="H658" s="13"/>
      <c r="I658" s="13"/>
      <c r="J658" s="13"/>
    </row>
    <row r="659" spans="3:10" x14ac:dyDescent="0.25">
      <c r="C659" s="13"/>
      <c r="D659" s="13"/>
      <c r="E659" s="13"/>
      <c r="F659" s="13"/>
      <c r="G659" s="13"/>
      <c r="H659" s="13"/>
      <c r="I659" s="13"/>
      <c r="J659" s="13"/>
    </row>
    <row r="660" spans="3:10" x14ac:dyDescent="0.25">
      <c r="C660" s="13"/>
      <c r="D660" s="13"/>
      <c r="E660" s="13"/>
      <c r="F660" s="13"/>
      <c r="G660" s="13"/>
      <c r="H660" s="13"/>
      <c r="I660" s="13"/>
      <c r="J660" s="13"/>
    </row>
    <row r="661" spans="3:10" x14ac:dyDescent="0.25">
      <c r="C661" s="13"/>
      <c r="D661" s="13"/>
      <c r="E661" s="13"/>
      <c r="F661" s="13"/>
      <c r="G661" s="13"/>
      <c r="H661" s="13"/>
      <c r="I661" s="13"/>
      <c r="J661" s="13"/>
    </row>
    <row r="662" spans="3:10" x14ac:dyDescent="0.25">
      <c r="C662" s="13"/>
      <c r="D662" s="13"/>
      <c r="E662" s="13"/>
      <c r="F662" s="13"/>
      <c r="G662" s="13"/>
      <c r="H662" s="13"/>
      <c r="I662" s="13"/>
      <c r="J662" s="13"/>
    </row>
    <row r="663" spans="3:10" x14ac:dyDescent="0.25">
      <c r="C663" s="13"/>
      <c r="D663" s="13"/>
      <c r="E663" s="13"/>
      <c r="F663" s="13"/>
      <c r="G663" s="13"/>
      <c r="H663" s="13"/>
      <c r="I663" s="13"/>
      <c r="J663" s="13"/>
    </row>
    <row r="664" spans="3:10" x14ac:dyDescent="0.25">
      <c r="C664" s="13"/>
      <c r="D664" s="13"/>
      <c r="E664" s="13"/>
      <c r="F664" s="13"/>
      <c r="G664" s="13"/>
      <c r="H664" s="13"/>
      <c r="I664" s="13"/>
      <c r="J664" s="13"/>
    </row>
    <row r="665" spans="3:10" x14ac:dyDescent="0.25">
      <c r="C665" s="13"/>
      <c r="D665" s="13"/>
      <c r="E665" s="13"/>
      <c r="F665" s="13"/>
      <c r="G665" s="13"/>
      <c r="H665" s="13"/>
      <c r="I665" s="13"/>
      <c r="J665" s="13"/>
    </row>
    <row r="666" spans="3:10" x14ac:dyDescent="0.25">
      <c r="C666" s="13"/>
      <c r="D666" s="13"/>
      <c r="E666" s="13"/>
      <c r="F666" s="13"/>
      <c r="G666" s="13"/>
      <c r="H666" s="13"/>
      <c r="I666" s="13"/>
      <c r="J666" s="13"/>
    </row>
    <row r="667" spans="3:10" x14ac:dyDescent="0.25">
      <c r="C667" s="13"/>
      <c r="D667" s="13"/>
      <c r="E667" s="13"/>
      <c r="F667" s="13"/>
      <c r="G667" s="13"/>
      <c r="H667" s="13"/>
      <c r="I667" s="13"/>
      <c r="J667" s="13"/>
    </row>
    <row r="668" spans="3:10" x14ac:dyDescent="0.25">
      <c r="C668" s="13"/>
      <c r="D668" s="13"/>
      <c r="E668" s="13"/>
      <c r="F668" s="13"/>
      <c r="G668" s="13"/>
      <c r="H668" s="13"/>
      <c r="I668" s="13"/>
      <c r="J668" s="13"/>
    </row>
    <row r="669" spans="3:10" x14ac:dyDescent="0.25">
      <c r="C669" s="13"/>
      <c r="D669" s="13"/>
      <c r="E669" s="13"/>
      <c r="F669" s="13"/>
      <c r="G669" s="13"/>
      <c r="H669" s="13"/>
      <c r="I669" s="13"/>
      <c r="J669" s="13"/>
    </row>
    <row r="670" spans="3:10" x14ac:dyDescent="0.25">
      <c r="C670" s="13"/>
      <c r="D670" s="13"/>
      <c r="E670" s="13"/>
      <c r="F670" s="13"/>
      <c r="G670" s="13"/>
      <c r="H670" s="13"/>
      <c r="I670" s="13"/>
      <c r="J670" s="13"/>
    </row>
    <row r="671" spans="3:10" x14ac:dyDescent="0.25">
      <c r="C671" s="13"/>
      <c r="D671" s="13"/>
      <c r="E671" s="13"/>
      <c r="F671" s="13"/>
      <c r="G671" s="13"/>
      <c r="H671" s="13"/>
      <c r="I671" s="13"/>
      <c r="J671" s="13"/>
    </row>
    <row r="672" spans="3:10" x14ac:dyDescent="0.25">
      <c r="C672" s="13"/>
      <c r="D672" s="13"/>
      <c r="E672" s="13"/>
      <c r="F672" s="13"/>
      <c r="G672" s="13"/>
      <c r="H672" s="13"/>
      <c r="I672" s="13"/>
      <c r="J672" s="13"/>
    </row>
    <row r="673" spans="3:10" x14ac:dyDescent="0.25">
      <c r="C673" s="13"/>
      <c r="D673" s="13"/>
      <c r="E673" s="13"/>
      <c r="F673" s="13"/>
      <c r="G673" s="13"/>
      <c r="H673" s="13"/>
      <c r="I673" s="13"/>
      <c r="J673" s="13"/>
    </row>
    <row r="674" spans="3:10" x14ac:dyDescent="0.25">
      <c r="C674" s="13"/>
      <c r="D674" s="13"/>
      <c r="E674" s="13"/>
      <c r="F674" s="13"/>
      <c r="G674" s="13"/>
      <c r="H674" s="13"/>
      <c r="I674" s="13"/>
      <c r="J674" s="13"/>
    </row>
    <row r="675" spans="3:10" x14ac:dyDescent="0.25">
      <c r="C675" s="13"/>
      <c r="D675" s="13"/>
      <c r="E675" s="13"/>
      <c r="F675" s="13"/>
      <c r="G675" s="13"/>
      <c r="H675" s="13"/>
      <c r="I675" s="13"/>
      <c r="J675" s="13"/>
    </row>
    <row r="676" spans="3:10" x14ac:dyDescent="0.25">
      <c r="C676" s="13"/>
      <c r="D676" s="13"/>
      <c r="E676" s="13"/>
      <c r="F676" s="13"/>
      <c r="G676" s="13"/>
      <c r="H676" s="13"/>
      <c r="I676" s="13"/>
      <c r="J676" s="13"/>
    </row>
    <row r="677" spans="3:10" x14ac:dyDescent="0.25">
      <c r="C677" s="13"/>
      <c r="D677" s="13"/>
      <c r="E677" s="13"/>
      <c r="F677" s="13"/>
      <c r="G677" s="13"/>
      <c r="H677" s="13"/>
      <c r="I677" s="13"/>
      <c r="J677" s="13"/>
    </row>
    <row r="678" spans="3:10" x14ac:dyDescent="0.25">
      <c r="C678" s="13"/>
      <c r="D678" s="13"/>
      <c r="E678" s="13"/>
      <c r="F678" s="13"/>
      <c r="G678" s="13"/>
      <c r="H678" s="13"/>
      <c r="I678" s="13"/>
      <c r="J678" s="13"/>
    </row>
    <row r="679" spans="3:10" x14ac:dyDescent="0.25">
      <c r="C679" s="13"/>
      <c r="D679" s="13"/>
      <c r="E679" s="13"/>
      <c r="F679" s="13"/>
      <c r="G679" s="13"/>
      <c r="H679" s="13"/>
      <c r="I679" s="13"/>
      <c r="J679" s="13"/>
    </row>
    <row r="680" spans="3:10" x14ac:dyDescent="0.25">
      <c r="C680" s="13"/>
      <c r="D680" s="13"/>
      <c r="E680" s="13"/>
      <c r="F680" s="13"/>
      <c r="G680" s="13"/>
      <c r="H680" s="13"/>
      <c r="I680" s="13"/>
      <c r="J680" s="13"/>
    </row>
    <row r="681" spans="3:10" x14ac:dyDescent="0.25">
      <c r="C681" s="13"/>
      <c r="D681" s="13"/>
      <c r="E681" s="13"/>
      <c r="F681" s="13"/>
      <c r="G681" s="13"/>
      <c r="H681" s="13"/>
      <c r="I681" s="13"/>
      <c r="J681" s="13"/>
    </row>
    <row r="682" spans="3:10" x14ac:dyDescent="0.25">
      <c r="C682" s="13"/>
      <c r="D682" s="13"/>
      <c r="E682" s="13"/>
      <c r="F682" s="13"/>
      <c r="G682" s="13"/>
      <c r="H682" s="13"/>
      <c r="I682" s="13"/>
      <c r="J682" s="13"/>
    </row>
    <row r="683" spans="3:10" x14ac:dyDescent="0.25">
      <c r="C683" s="13"/>
      <c r="D683" s="13"/>
      <c r="E683" s="13"/>
      <c r="F683" s="13"/>
      <c r="G683" s="13"/>
      <c r="H683" s="13"/>
      <c r="I683" s="13"/>
      <c r="J683" s="13"/>
    </row>
    <row r="684" spans="3:10" x14ac:dyDescent="0.25">
      <c r="C684" s="13"/>
      <c r="D684" s="13"/>
      <c r="E684" s="13"/>
      <c r="F684" s="13"/>
      <c r="G684" s="13"/>
      <c r="H684" s="13"/>
      <c r="I684" s="13"/>
      <c r="J684" s="13"/>
    </row>
    <row r="685" spans="3:10" x14ac:dyDescent="0.25">
      <c r="C685" s="13"/>
      <c r="D685" s="13"/>
      <c r="E685" s="13"/>
      <c r="F685" s="13"/>
      <c r="G685" s="13"/>
      <c r="H685" s="13"/>
      <c r="I685" s="13"/>
      <c r="J685" s="13"/>
    </row>
    <row r="686" spans="3:10" x14ac:dyDescent="0.25">
      <c r="C686" s="13"/>
      <c r="D686" s="13"/>
      <c r="E686" s="13"/>
      <c r="F686" s="13"/>
      <c r="G686" s="13"/>
      <c r="H686" s="13"/>
      <c r="I686" s="13"/>
      <c r="J686" s="13"/>
    </row>
    <row r="687" spans="3:10" x14ac:dyDescent="0.25">
      <c r="C687" s="13"/>
      <c r="D687" s="13"/>
      <c r="E687" s="13"/>
      <c r="F687" s="13"/>
      <c r="G687" s="13"/>
      <c r="H687" s="13"/>
      <c r="I687" s="13"/>
      <c r="J687" s="13"/>
    </row>
    <row r="688" spans="3:10" x14ac:dyDescent="0.25">
      <c r="C688" s="13"/>
      <c r="D688" s="13"/>
      <c r="E688" s="13"/>
      <c r="F688" s="13"/>
      <c r="G688" s="13"/>
      <c r="H688" s="13"/>
      <c r="I688" s="13"/>
      <c r="J688" s="13"/>
    </row>
    <row r="689" spans="3:10" x14ac:dyDescent="0.25">
      <c r="C689" s="13"/>
      <c r="D689" s="13"/>
      <c r="E689" s="13"/>
      <c r="F689" s="13"/>
      <c r="G689" s="13"/>
      <c r="H689" s="13"/>
      <c r="I689" s="13"/>
      <c r="J689" s="13"/>
    </row>
    <row r="690" spans="3:10" x14ac:dyDescent="0.25">
      <c r="C690" s="13"/>
      <c r="D690" s="13"/>
      <c r="E690" s="13"/>
      <c r="F690" s="13"/>
      <c r="G690" s="13"/>
      <c r="H690" s="13"/>
      <c r="I690" s="13"/>
      <c r="J690" s="13"/>
    </row>
    <row r="691" spans="3:10" x14ac:dyDescent="0.25">
      <c r="C691" s="13"/>
      <c r="D691" s="13"/>
      <c r="E691" s="13"/>
      <c r="F691" s="13"/>
      <c r="G691" s="13"/>
      <c r="H691" s="13"/>
      <c r="I691" s="13"/>
      <c r="J691" s="13"/>
    </row>
    <row r="692" spans="3:10" x14ac:dyDescent="0.25">
      <c r="C692" s="13"/>
      <c r="D692" s="13"/>
      <c r="E692" s="13"/>
      <c r="F692" s="13"/>
      <c r="G692" s="13"/>
      <c r="H692" s="13"/>
      <c r="I692" s="13"/>
      <c r="J692" s="13"/>
    </row>
    <row r="693" spans="3:10" x14ac:dyDescent="0.25">
      <c r="C693" s="13"/>
      <c r="D693" s="13"/>
      <c r="E693" s="13"/>
      <c r="F693" s="13"/>
      <c r="G693" s="13"/>
      <c r="H693" s="13"/>
      <c r="I693" s="13"/>
      <c r="J693" s="13"/>
    </row>
    <row r="694" spans="3:10" x14ac:dyDescent="0.25">
      <c r="C694" s="13"/>
      <c r="D694" s="13"/>
      <c r="E694" s="13"/>
      <c r="F694" s="13"/>
      <c r="G694" s="13"/>
      <c r="H694" s="13"/>
      <c r="I694" s="13"/>
      <c r="J694" s="13"/>
    </row>
    <row r="695" spans="3:10" x14ac:dyDescent="0.25">
      <c r="C695" s="13"/>
      <c r="D695" s="13"/>
      <c r="E695" s="13"/>
      <c r="F695" s="13"/>
      <c r="G695" s="13"/>
      <c r="H695" s="13"/>
      <c r="I695" s="13"/>
      <c r="J695" s="13"/>
    </row>
    <row r="696" spans="3:10" x14ac:dyDescent="0.25">
      <c r="C696" s="13"/>
      <c r="D696" s="13"/>
      <c r="E696" s="13"/>
      <c r="F696" s="13"/>
      <c r="G696" s="13"/>
      <c r="H696" s="13"/>
      <c r="I696" s="13"/>
      <c r="J696" s="13"/>
    </row>
    <row r="697" spans="3:10" x14ac:dyDescent="0.25">
      <c r="C697" s="13"/>
      <c r="D697" s="13"/>
      <c r="E697" s="13"/>
      <c r="F697" s="13"/>
      <c r="G697" s="13"/>
      <c r="H697" s="13"/>
      <c r="I697" s="13"/>
      <c r="J697" s="13"/>
    </row>
    <row r="698" spans="3:10" x14ac:dyDescent="0.25">
      <c r="C698" s="13"/>
      <c r="D698" s="13"/>
      <c r="E698" s="13"/>
      <c r="F698" s="13"/>
      <c r="G698" s="13"/>
      <c r="H698" s="13"/>
      <c r="I698" s="13"/>
      <c r="J698" s="13"/>
    </row>
    <row r="699" spans="3:10" x14ac:dyDescent="0.25">
      <c r="C699" s="13"/>
      <c r="D699" s="13"/>
      <c r="E699" s="13"/>
      <c r="F699" s="13"/>
      <c r="G699" s="13"/>
      <c r="H699" s="13"/>
      <c r="I699" s="13"/>
      <c r="J699" s="13"/>
    </row>
    <row r="700" spans="3:10" x14ac:dyDescent="0.25">
      <c r="C700" s="13"/>
      <c r="D700" s="13"/>
      <c r="E700" s="13"/>
      <c r="F700" s="13"/>
      <c r="G700" s="13"/>
      <c r="H700" s="13"/>
      <c r="I700" s="13"/>
      <c r="J700" s="13"/>
    </row>
    <row r="701" spans="3:10" x14ac:dyDescent="0.25">
      <c r="C701" s="13"/>
      <c r="D701" s="13"/>
      <c r="E701" s="13"/>
      <c r="F701" s="13"/>
      <c r="G701" s="13"/>
      <c r="H701" s="13"/>
      <c r="I701" s="13"/>
      <c r="J701" s="13"/>
    </row>
    <row r="702" spans="3:10" x14ac:dyDescent="0.25">
      <c r="C702" s="13"/>
      <c r="D702" s="13"/>
      <c r="E702" s="13"/>
      <c r="F702" s="13"/>
      <c r="G702" s="13"/>
      <c r="H702" s="13"/>
      <c r="I702" s="13"/>
      <c r="J702" s="13"/>
    </row>
    <row r="703" spans="3:10" x14ac:dyDescent="0.25">
      <c r="C703" s="13"/>
      <c r="D703" s="13"/>
      <c r="E703" s="13"/>
      <c r="F703" s="13"/>
      <c r="G703" s="13"/>
      <c r="H703" s="13"/>
      <c r="I703" s="13"/>
      <c r="J703" s="13"/>
    </row>
    <row r="704" spans="3:10" x14ac:dyDescent="0.25">
      <c r="C704" s="13"/>
      <c r="D704" s="13"/>
      <c r="E704" s="13"/>
      <c r="F704" s="13"/>
      <c r="G704" s="13"/>
      <c r="H704" s="13"/>
      <c r="I704" s="13"/>
      <c r="J704" s="13"/>
    </row>
    <row r="705" spans="3:10" x14ac:dyDescent="0.25">
      <c r="C705" s="13"/>
      <c r="D705" s="13"/>
      <c r="E705" s="13"/>
      <c r="F705" s="13"/>
      <c r="G705" s="13"/>
      <c r="H705" s="13"/>
      <c r="I705" s="13"/>
      <c r="J705" s="13"/>
    </row>
    <row r="706" spans="3:10" x14ac:dyDescent="0.25">
      <c r="C706" s="13"/>
      <c r="D706" s="13"/>
      <c r="E706" s="13"/>
      <c r="F706" s="13"/>
      <c r="G706" s="13"/>
      <c r="H706" s="13"/>
      <c r="I706" s="13"/>
      <c r="J706" s="13"/>
    </row>
    <row r="707" spans="3:10" x14ac:dyDescent="0.25">
      <c r="C707" s="13"/>
      <c r="D707" s="13"/>
      <c r="E707" s="13"/>
      <c r="F707" s="13"/>
      <c r="G707" s="13"/>
      <c r="H707" s="13"/>
      <c r="I707" s="13"/>
      <c r="J707" s="13"/>
    </row>
    <row r="708" spans="3:10" x14ac:dyDescent="0.25">
      <c r="C708" s="13"/>
      <c r="D708" s="13"/>
      <c r="E708" s="13"/>
      <c r="F708" s="13"/>
      <c r="G708" s="13"/>
      <c r="H708" s="13"/>
      <c r="I708" s="13"/>
      <c r="J708" s="13"/>
    </row>
    <row r="709" spans="3:10" x14ac:dyDescent="0.25">
      <c r="C709" s="13"/>
      <c r="D709" s="13"/>
      <c r="E709" s="13"/>
      <c r="F709" s="13"/>
      <c r="G709" s="13"/>
      <c r="H709" s="13"/>
      <c r="I709" s="13"/>
      <c r="J709" s="13"/>
    </row>
    <row r="710" spans="3:10" x14ac:dyDescent="0.25">
      <c r="C710" s="13"/>
      <c r="D710" s="13"/>
      <c r="E710" s="13"/>
      <c r="F710" s="13"/>
      <c r="G710" s="13"/>
      <c r="H710" s="13"/>
      <c r="I710" s="13"/>
      <c r="J710" s="13"/>
    </row>
    <row r="711" spans="3:10" x14ac:dyDescent="0.25">
      <c r="C711" s="13"/>
      <c r="D711" s="13"/>
      <c r="E711" s="13"/>
      <c r="F711" s="13"/>
      <c r="G711" s="13"/>
      <c r="H711" s="13"/>
      <c r="I711" s="13"/>
      <c r="J711" s="13"/>
    </row>
    <row r="712" spans="3:10" x14ac:dyDescent="0.25">
      <c r="C712" s="13"/>
      <c r="D712" s="13"/>
      <c r="E712" s="13"/>
      <c r="F712" s="13"/>
      <c r="G712" s="13"/>
      <c r="H712" s="13"/>
      <c r="I712" s="13"/>
      <c r="J712" s="13"/>
    </row>
    <row r="713" spans="3:10" x14ac:dyDescent="0.25">
      <c r="C713" s="13"/>
      <c r="D713" s="13"/>
      <c r="E713" s="13"/>
      <c r="F713" s="13"/>
      <c r="G713" s="13"/>
      <c r="H713" s="13"/>
      <c r="I713" s="13"/>
      <c r="J713" s="13"/>
    </row>
    <row r="714" spans="3:10" x14ac:dyDescent="0.25">
      <c r="C714" s="13"/>
      <c r="D714" s="13"/>
      <c r="E714" s="13"/>
      <c r="F714" s="13"/>
      <c r="G714" s="13"/>
      <c r="H714" s="13"/>
      <c r="I714" s="13"/>
      <c r="J714" s="13"/>
    </row>
    <row r="715" spans="3:10" x14ac:dyDescent="0.25">
      <c r="C715" s="13"/>
      <c r="D715" s="13"/>
      <c r="E715" s="13"/>
      <c r="F715" s="13"/>
      <c r="G715" s="13"/>
      <c r="H715" s="13"/>
      <c r="I715" s="13"/>
      <c r="J715" s="13"/>
    </row>
    <row r="716" spans="3:10" x14ac:dyDescent="0.25">
      <c r="C716" s="13"/>
      <c r="D716" s="13"/>
      <c r="E716" s="13"/>
      <c r="F716" s="13"/>
      <c r="G716" s="13"/>
      <c r="H716" s="13"/>
      <c r="I716" s="13"/>
      <c r="J716" s="13"/>
    </row>
    <row r="717" spans="3:10" x14ac:dyDescent="0.25">
      <c r="C717" s="13"/>
      <c r="D717" s="13"/>
      <c r="E717" s="13"/>
      <c r="F717" s="13"/>
      <c r="G717" s="13"/>
      <c r="H717" s="13"/>
      <c r="I717" s="13"/>
      <c r="J717" s="13"/>
    </row>
    <row r="718" spans="3:10" x14ac:dyDescent="0.25">
      <c r="C718" s="13"/>
      <c r="D718" s="13"/>
      <c r="E718" s="13"/>
      <c r="F718" s="13"/>
      <c r="G718" s="13"/>
      <c r="H718" s="13"/>
      <c r="I718" s="13"/>
      <c r="J718" s="13"/>
    </row>
    <row r="719" spans="3:10" x14ac:dyDescent="0.25">
      <c r="C719" s="13"/>
      <c r="D719" s="13"/>
      <c r="E719" s="13"/>
      <c r="F719" s="13"/>
      <c r="G719" s="13"/>
      <c r="H719" s="13"/>
      <c r="I719" s="13"/>
      <c r="J719" s="13"/>
    </row>
    <row r="720" spans="3:10" x14ac:dyDescent="0.25">
      <c r="C720" s="13"/>
      <c r="D720" s="13"/>
      <c r="E720" s="13"/>
      <c r="F720" s="13"/>
      <c r="G720" s="13"/>
      <c r="H720" s="13"/>
      <c r="I720" s="13"/>
      <c r="J720" s="13"/>
    </row>
    <row r="721" spans="3:10" x14ac:dyDescent="0.25">
      <c r="C721" s="13"/>
      <c r="D721" s="13"/>
      <c r="E721" s="13"/>
      <c r="F721" s="13"/>
      <c r="G721" s="13"/>
      <c r="H721" s="13"/>
      <c r="I721" s="13"/>
      <c r="J721" s="13"/>
    </row>
    <row r="722" spans="3:10" x14ac:dyDescent="0.25">
      <c r="C722" s="13"/>
      <c r="D722" s="13"/>
      <c r="E722" s="13"/>
      <c r="F722" s="13"/>
      <c r="G722" s="13"/>
      <c r="H722" s="13"/>
      <c r="I722" s="13"/>
      <c r="J722" s="13"/>
    </row>
    <row r="723" spans="3:10" x14ac:dyDescent="0.25">
      <c r="C723" s="13"/>
      <c r="D723" s="13"/>
      <c r="E723" s="13"/>
      <c r="F723" s="13"/>
      <c r="G723" s="13"/>
      <c r="H723" s="13"/>
      <c r="I723" s="13"/>
      <c r="J723" s="13"/>
    </row>
    <row r="724" spans="3:10" x14ac:dyDescent="0.25">
      <c r="C724" s="13"/>
      <c r="D724" s="13"/>
      <c r="E724" s="13"/>
      <c r="F724" s="13"/>
      <c r="G724" s="13"/>
      <c r="H724" s="13"/>
      <c r="I724" s="13"/>
      <c r="J724" s="13"/>
    </row>
    <row r="725" spans="3:10" x14ac:dyDescent="0.25">
      <c r="C725" s="13"/>
      <c r="D725" s="13"/>
      <c r="E725" s="13"/>
      <c r="F725" s="13"/>
      <c r="G725" s="13"/>
      <c r="H725" s="13"/>
      <c r="I725" s="13"/>
      <c r="J725" s="13"/>
    </row>
    <row r="726" spans="3:10" x14ac:dyDescent="0.25">
      <c r="C726" s="13"/>
      <c r="D726" s="13"/>
      <c r="E726" s="13"/>
      <c r="F726" s="13"/>
      <c r="G726" s="13"/>
      <c r="H726" s="13"/>
      <c r="I726" s="13"/>
      <c r="J726" s="13"/>
    </row>
    <row r="727" spans="3:10" x14ac:dyDescent="0.25">
      <c r="C727" s="13"/>
      <c r="D727" s="13"/>
      <c r="E727" s="13"/>
      <c r="F727" s="13"/>
      <c r="G727" s="13"/>
      <c r="H727" s="13"/>
      <c r="I727" s="13"/>
      <c r="J727" s="13"/>
    </row>
    <row r="728" spans="3:10" x14ac:dyDescent="0.25">
      <c r="C728" s="13"/>
      <c r="D728" s="13"/>
      <c r="E728" s="13"/>
      <c r="F728" s="13"/>
      <c r="G728" s="13"/>
      <c r="H728" s="13"/>
      <c r="I728" s="13"/>
      <c r="J728" s="13"/>
    </row>
    <row r="729" spans="3:10" x14ac:dyDescent="0.25">
      <c r="C729" s="13"/>
      <c r="D729" s="13"/>
      <c r="E729" s="13"/>
      <c r="F729" s="13"/>
      <c r="G729" s="13"/>
      <c r="H729" s="13"/>
      <c r="I729" s="13"/>
      <c r="J729" s="13"/>
    </row>
    <row r="730" spans="3:10" x14ac:dyDescent="0.25">
      <c r="C730" s="13"/>
      <c r="D730" s="13"/>
      <c r="E730" s="13"/>
      <c r="F730" s="13"/>
      <c r="G730" s="13"/>
      <c r="H730" s="13"/>
      <c r="I730" s="13"/>
      <c r="J730" s="13"/>
    </row>
    <row r="731" spans="3:10" x14ac:dyDescent="0.25">
      <c r="C731" s="13"/>
      <c r="D731" s="13"/>
      <c r="E731" s="13"/>
      <c r="F731" s="13"/>
      <c r="G731" s="13"/>
      <c r="H731" s="13"/>
      <c r="I731" s="13"/>
      <c r="J731" s="13"/>
    </row>
    <row r="732" spans="3:10" x14ac:dyDescent="0.25">
      <c r="C732" s="13"/>
      <c r="D732" s="13"/>
      <c r="E732" s="13"/>
      <c r="F732" s="13"/>
      <c r="G732" s="13"/>
      <c r="H732" s="13"/>
      <c r="I732" s="13"/>
      <c r="J732" s="13"/>
    </row>
    <row r="733" spans="3:10" x14ac:dyDescent="0.25">
      <c r="C733" s="13"/>
      <c r="D733" s="13"/>
      <c r="E733" s="13"/>
      <c r="F733" s="13"/>
      <c r="G733" s="13"/>
      <c r="H733" s="13"/>
      <c r="I733" s="13"/>
      <c r="J733" s="13"/>
    </row>
    <row r="734" spans="3:10" x14ac:dyDescent="0.25">
      <c r="C734" s="13"/>
      <c r="D734" s="13"/>
      <c r="E734" s="13"/>
      <c r="F734" s="13"/>
      <c r="G734" s="13"/>
      <c r="H734" s="13"/>
      <c r="I734" s="13"/>
      <c r="J734" s="13"/>
    </row>
    <row r="735" spans="3:10" x14ac:dyDescent="0.25">
      <c r="C735" s="13"/>
      <c r="D735" s="13"/>
      <c r="E735" s="13"/>
      <c r="F735" s="13"/>
      <c r="G735" s="13"/>
      <c r="H735" s="13"/>
      <c r="I735" s="13"/>
      <c r="J735" s="13"/>
    </row>
    <row r="736" spans="3:10" x14ac:dyDescent="0.25">
      <c r="C736" s="13"/>
      <c r="D736" s="13"/>
      <c r="E736" s="13"/>
      <c r="F736" s="13"/>
      <c r="G736" s="13"/>
      <c r="H736" s="13"/>
      <c r="I736" s="13"/>
      <c r="J736" s="13"/>
    </row>
    <row r="737" spans="3:10" x14ac:dyDescent="0.25">
      <c r="C737" s="13"/>
      <c r="D737" s="13"/>
      <c r="E737" s="13"/>
      <c r="F737" s="13"/>
      <c r="G737" s="13"/>
      <c r="H737" s="13"/>
      <c r="I737" s="13"/>
      <c r="J737" s="13"/>
    </row>
    <row r="738" spans="3:10" x14ac:dyDescent="0.25">
      <c r="C738" s="13"/>
      <c r="D738" s="13"/>
      <c r="E738" s="13"/>
      <c r="F738" s="13"/>
      <c r="G738" s="13"/>
      <c r="H738" s="13"/>
      <c r="I738" s="13"/>
      <c r="J738" s="13"/>
    </row>
    <row r="739" spans="3:10" x14ac:dyDescent="0.25">
      <c r="C739" s="13"/>
      <c r="D739" s="13"/>
      <c r="E739" s="13"/>
      <c r="F739" s="13"/>
      <c r="G739" s="13"/>
      <c r="H739" s="13"/>
      <c r="I739" s="13"/>
      <c r="J739" s="13"/>
    </row>
    <row r="740" spans="3:10" x14ac:dyDescent="0.25">
      <c r="C740" s="13"/>
      <c r="D740" s="13"/>
      <c r="E740" s="13"/>
      <c r="F740" s="13"/>
      <c r="G740" s="13"/>
      <c r="H740" s="13"/>
      <c r="I740" s="13"/>
      <c r="J740" s="13"/>
    </row>
    <row r="741" spans="3:10" x14ac:dyDescent="0.25">
      <c r="C741" s="13"/>
      <c r="D741" s="13"/>
      <c r="E741" s="13"/>
      <c r="F741" s="13"/>
      <c r="G741" s="13"/>
      <c r="H741" s="13"/>
      <c r="I741" s="13"/>
      <c r="J741" s="13"/>
    </row>
    <row r="742" spans="3:10" x14ac:dyDescent="0.25">
      <c r="C742" s="13"/>
      <c r="D742" s="13"/>
      <c r="E742" s="13"/>
      <c r="F742" s="13"/>
      <c r="G742" s="13"/>
      <c r="H742" s="13"/>
      <c r="I742" s="13"/>
      <c r="J742" s="13"/>
    </row>
    <row r="743" spans="3:10" x14ac:dyDescent="0.25">
      <c r="C743" s="13"/>
      <c r="D743" s="13"/>
      <c r="E743" s="13"/>
      <c r="F743" s="13"/>
      <c r="G743" s="13"/>
      <c r="H743" s="13"/>
      <c r="I743" s="13"/>
      <c r="J743" s="13"/>
    </row>
    <row r="744" spans="3:10" x14ac:dyDescent="0.25">
      <c r="C744" s="13"/>
      <c r="D744" s="13"/>
      <c r="E744" s="13"/>
      <c r="F744" s="13"/>
      <c r="G744" s="13"/>
      <c r="H744" s="13"/>
      <c r="I744" s="13"/>
      <c r="J744" s="13"/>
    </row>
    <row r="745" spans="3:10" x14ac:dyDescent="0.25">
      <c r="C745" s="13"/>
      <c r="D745" s="13"/>
      <c r="E745" s="13"/>
      <c r="F745" s="13"/>
      <c r="G745" s="13"/>
      <c r="H745" s="13"/>
      <c r="I745" s="13"/>
      <c r="J745" s="13"/>
    </row>
    <row r="746" spans="3:10" x14ac:dyDescent="0.25">
      <c r="C746" s="13"/>
      <c r="D746" s="13"/>
      <c r="E746" s="13"/>
      <c r="F746" s="13"/>
      <c r="G746" s="13"/>
      <c r="H746" s="13"/>
      <c r="I746" s="13"/>
      <c r="J746" s="13"/>
    </row>
    <row r="747" spans="3:10" x14ac:dyDescent="0.25">
      <c r="C747" s="13"/>
      <c r="D747" s="13"/>
      <c r="E747" s="13"/>
      <c r="F747" s="13"/>
      <c r="G747" s="13"/>
      <c r="H747" s="13"/>
      <c r="I747" s="13"/>
      <c r="J747" s="13"/>
    </row>
    <row r="748" spans="3:10" x14ac:dyDescent="0.25">
      <c r="C748" s="13"/>
      <c r="D748" s="13"/>
      <c r="E748" s="13"/>
      <c r="F748" s="13"/>
      <c r="G748" s="13"/>
      <c r="H748" s="13"/>
      <c r="I748" s="13"/>
      <c r="J748" s="13"/>
    </row>
    <row r="749" spans="3:10" x14ac:dyDescent="0.25">
      <c r="C749" s="13"/>
      <c r="D749" s="13"/>
      <c r="E749" s="13"/>
      <c r="F749" s="13"/>
      <c r="G749" s="13"/>
      <c r="H749" s="13"/>
      <c r="I749" s="13"/>
      <c r="J749" s="13"/>
    </row>
    <row r="750" spans="3:10" x14ac:dyDescent="0.25">
      <c r="C750" s="13"/>
      <c r="D750" s="13"/>
      <c r="E750" s="13"/>
      <c r="F750" s="13"/>
      <c r="G750" s="13"/>
      <c r="H750" s="13"/>
      <c r="I750" s="13"/>
      <c r="J750" s="13"/>
    </row>
    <row r="751" spans="3:10" x14ac:dyDescent="0.25">
      <c r="C751" s="13"/>
      <c r="D751" s="13"/>
      <c r="E751" s="13"/>
      <c r="F751" s="13"/>
      <c r="G751" s="13"/>
      <c r="H751" s="13"/>
      <c r="I751" s="13"/>
      <c r="J751" s="13"/>
    </row>
    <row r="752" spans="3:10" x14ac:dyDescent="0.25">
      <c r="C752" s="13"/>
      <c r="D752" s="13"/>
      <c r="E752" s="13"/>
      <c r="F752" s="13"/>
      <c r="G752" s="13"/>
      <c r="H752" s="13"/>
      <c r="I752" s="13"/>
      <c r="J752" s="13"/>
    </row>
    <row r="753" spans="3:10" x14ac:dyDescent="0.25">
      <c r="C753" s="13"/>
      <c r="D753" s="13"/>
      <c r="E753" s="13"/>
      <c r="F753" s="13"/>
      <c r="G753" s="13"/>
      <c r="H753" s="13"/>
      <c r="I753" s="13"/>
      <c r="J753" s="13"/>
    </row>
    <row r="754" spans="3:10" x14ac:dyDescent="0.25">
      <c r="C754" s="13"/>
      <c r="D754" s="13"/>
      <c r="E754" s="13"/>
      <c r="F754" s="13"/>
      <c r="G754" s="13"/>
      <c r="H754" s="13"/>
      <c r="I754" s="13"/>
      <c r="J754" s="13"/>
    </row>
    <row r="755" spans="3:10" x14ac:dyDescent="0.25">
      <c r="C755" s="13"/>
      <c r="D755" s="13"/>
      <c r="E755" s="13"/>
      <c r="F755" s="13"/>
      <c r="G755" s="13"/>
      <c r="H755" s="13"/>
      <c r="I755" s="13"/>
      <c r="J755" s="13"/>
    </row>
    <row r="756" spans="3:10" x14ac:dyDescent="0.25">
      <c r="C756" s="13"/>
      <c r="D756" s="13"/>
      <c r="E756" s="13"/>
      <c r="F756" s="13"/>
      <c r="G756" s="13"/>
      <c r="H756" s="13"/>
      <c r="I756" s="13"/>
      <c r="J756" s="13"/>
    </row>
    <row r="757" spans="3:10" x14ac:dyDescent="0.25">
      <c r="C757" s="13"/>
      <c r="D757" s="13"/>
      <c r="E757" s="13"/>
      <c r="F757" s="13"/>
      <c r="G757" s="13"/>
      <c r="H757" s="13"/>
      <c r="I757" s="13"/>
      <c r="J757" s="13"/>
    </row>
    <row r="758" spans="3:10" x14ac:dyDescent="0.25">
      <c r="C758" s="13"/>
      <c r="D758" s="13"/>
      <c r="E758" s="13"/>
      <c r="F758" s="13"/>
      <c r="G758" s="13"/>
      <c r="H758" s="13"/>
      <c r="I758" s="13"/>
      <c r="J758" s="13"/>
    </row>
    <row r="759" spans="3:10" x14ac:dyDescent="0.25">
      <c r="C759" s="13"/>
      <c r="D759" s="13"/>
      <c r="E759" s="13"/>
      <c r="F759" s="13"/>
      <c r="G759" s="13"/>
      <c r="H759" s="13"/>
      <c r="I759" s="13"/>
      <c r="J759" s="13"/>
    </row>
    <row r="760" spans="3:10" x14ac:dyDescent="0.25">
      <c r="C760" s="13"/>
      <c r="D760" s="13"/>
      <c r="E760" s="13"/>
      <c r="F760" s="13"/>
      <c r="G760" s="13"/>
      <c r="H760" s="13"/>
      <c r="I760" s="13"/>
      <c r="J760" s="13"/>
    </row>
    <row r="761" spans="3:10" x14ac:dyDescent="0.25">
      <c r="C761" s="13"/>
      <c r="D761" s="13"/>
      <c r="E761" s="13"/>
      <c r="F761" s="13"/>
      <c r="G761" s="13"/>
      <c r="H761" s="13"/>
      <c r="I761" s="13"/>
      <c r="J761" s="13"/>
    </row>
    <row r="762" spans="3:10" x14ac:dyDescent="0.25">
      <c r="C762" s="13"/>
      <c r="D762" s="13"/>
      <c r="E762" s="13"/>
      <c r="F762" s="13"/>
      <c r="G762" s="13"/>
      <c r="H762" s="13"/>
      <c r="I762" s="13"/>
      <c r="J762" s="13"/>
    </row>
    <row r="763" spans="3:10" x14ac:dyDescent="0.25">
      <c r="C763" s="13"/>
      <c r="D763" s="13"/>
      <c r="E763" s="13"/>
      <c r="F763" s="13"/>
      <c r="G763" s="13"/>
      <c r="H763" s="13"/>
      <c r="I763" s="13"/>
      <c r="J763" s="13"/>
    </row>
    <row r="764" spans="3:10" x14ac:dyDescent="0.25">
      <c r="C764" s="13"/>
      <c r="D764" s="13"/>
      <c r="E764" s="13"/>
      <c r="F764" s="13"/>
      <c r="G764" s="13"/>
      <c r="H764" s="13"/>
      <c r="I764" s="13"/>
      <c r="J764" s="13"/>
    </row>
    <row r="765" spans="3:10" x14ac:dyDescent="0.25">
      <c r="C765" s="13"/>
      <c r="D765" s="13"/>
      <c r="E765" s="13"/>
      <c r="F765" s="13"/>
      <c r="G765" s="13"/>
      <c r="H765" s="13"/>
      <c r="I765" s="13"/>
      <c r="J765" s="13"/>
    </row>
    <row r="766" spans="3:10" x14ac:dyDescent="0.25">
      <c r="C766" s="13"/>
      <c r="D766" s="13"/>
      <c r="E766" s="13"/>
      <c r="F766" s="13"/>
      <c r="G766" s="13"/>
      <c r="H766" s="13"/>
      <c r="I766" s="13"/>
      <c r="J766" s="13"/>
    </row>
    <row r="767" spans="3:10" x14ac:dyDescent="0.25">
      <c r="C767" s="13"/>
      <c r="D767" s="13"/>
      <c r="E767" s="13"/>
      <c r="F767" s="13"/>
      <c r="G767" s="13"/>
      <c r="H767" s="13"/>
      <c r="I767" s="13"/>
      <c r="J767" s="13"/>
    </row>
    <row r="768" spans="3:10" x14ac:dyDescent="0.25">
      <c r="C768" s="13"/>
      <c r="D768" s="13"/>
      <c r="E768" s="13"/>
      <c r="F768" s="13"/>
      <c r="G768" s="13"/>
      <c r="H768" s="13"/>
      <c r="I768" s="13"/>
      <c r="J768" s="13"/>
    </row>
    <row r="769" spans="3:10" x14ac:dyDescent="0.25">
      <c r="C769" s="13"/>
      <c r="D769" s="13"/>
      <c r="E769" s="13"/>
      <c r="F769" s="13"/>
      <c r="G769" s="13"/>
      <c r="H769" s="13"/>
      <c r="I769" s="13"/>
      <c r="J769" s="13"/>
    </row>
    <row r="770" spans="3:10" x14ac:dyDescent="0.25">
      <c r="C770" s="13"/>
      <c r="D770" s="13"/>
      <c r="E770" s="13"/>
      <c r="F770" s="13"/>
      <c r="G770" s="13"/>
      <c r="H770" s="13"/>
      <c r="I770" s="13"/>
      <c r="J770" s="13"/>
    </row>
    <row r="771" spans="3:10" x14ac:dyDescent="0.25">
      <c r="C771" s="13"/>
      <c r="D771" s="13"/>
      <c r="E771" s="13"/>
      <c r="F771" s="13"/>
      <c r="G771" s="13"/>
      <c r="H771" s="13"/>
      <c r="I771" s="13"/>
      <c r="J771" s="13"/>
    </row>
    <row r="772" spans="3:10" x14ac:dyDescent="0.25">
      <c r="C772" s="13"/>
      <c r="D772" s="13"/>
      <c r="E772" s="13"/>
      <c r="F772" s="13"/>
      <c r="G772" s="13"/>
      <c r="H772" s="13"/>
      <c r="I772" s="13"/>
      <c r="J772" s="13"/>
    </row>
    <row r="773" spans="3:10" x14ac:dyDescent="0.25">
      <c r="C773" s="13"/>
      <c r="D773" s="13"/>
      <c r="E773" s="13"/>
      <c r="F773" s="13"/>
      <c r="G773" s="13"/>
      <c r="H773" s="13"/>
      <c r="I773" s="13"/>
      <c r="J773" s="13"/>
    </row>
    <row r="774" spans="3:10" x14ac:dyDescent="0.25">
      <c r="C774" s="13"/>
      <c r="D774" s="13"/>
      <c r="E774" s="13"/>
      <c r="F774" s="13"/>
      <c r="G774" s="13"/>
      <c r="H774" s="13"/>
      <c r="I774" s="13"/>
      <c r="J774" s="13"/>
    </row>
    <row r="775" spans="3:10" x14ac:dyDescent="0.25">
      <c r="C775" s="13"/>
      <c r="D775" s="13"/>
      <c r="E775" s="13"/>
      <c r="F775" s="13"/>
      <c r="G775" s="13"/>
      <c r="H775" s="13"/>
      <c r="I775" s="13"/>
      <c r="J775" s="13"/>
    </row>
    <row r="776" spans="3:10" x14ac:dyDescent="0.25">
      <c r="C776" s="13"/>
      <c r="D776" s="13"/>
      <c r="E776" s="13"/>
      <c r="F776" s="13"/>
      <c r="G776" s="13"/>
      <c r="H776" s="13"/>
      <c r="I776" s="13"/>
      <c r="J776" s="13"/>
    </row>
    <row r="777" spans="3:10" x14ac:dyDescent="0.25">
      <c r="C777" s="13"/>
      <c r="D777" s="13"/>
      <c r="E777" s="13"/>
      <c r="F777" s="13"/>
      <c r="G777" s="13"/>
      <c r="H777" s="13"/>
      <c r="I777" s="13"/>
      <c r="J777" s="13"/>
    </row>
    <row r="778" spans="3:10" x14ac:dyDescent="0.25">
      <c r="C778" s="13"/>
      <c r="D778" s="13"/>
      <c r="E778" s="13"/>
      <c r="F778" s="13"/>
      <c r="G778" s="13"/>
      <c r="H778" s="13"/>
      <c r="I778" s="13"/>
      <c r="J778" s="13"/>
    </row>
    <row r="779" spans="3:10" x14ac:dyDescent="0.25">
      <c r="C779" s="13"/>
      <c r="D779" s="13"/>
      <c r="E779" s="13"/>
      <c r="F779" s="13"/>
      <c r="G779" s="13"/>
      <c r="H779" s="13"/>
      <c r="I779" s="13"/>
      <c r="J779" s="13"/>
    </row>
    <row r="780" spans="3:10" x14ac:dyDescent="0.25">
      <c r="C780" s="13"/>
      <c r="D780" s="13"/>
      <c r="E780" s="13"/>
      <c r="F780" s="13"/>
      <c r="G780" s="13"/>
      <c r="H780" s="13"/>
      <c r="I780" s="13"/>
      <c r="J780" s="13"/>
    </row>
    <row r="781" spans="3:10" x14ac:dyDescent="0.25">
      <c r="C781" s="13"/>
      <c r="D781" s="13"/>
      <c r="E781" s="13"/>
      <c r="F781" s="13"/>
      <c r="G781" s="13"/>
      <c r="H781" s="13"/>
      <c r="I781" s="13"/>
      <c r="J781" s="13"/>
    </row>
    <row r="782" spans="3:10" x14ac:dyDescent="0.25">
      <c r="C782" s="13"/>
      <c r="D782" s="13"/>
      <c r="E782" s="13"/>
      <c r="F782" s="13"/>
      <c r="G782" s="13"/>
      <c r="H782" s="13"/>
      <c r="I782" s="13"/>
      <c r="J782" s="13"/>
    </row>
    <row r="783" spans="3:10" x14ac:dyDescent="0.25">
      <c r="C783" s="13"/>
      <c r="D783" s="13"/>
      <c r="E783" s="13"/>
      <c r="F783" s="13"/>
      <c r="G783" s="13"/>
      <c r="H783" s="13"/>
      <c r="I783" s="13"/>
      <c r="J783" s="13"/>
    </row>
    <row r="784" spans="3:10" x14ac:dyDescent="0.25">
      <c r="C784" s="13"/>
      <c r="D784" s="13"/>
      <c r="E784" s="13"/>
      <c r="F784" s="13"/>
      <c r="G784" s="13"/>
      <c r="H784" s="13"/>
      <c r="I784" s="13"/>
      <c r="J784" s="13"/>
    </row>
    <row r="785" spans="3:10" x14ac:dyDescent="0.25">
      <c r="C785" s="13"/>
      <c r="D785" s="13"/>
      <c r="E785" s="13"/>
      <c r="F785" s="13"/>
      <c r="G785" s="13"/>
      <c r="H785" s="13"/>
      <c r="I785" s="13"/>
      <c r="J785" s="13"/>
    </row>
    <row r="786" spans="3:10" x14ac:dyDescent="0.25">
      <c r="C786" s="13"/>
      <c r="D786" s="13"/>
      <c r="E786" s="13"/>
      <c r="F786" s="13"/>
      <c r="G786" s="13"/>
      <c r="H786" s="13"/>
      <c r="I786" s="13"/>
      <c r="J786" s="13"/>
    </row>
    <row r="787" spans="3:10" x14ac:dyDescent="0.25">
      <c r="C787" s="13"/>
      <c r="D787" s="13"/>
      <c r="E787" s="13"/>
      <c r="F787" s="13"/>
      <c r="G787" s="13"/>
      <c r="H787" s="13"/>
      <c r="I787" s="13"/>
      <c r="J787" s="13"/>
    </row>
    <row r="788" spans="3:10" x14ac:dyDescent="0.25">
      <c r="C788" s="13"/>
      <c r="D788" s="13"/>
      <c r="E788" s="13"/>
      <c r="F788" s="13"/>
      <c r="G788" s="13"/>
      <c r="H788" s="13"/>
      <c r="I788" s="13"/>
      <c r="J788" s="13"/>
    </row>
    <row r="789" spans="3:10" x14ac:dyDescent="0.25">
      <c r="C789" s="13"/>
      <c r="D789" s="13"/>
      <c r="E789" s="13"/>
      <c r="F789" s="13"/>
      <c r="G789" s="13"/>
      <c r="H789" s="13"/>
      <c r="I789" s="13"/>
      <c r="J789" s="13"/>
    </row>
    <row r="790" spans="3:10" x14ac:dyDescent="0.25">
      <c r="C790" s="13"/>
      <c r="D790" s="13"/>
      <c r="E790" s="13"/>
      <c r="F790" s="13"/>
      <c r="G790" s="13"/>
      <c r="H790" s="13"/>
      <c r="I790" s="13"/>
      <c r="J790" s="13"/>
    </row>
    <row r="791" spans="3:10" x14ac:dyDescent="0.25">
      <c r="C791" s="13"/>
      <c r="D791" s="13"/>
      <c r="E791" s="13"/>
      <c r="F791" s="13"/>
      <c r="G791" s="13"/>
      <c r="H791" s="13"/>
      <c r="I791" s="13"/>
      <c r="J791" s="13"/>
    </row>
    <row r="792" spans="3:10" x14ac:dyDescent="0.25">
      <c r="C792" s="13"/>
      <c r="D792" s="13"/>
      <c r="E792" s="13"/>
      <c r="F792" s="13"/>
      <c r="G792" s="13"/>
      <c r="H792" s="13"/>
      <c r="I792" s="13"/>
      <c r="J792" s="13"/>
    </row>
    <row r="793" spans="3:10" x14ac:dyDescent="0.25">
      <c r="C793" s="13"/>
      <c r="D793" s="13"/>
      <c r="E793" s="13"/>
      <c r="F793" s="13"/>
      <c r="G793" s="13"/>
      <c r="H793" s="13"/>
      <c r="I793" s="13"/>
      <c r="J793" s="13"/>
    </row>
    <row r="794" spans="3:10" x14ac:dyDescent="0.25">
      <c r="C794" s="13"/>
      <c r="D794" s="13"/>
      <c r="E794" s="13"/>
      <c r="F794" s="13"/>
      <c r="G794" s="13"/>
      <c r="H794" s="13"/>
      <c r="I794" s="13"/>
      <c r="J794" s="13"/>
    </row>
    <row r="795" spans="3:10" x14ac:dyDescent="0.25">
      <c r="C795" s="13"/>
      <c r="D795" s="13"/>
      <c r="E795" s="13"/>
      <c r="F795" s="13"/>
      <c r="G795" s="13"/>
      <c r="H795" s="13"/>
      <c r="I795" s="13"/>
      <c r="J795" s="13"/>
    </row>
    <row r="796" spans="3:10" x14ac:dyDescent="0.25">
      <c r="C796" s="13"/>
      <c r="D796" s="13"/>
      <c r="E796" s="13"/>
      <c r="F796" s="13"/>
      <c r="G796" s="13"/>
      <c r="H796" s="13"/>
      <c r="I796" s="13"/>
      <c r="J796" s="13"/>
    </row>
    <row r="797" spans="3:10" x14ac:dyDescent="0.25">
      <c r="C797" s="13"/>
      <c r="D797" s="13"/>
      <c r="E797" s="13"/>
      <c r="F797" s="13"/>
      <c r="G797" s="13"/>
      <c r="H797" s="13"/>
      <c r="I797" s="13"/>
      <c r="J797" s="13"/>
    </row>
    <row r="798" spans="3:10" x14ac:dyDescent="0.25">
      <c r="C798" s="13"/>
      <c r="D798" s="13"/>
      <c r="E798" s="13"/>
      <c r="F798" s="13"/>
      <c r="G798" s="13"/>
      <c r="H798" s="13"/>
      <c r="I798" s="13"/>
      <c r="J798" s="13"/>
    </row>
    <row r="799" spans="3:10" x14ac:dyDescent="0.25">
      <c r="C799" s="13"/>
      <c r="D799" s="13"/>
      <c r="E799" s="13"/>
      <c r="F799" s="13"/>
      <c r="G799" s="13"/>
      <c r="H799" s="13"/>
      <c r="I799" s="13"/>
      <c r="J799" s="13"/>
    </row>
    <row r="800" spans="3:10" x14ac:dyDescent="0.25">
      <c r="C800" s="13"/>
      <c r="D800" s="13"/>
      <c r="E800" s="13"/>
      <c r="F800" s="13"/>
      <c r="G800" s="13"/>
      <c r="H800" s="13"/>
      <c r="I800" s="13"/>
      <c r="J800" s="13"/>
    </row>
    <row r="801" spans="3:10" x14ac:dyDescent="0.25">
      <c r="C801" s="13"/>
      <c r="D801" s="13"/>
      <c r="E801" s="13"/>
      <c r="F801" s="13"/>
      <c r="G801" s="13"/>
      <c r="H801" s="13"/>
      <c r="I801" s="13"/>
      <c r="J801" s="13"/>
    </row>
    <row r="802" spans="3:10" x14ac:dyDescent="0.25">
      <c r="C802" s="13"/>
      <c r="D802" s="13"/>
      <c r="E802" s="13"/>
      <c r="F802" s="13"/>
      <c r="G802" s="13"/>
      <c r="H802" s="13"/>
      <c r="I802" s="13"/>
      <c r="J802" s="13"/>
    </row>
    <row r="803" spans="3:10" x14ac:dyDescent="0.25">
      <c r="C803" s="13"/>
      <c r="D803" s="13"/>
      <c r="E803" s="13"/>
      <c r="F803" s="13"/>
      <c r="G803" s="13"/>
      <c r="H803" s="13"/>
      <c r="I803" s="13"/>
      <c r="J803" s="13"/>
    </row>
    <row r="804" spans="3:10" x14ac:dyDescent="0.25">
      <c r="C804" s="13"/>
      <c r="D804" s="13"/>
      <c r="E804" s="13"/>
      <c r="F804" s="13"/>
      <c r="G804" s="13"/>
      <c r="H804" s="13"/>
      <c r="I804" s="13"/>
      <c r="J804" s="13"/>
    </row>
    <row r="805" spans="3:10" x14ac:dyDescent="0.25">
      <c r="C805" s="13"/>
      <c r="D805" s="13"/>
      <c r="E805" s="13"/>
      <c r="F805" s="13"/>
      <c r="G805" s="13"/>
      <c r="H805" s="13"/>
      <c r="I805" s="13"/>
      <c r="J805" s="13"/>
    </row>
    <row r="806" spans="3:10" x14ac:dyDescent="0.25">
      <c r="C806" s="13"/>
      <c r="D806" s="13"/>
      <c r="E806" s="13"/>
      <c r="F806" s="13"/>
      <c r="G806" s="13"/>
      <c r="H806" s="13"/>
      <c r="I806" s="13"/>
      <c r="J806" s="13"/>
    </row>
    <row r="807" spans="3:10" x14ac:dyDescent="0.25">
      <c r="C807" s="13"/>
      <c r="D807" s="13"/>
      <c r="E807" s="13"/>
      <c r="F807" s="13"/>
      <c r="G807" s="13"/>
      <c r="H807" s="13"/>
      <c r="I807" s="13"/>
      <c r="J807" s="13"/>
    </row>
    <row r="808" spans="3:10" x14ac:dyDescent="0.25">
      <c r="C808" s="13"/>
      <c r="D808" s="13"/>
      <c r="E808" s="13"/>
      <c r="F808" s="13"/>
      <c r="G808" s="13"/>
      <c r="H808" s="13"/>
      <c r="I808" s="13"/>
      <c r="J808" s="13"/>
    </row>
    <row r="809" spans="3:10" x14ac:dyDescent="0.25">
      <c r="C809" s="13"/>
      <c r="D809" s="13"/>
      <c r="E809" s="13"/>
      <c r="F809" s="13"/>
      <c r="G809" s="13"/>
      <c r="H809" s="13"/>
      <c r="I809" s="13"/>
      <c r="J809" s="13"/>
    </row>
    <row r="810" spans="3:10" x14ac:dyDescent="0.25">
      <c r="C810" s="13"/>
      <c r="D810" s="13"/>
      <c r="E810" s="13"/>
      <c r="F810" s="13"/>
      <c r="G810" s="13"/>
      <c r="H810" s="13"/>
      <c r="I810" s="13"/>
      <c r="J810" s="13"/>
    </row>
    <row r="811" spans="3:10" x14ac:dyDescent="0.25">
      <c r="C811" s="13"/>
      <c r="D811" s="13"/>
      <c r="E811" s="13"/>
      <c r="F811" s="13"/>
      <c r="G811" s="13"/>
      <c r="H811" s="13"/>
      <c r="I811" s="13"/>
      <c r="J811" s="13"/>
    </row>
    <row r="812" spans="3:10" x14ac:dyDescent="0.25">
      <c r="C812" s="13"/>
      <c r="D812" s="13"/>
      <c r="E812" s="13"/>
      <c r="F812" s="13"/>
      <c r="G812" s="13"/>
      <c r="H812" s="13"/>
      <c r="I812" s="13"/>
      <c r="J812" s="13"/>
    </row>
    <row r="813" spans="3:10" x14ac:dyDescent="0.25">
      <c r="C813" s="13"/>
      <c r="D813" s="13"/>
      <c r="E813" s="13"/>
      <c r="F813" s="13"/>
      <c r="G813" s="13"/>
      <c r="H813" s="13"/>
      <c r="I813" s="13"/>
      <c r="J813" s="13"/>
    </row>
    <row r="814" spans="3:10" x14ac:dyDescent="0.25">
      <c r="C814" s="13"/>
      <c r="D814" s="13"/>
      <c r="E814" s="13"/>
      <c r="F814" s="13"/>
      <c r="G814" s="13"/>
      <c r="H814" s="13"/>
      <c r="I814" s="13"/>
      <c r="J814" s="13"/>
    </row>
    <row r="815" spans="3:10" x14ac:dyDescent="0.25">
      <c r="C815" s="13"/>
      <c r="D815" s="13"/>
      <c r="E815" s="13"/>
      <c r="F815" s="13"/>
      <c r="G815" s="13"/>
      <c r="H815" s="13"/>
      <c r="I815" s="13"/>
      <c r="J815" s="13"/>
    </row>
    <row r="816" spans="3:10" x14ac:dyDescent="0.25">
      <c r="C816" s="13"/>
      <c r="D816" s="13"/>
      <c r="E816" s="13"/>
      <c r="F816" s="13"/>
      <c r="G816" s="13"/>
      <c r="H816" s="13"/>
      <c r="I816" s="13"/>
      <c r="J816" s="13"/>
    </row>
    <row r="817" spans="3:10" x14ac:dyDescent="0.25">
      <c r="C817" s="13"/>
      <c r="D817" s="13"/>
      <c r="E817" s="13"/>
      <c r="F817" s="13"/>
      <c r="G817" s="13"/>
      <c r="H817" s="13"/>
      <c r="I817" s="13"/>
      <c r="J817" s="13"/>
    </row>
    <row r="818" spans="3:10" x14ac:dyDescent="0.25">
      <c r="C818" s="13"/>
      <c r="D818" s="13"/>
      <c r="E818" s="13"/>
      <c r="F818" s="13"/>
      <c r="G818" s="13"/>
      <c r="H818" s="13"/>
      <c r="I818" s="13"/>
      <c r="J818" s="13"/>
    </row>
    <row r="819" spans="3:10" x14ac:dyDescent="0.25">
      <c r="C819" s="13"/>
      <c r="D819" s="13"/>
      <c r="E819" s="13"/>
      <c r="F819" s="13"/>
      <c r="G819" s="13"/>
      <c r="H819" s="13"/>
      <c r="I819" s="13"/>
      <c r="J819" s="13"/>
    </row>
    <row r="820" spans="3:10" x14ac:dyDescent="0.25">
      <c r="C820" s="13"/>
      <c r="D820" s="13"/>
      <c r="E820" s="13"/>
      <c r="F820" s="13"/>
      <c r="G820" s="13"/>
      <c r="H820" s="13"/>
      <c r="I820" s="13"/>
      <c r="J820" s="13"/>
    </row>
    <row r="821" spans="3:10" x14ac:dyDescent="0.25">
      <c r="C821" s="13"/>
      <c r="D821" s="13"/>
      <c r="E821" s="13"/>
      <c r="F821" s="13"/>
      <c r="G821" s="13"/>
      <c r="H821" s="13"/>
      <c r="I821" s="13"/>
      <c r="J821" s="13"/>
    </row>
    <row r="822" spans="3:10" x14ac:dyDescent="0.25">
      <c r="C822" s="13"/>
      <c r="D822" s="13"/>
      <c r="E822" s="13"/>
      <c r="F822" s="13"/>
      <c r="G822" s="13"/>
      <c r="H822" s="13"/>
      <c r="I822" s="13"/>
      <c r="J822" s="13"/>
    </row>
    <row r="823" spans="3:10" x14ac:dyDescent="0.25">
      <c r="C823" s="13"/>
      <c r="D823" s="13"/>
      <c r="E823" s="13"/>
      <c r="F823" s="13"/>
      <c r="G823" s="13"/>
      <c r="H823" s="13"/>
      <c r="I823" s="13"/>
      <c r="J823" s="13"/>
    </row>
    <row r="824" spans="3:10" x14ac:dyDescent="0.25">
      <c r="C824" s="13"/>
      <c r="D824" s="13"/>
      <c r="E824" s="13"/>
      <c r="F824" s="13"/>
      <c r="G824" s="13"/>
      <c r="H824" s="13"/>
      <c r="I824" s="13"/>
      <c r="J824" s="13"/>
    </row>
    <row r="825" spans="3:10" x14ac:dyDescent="0.25">
      <c r="C825" s="13"/>
      <c r="D825" s="13"/>
      <c r="E825" s="13"/>
      <c r="F825" s="13"/>
      <c r="G825" s="13"/>
      <c r="H825" s="13"/>
      <c r="I825" s="13"/>
      <c r="J825" s="13"/>
    </row>
    <row r="826" spans="3:10" x14ac:dyDescent="0.25">
      <c r="C826" s="13"/>
      <c r="D826" s="13"/>
      <c r="E826" s="13"/>
      <c r="F826" s="13"/>
      <c r="G826" s="13"/>
      <c r="H826" s="13"/>
      <c r="I826" s="13"/>
      <c r="J826" s="13"/>
    </row>
    <row r="827" spans="3:10" x14ac:dyDescent="0.25">
      <c r="C827" s="13"/>
      <c r="D827" s="13"/>
      <c r="E827" s="13"/>
      <c r="F827" s="13"/>
      <c r="G827" s="13"/>
      <c r="H827" s="13"/>
      <c r="I827" s="13"/>
      <c r="J827" s="13"/>
    </row>
    <row r="828" spans="3:10" x14ac:dyDescent="0.25">
      <c r="C828" s="13"/>
      <c r="D828" s="13"/>
      <c r="E828" s="13"/>
      <c r="F828" s="13"/>
      <c r="G828" s="13"/>
      <c r="H828" s="13"/>
      <c r="I828" s="13"/>
      <c r="J828" s="13"/>
    </row>
    <row r="829" spans="3:10" x14ac:dyDescent="0.25">
      <c r="C829" s="13"/>
      <c r="D829" s="13"/>
      <c r="E829" s="13"/>
      <c r="F829" s="13"/>
      <c r="G829" s="13"/>
      <c r="H829" s="13"/>
      <c r="I829" s="13"/>
      <c r="J829" s="13"/>
    </row>
    <row r="830" spans="3:10" x14ac:dyDescent="0.25">
      <c r="C830" s="13"/>
      <c r="D830" s="13"/>
      <c r="E830" s="13"/>
      <c r="F830" s="13"/>
      <c r="G830" s="13"/>
      <c r="H830" s="13"/>
      <c r="I830" s="13"/>
      <c r="J830" s="13"/>
    </row>
    <row r="831" spans="3:10" x14ac:dyDescent="0.25">
      <c r="C831" s="13"/>
      <c r="D831" s="13"/>
      <c r="E831" s="13"/>
      <c r="F831" s="13"/>
      <c r="G831" s="13"/>
      <c r="H831" s="13"/>
      <c r="I831" s="13"/>
      <c r="J831" s="13"/>
    </row>
    <row r="832" spans="3:10" x14ac:dyDescent="0.25">
      <c r="C832" s="13"/>
      <c r="D832" s="13"/>
      <c r="E832" s="13"/>
      <c r="F832" s="13"/>
      <c r="G832" s="13"/>
      <c r="H832" s="13"/>
      <c r="I832" s="13"/>
      <c r="J832" s="13"/>
    </row>
    <row r="833" spans="3:10" x14ac:dyDescent="0.25">
      <c r="C833" s="13"/>
      <c r="D833" s="13"/>
      <c r="E833" s="13"/>
      <c r="F833" s="13"/>
      <c r="G833" s="13"/>
      <c r="H833" s="13"/>
      <c r="I833" s="13"/>
      <c r="J833" s="13"/>
    </row>
    <row r="834" spans="3:10" x14ac:dyDescent="0.25">
      <c r="C834" s="13"/>
      <c r="D834" s="13"/>
      <c r="E834" s="13"/>
      <c r="F834" s="13"/>
      <c r="G834" s="13"/>
      <c r="H834" s="13"/>
      <c r="I834" s="13"/>
      <c r="J834" s="13"/>
    </row>
    <row r="835" spans="3:10" x14ac:dyDescent="0.25">
      <c r="C835" s="13"/>
      <c r="D835" s="13"/>
      <c r="E835" s="13"/>
      <c r="F835" s="13"/>
      <c r="G835" s="13"/>
      <c r="H835" s="13"/>
      <c r="I835" s="13"/>
      <c r="J835" s="13"/>
    </row>
    <row r="836" spans="3:10" x14ac:dyDescent="0.25">
      <c r="C836" s="13"/>
      <c r="D836" s="13"/>
      <c r="E836" s="13"/>
      <c r="F836" s="13"/>
      <c r="G836" s="13"/>
      <c r="H836" s="13"/>
      <c r="I836" s="13"/>
      <c r="J836" s="13"/>
    </row>
    <row r="837" spans="3:10" x14ac:dyDescent="0.25">
      <c r="C837" s="13"/>
      <c r="D837" s="13"/>
      <c r="E837" s="13"/>
      <c r="F837" s="13"/>
      <c r="G837" s="13"/>
      <c r="H837" s="13"/>
      <c r="I837" s="13"/>
      <c r="J837" s="13"/>
    </row>
    <row r="838" spans="3:10" x14ac:dyDescent="0.25">
      <c r="C838" s="13"/>
      <c r="D838" s="13"/>
      <c r="E838" s="13"/>
      <c r="F838" s="13"/>
      <c r="G838" s="13"/>
      <c r="H838" s="13"/>
      <c r="I838" s="13"/>
      <c r="J838" s="13"/>
    </row>
    <row r="839" spans="3:10" x14ac:dyDescent="0.25">
      <c r="C839" s="13"/>
      <c r="D839" s="13"/>
      <c r="E839" s="13"/>
      <c r="F839" s="13"/>
      <c r="G839" s="13"/>
      <c r="H839" s="13"/>
      <c r="I839" s="13"/>
      <c r="J839" s="13"/>
    </row>
    <row r="840" spans="3:10" x14ac:dyDescent="0.25">
      <c r="C840" s="13"/>
      <c r="D840" s="13"/>
      <c r="E840" s="13"/>
      <c r="F840" s="13"/>
      <c r="G840" s="13"/>
      <c r="H840" s="13"/>
      <c r="I840" s="13"/>
      <c r="J840" s="13"/>
    </row>
    <row r="841" spans="3:10" x14ac:dyDescent="0.25">
      <c r="C841" s="13"/>
      <c r="D841" s="13"/>
      <c r="E841" s="13"/>
      <c r="F841" s="13"/>
      <c r="G841" s="13"/>
      <c r="H841" s="13"/>
      <c r="I841" s="13"/>
      <c r="J841" s="13"/>
    </row>
    <row r="842" spans="3:10" x14ac:dyDescent="0.25">
      <c r="C842" s="13"/>
      <c r="D842" s="13"/>
      <c r="E842" s="13"/>
      <c r="F842" s="13"/>
      <c r="G842" s="13"/>
      <c r="H842" s="13"/>
      <c r="I842" s="13"/>
      <c r="J842" s="13"/>
    </row>
    <row r="843" spans="3:10" x14ac:dyDescent="0.25">
      <c r="C843" s="13"/>
      <c r="D843" s="13"/>
      <c r="E843" s="13"/>
      <c r="F843" s="13"/>
      <c r="G843" s="13"/>
      <c r="H843" s="13"/>
      <c r="I843" s="13"/>
      <c r="J843" s="13"/>
    </row>
    <row r="844" spans="3:10" x14ac:dyDescent="0.25">
      <c r="C844" s="13"/>
      <c r="D844" s="13"/>
      <c r="E844" s="13"/>
      <c r="F844" s="13"/>
      <c r="G844" s="13"/>
      <c r="H844" s="13"/>
      <c r="I844" s="13"/>
      <c r="J844" s="13"/>
    </row>
    <row r="845" spans="3:10" x14ac:dyDescent="0.25">
      <c r="C845" s="13"/>
      <c r="D845" s="13"/>
      <c r="E845" s="13"/>
      <c r="F845" s="13"/>
      <c r="G845" s="13"/>
      <c r="H845" s="13"/>
      <c r="I845" s="13"/>
      <c r="J845" s="13"/>
    </row>
    <row r="846" spans="3:10" x14ac:dyDescent="0.25">
      <c r="C846" s="13"/>
      <c r="D846" s="13"/>
      <c r="E846" s="13"/>
      <c r="F846" s="13"/>
      <c r="G846" s="13"/>
      <c r="H846" s="13"/>
      <c r="I846" s="13"/>
      <c r="J846" s="13"/>
    </row>
    <row r="847" spans="3:10" x14ac:dyDescent="0.25">
      <c r="C847" s="13"/>
      <c r="D847" s="13"/>
      <c r="E847" s="13"/>
      <c r="F847" s="13"/>
      <c r="G847" s="13"/>
      <c r="H847" s="13"/>
      <c r="I847" s="13"/>
      <c r="J847" s="13"/>
    </row>
    <row r="848" spans="3:10" x14ac:dyDescent="0.25">
      <c r="C848" s="13"/>
      <c r="D848" s="13"/>
      <c r="E848" s="13"/>
      <c r="F848" s="13"/>
      <c r="G848" s="13"/>
      <c r="H848" s="13"/>
      <c r="I848" s="13"/>
      <c r="J848" s="13"/>
    </row>
    <row r="849" spans="3:10" x14ac:dyDescent="0.25">
      <c r="C849" s="13"/>
      <c r="D849" s="13"/>
      <c r="E849" s="13"/>
      <c r="F849" s="13"/>
      <c r="G849" s="13"/>
      <c r="H849" s="13"/>
      <c r="I849" s="13"/>
      <c r="J849" s="13"/>
    </row>
    <row r="850" spans="3:10" x14ac:dyDescent="0.25">
      <c r="C850" s="13"/>
      <c r="D850" s="13"/>
      <c r="E850" s="13"/>
      <c r="F850" s="13"/>
      <c r="G850" s="13"/>
      <c r="H850" s="13"/>
      <c r="I850" s="13"/>
      <c r="J850" s="13"/>
    </row>
    <row r="851" spans="3:10" x14ac:dyDescent="0.25">
      <c r="C851" s="13"/>
      <c r="D851" s="13"/>
      <c r="E851" s="13"/>
      <c r="F851" s="13"/>
      <c r="G851" s="13"/>
      <c r="H851" s="13"/>
      <c r="I851" s="13"/>
      <c r="J851" s="13"/>
    </row>
    <row r="852" spans="3:10" x14ac:dyDescent="0.25">
      <c r="C852" s="13"/>
      <c r="D852" s="13"/>
      <c r="E852" s="13"/>
      <c r="F852" s="13"/>
      <c r="G852" s="13"/>
      <c r="H852" s="13"/>
      <c r="I852" s="13"/>
      <c r="J852" s="13"/>
    </row>
    <row r="853" spans="3:10" x14ac:dyDescent="0.25">
      <c r="C853" s="13"/>
      <c r="D853" s="13"/>
      <c r="E853" s="13"/>
      <c r="F853" s="13"/>
      <c r="G853" s="13"/>
      <c r="H853" s="13"/>
      <c r="I853" s="13"/>
      <c r="J853" s="13"/>
    </row>
    <row r="854" spans="3:10" x14ac:dyDescent="0.25">
      <c r="C854" s="13"/>
      <c r="D854" s="13"/>
      <c r="E854" s="13"/>
      <c r="F854" s="13"/>
      <c r="G854" s="13"/>
      <c r="H854" s="13"/>
      <c r="I854" s="13"/>
      <c r="J854" s="13"/>
    </row>
    <row r="855" spans="3:10" x14ac:dyDescent="0.25">
      <c r="C855" s="13"/>
      <c r="D855" s="13"/>
      <c r="E855" s="13"/>
      <c r="F855" s="13"/>
      <c r="G855" s="13"/>
      <c r="H855" s="13"/>
      <c r="I855" s="13"/>
      <c r="J855" s="13"/>
    </row>
    <row r="856" spans="3:10" x14ac:dyDescent="0.25">
      <c r="C856" s="13"/>
      <c r="D856" s="13"/>
      <c r="E856" s="13"/>
      <c r="F856" s="13"/>
      <c r="G856" s="13"/>
      <c r="H856" s="13"/>
      <c r="I856" s="13"/>
      <c r="J856" s="13"/>
    </row>
    <row r="857" spans="3:10" x14ac:dyDescent="0.25">
      <c r="C857" s="13"/>
      <c r="D857" s="13"/>
      <c r="E857" s="13"/>
      <c r="F857" s="13"/>
      <c r="G857" s="13"/>
      <c r="H857" s="13"/>
      <c r="I857" s="13"/>
      <c r="J857" s="13"/>
    </row>
    <row r="858" spans="3:10" x14ac:dyDescent="0.25">
      <c r="C858" s="13"/>
      <c r="D858" s="13"/>
      <c r="E858" s="13"/>
      <c r="F858" s="13"/>
      <c r="G858" s="13"/>
      <c r="H858" s="13"/>
      <c r="I858" s="13"/>
      <c r="J858" s="13"/>
    </row>
    <row r="859" spans="3:10" x14ac:dyDescent="0.25">
      <c r="C859" s="13"/>
      <c r="D859" s="13"/>
      <c r="E859" s="13"/>
      <c r="F859" s="13"/>
      <c r="G859" s="13"/>
      <c r="H859" s="13"/>
      <c r="I859" s="13"/>
      <c r="J859" s="13"/>
    </row>
    <row r="860" spans="3:10" x14ac:dyDescent="0.25">
      <c r="C860" s="13"/>
      <c r="D860" s="13"/>
      <c r="E860" s="13"/>
      <c r="F860" s="13"/>
      <c r="G860" s="13"/>
      <c r="H860" s="13"/>
      <c r="I860" s="13"/>
      <c r="J860" s="13"/>
    </row>
    <row r="861" spans="3:10" x14ac:dyDescent="0.25">
      <c r="C861" s="13"/>
      <c r="D861" s="13"/>
      <c r="E861" s="13"/>
      <c r="F861" s="13"/>
      <c r="G861" s="13"/>
      <c r="H861" s="13"/>
      <c r="I861" s="13"/>
      <c r="J861" s="13"/>
    </row>
    <row r="862" spans="3:10" x14ac:dyDescent="0.25">
      <c r="C862" s="13"/>
      <c r="D862" s="13"/>
      <c r="E862" s="13"/>
      <c r="F862" s="13"/>
      <c r="G862" s="13"/>
      <c r="H862" s="13"/>
      <c r="I862" s="13"/>
      <c r="J862" s="13"/>
    </row>
    <row r="863" spans="3:10" x14ac:dyDescent="0.25">
      <c r="C863" s="13"/>
      <c r="D863" s="13"/>
      <c r="E863" s="13"/>
      <c r="F863" s="13"/>
      <c r="G863" s="13"/>
      <c r="H863" s="13"/>
      <c r="I863" s="13"/>
      <c r="J863" s="13"/>
    </row>
    <row r="864" spans="3:10" x14ac:dyDescent="0.25">
      <c r="C864" s="13"/>
      <c r="D864" s="13"/>
      <c r="E864" s="13"/>
      <c r="F864" s="13"/>
      <c r="G864" s="13"/>
      <c r="H864" s="13"/>
      <c r="I864" s="13"/>
      <c r="J864" s="13"/>
    </row>
    <row r="865" spans="3:10" x14ac:dyDescent="0.25">
      <c r="C865" s="13"/>
      <c r="D865" s="13"/>
      <c r="E865" s="13"/>
      <c r="F865" s="13"/>
      <c r="G865" s="13"/>
      <c r="H865" s="13"/>
      <c r="I865" s="13"/>
      <c r="J865" s="13"/>
    </row>
    <row r="866" spans="3:10" x14ac:dyDescent="0.25">
      <c r="C866" s="13"/>
      <c r="D866" s="13"/>
      <c r="E866" s="13"/>
      <c r="F866" s="13"/>
      <c r="G866" s="13"/>
      <c r="H866" s="13"/>
      <c r="I866" s="13"/>
      <c r="J866" s="13"/>
    </row>
    <row r="867" spans="3:10" x14ac:dyDescent="0.25">
      <c r="C867" s="13"/>
      <c r="D867" s="13"/>
      <c r="E867" s="13"/>
      <c r="F867" s="13"/>
      <c r="G867" s="13"/>
      <c r="H867" s="13"/>
      <c r="I867" s="13"/>
      <c r="J867" s="13"/>
    </row>
    <row r="868" spans="3:10" x14ac:dyDescent="0.25">
      <c r="C868" s="13"/>
      <c r="D868" s="13"/>
      <c r="E868" s="13"/>
      <c r="F868" s="13"/>
      <c r="G868" s="13"/>
      <c r="H868" s="13"/>
      <c r="I868" s="13"/>
      <c r="J868" s="13"/>
    </row>
    <row r="869" spans="3:10" x14ac:dyDescent="0.25">
      <c r="C869" s="13"/>
      <c r="D869" s="13"/>
      <c r="E869" s="13"/>
      <c r="F869" s="13"/>
      <c r="G869" s="13"/>
      <c r="H869" s="13"/>
      <c r="I869" s="13"/>
      <c r="J869" s="13"/>
    </row>
    <row r="870" spans="3:10" x14ac:dyDescent="0.25">
      <c r="C870" s="13"/>
      <c r="D870" s="13"/>
      <c r="E870" s="13"/>
      <c r="F870" s="13"/>
      <c r="G870" s="13"/>
      <c r="H870" s="13"/>
      <c r="I870" s="13"/>
      <c r="J870" s="13"/>
    </row>
    <row r="871" spans="3:10" x14ac:dyDescent="0.25">
      <c r="C871" s="13"/>
      <c r="D871" s="13"/>
      <c r="E871" s="13"/>
      <c r="F871" s="13"/>
      <c r="G871" s="13"/>
      <c r="H871" s="13"/>
      <c r="I871" s="13"/>
      <c r="J871" s="13"/>
    </row>
    <row r="872" spans="3:10" x14ac:dyDescent="0.25">
      <c r="C872" s="13"/>
      <c r="D872" s="13"/>
      <c r="E872" s="13"/>
      <c r="F872" s="13"/>
      <c r="G872" s="13"/>
      <c r="H872" s="13"/>
      <c r="I872" s="13"/>
      <c r="J872" s="13"/>
    </row>
    <row r="873" spans="3:10" x14ac:dyDescent="0.25">
      <c r="C873" s="13"/>
      <c r="D873" s="13"/>
      <c r="E873" s="13"/>
      <c r="F873" s="13"/>
      <c r="G873" s="13"/>
      <c r="H873" s="13"/>
      <c r="I873" s="13"/>
      <c r="J873" s="13"/>
    </row>
    <row r="874" spans="3:10" x14ac:dyDescent="0.25">
      <c r="C874" s="13"/>
      <c r="D874" s="13"/>
      <c r="E874" s="13"/>
      <c r="F874" s="13"/>
      <c r="G874" s="13"/>
      <c r="H874" s="13"/>
      <c r="I874" s="13"/>
      <c r="J874" s="13"/>
    </row>
    <row r="875" spans="3:10" x14ac:dyDescent="0.25">
      <c r="C875" s="13"/>
      <c r="D875" s="13"/>
      <c r="E875" s="13"/>
      <c r="F875" s="13"/>
      <c r="G875" s="13"/>
      <c r="H875" s="13"/>
      <c r="I875" s="13"/>
      <c r="J875" s="13"/>
    </row>
    <row r="876" spans="3:10" x14ac:dyDescent="0.25">
      <c r="C876" s="13"/>
      <c r="D876" s="13"/>
      <c r="E876" s="13"/>
      <c r="F876" s="13"/>
      <c r="G876" s="13"/>
      <c r="H876" s="13"/>
      <c r="I876" s="13"/>
      <c r="J876" s="13"/>
    </row>
    <row r="877" spans="3:10" x14ac:dyDescent="0.25">
      <c r="C877" s="13"/>
      <c r="D877" s="13"/>
      <c r="E877" s="13"/>
      <c r="F877" s="13"/>
      <c r="G877" s="13"/>
      <c r="H877" s="13"/>
      <c r="I877" s="13"/>
      <c r="J877" s="13"/>
    </row>
    <row r="878" spans="3:10" x14ac:dyDescent="0.25">
      <c r="C878" s="13"/>
      <c r="D878" s="13"/>
      <c r="E878" s="13"/>
      <c r="F878" s="13"/>
      <c r="G878" s="13"/>
      <c r="H878" s="13"/>
      <c r="I878" s="13"/>
      <c r="J878" s="13"/>
    </row>
    <row r="879" spans="3:10" x14ac:dyDescent="0.25">
      <c r="C879" s="13"/>
      <c r="D879" s="13"/>
      <c r="E879" s="13"/>
      <c r="F879" s="13"/>
      <c r="G879" s="13"/>
      <c r="H879" s="13"/>
      <c r="I879" s="13"/>
      <c r="J879" s="13"/>
    </row>
    <row r="880" spans="3:10" x14ac:dyDescent="0.25">
      <c r="C880" s="13"/>
      <c r="D880" s="13"/>
      <c r="E880" s="13"/>
      <c r="F880" s="13"/>
      <c r="G880" s="13"/>
      <c r="H880" s="13"/>
      <c r="I880" s="13"/>
      <c r="J880" s="13"/>
    </row>
    <row r="881" spans="3:10" x14ac:dyDescent="0.25">
      <c r="C881" s="13"/>
      <c r="D881" s="13"/>
      <c r="E881" s="13"/>
      <c r="F881" s="13"/>
      <c r="G881" s="13"/>
      <c r="H881" s="13"/>
      <c r="I881" s="13"/>
      <c r="J881" s="13"/>
    </row>
    <row r="882" spans="3:10" x14ac:dyDescent="0.25">
      <c r="C882" s="13"/>
      <c r="D882" s="13"/>
      <c r="E882" s="13"/>
      <c r="F882" s="13"/>
      <c r="G882" s="13"/>
      <c r="H882" s="13"/>
      <c r="I882" s="13"/>
      <c r="J882" s="13"/>
    </row>
    <row r="883" spans="3:10" x14ac:dyDescent="0.25">
      <c r="C883" s="13"/>
      <c r="D883" s="13"/>
      <c r="E883" s="13"/>
      <c r="F883" s="13"/>
      <c r="G883" s="13"/>
      <c r="H883" s="13"/>
      <c r="I883" s="13"/>
      <c r="J883" s="13"/>
    </row>
    <row r="884" spans="3:10" x14ac:dyDescent="0.25">
      <c r="C884" s="13"/>
      <c r="D884" s="13"/>
      <c r="E884" s="13"/>
      <c r="F884" s="13"/>
      <c r="G884" s="13"/>
      <c r="H884" s="13"/>
      <c r="I884" s="13"/>
      <c r="J884" s="13"/>
    </row>
    <row r="885" spans="3:10" x14ac:dyDescent="0.25">
      <c r="C885" s="13"/>
      <c r="D885" s="13"/>
      <c r="E885" s="13"/>
      <c r="F885" s="13"/>
      <c r="G885" s="13"/>
      <c r="H885" s="13"/>
      <c r="I885" s="13"/>
      <c r="J885" s="13"/>
    </row>
    <row r="886" spans="3:10" x14ac:dyDescent="0.25">
      <c r="C886" s="13"/>
      <c r="D886" s="13"/>
      <c r="E886" s="13"/>
      <c r="F886" s="13"/>
      <c r="G886" s="13"/>
      <c r="H886" s="13"/>
      <c r="I886" s="13"/>
      <c r="J886" s="13"/>
    </row>
    <row r="887" spans="3:10" x14ac:dyDescent="0.25">
      <c r="C887" s="13"/>
      <c r="D887" s="13"/>
      <c r="E887" s="13"/>
      <c r="F887" s="13"/>
      <c r="G887" s="13"/>
      <c r="H887" s="13"/>
      <c r="I887" s="13"/>
      <c r="J887" s="13"/>
    </row>
    <row r="888" spans="3:10" x14ac:dyDescent="0.25">
      <c r="C888" s="13"/>
      <c r="D888" s="13"/>
      <c r="E888" s="13"/>
      <c r="F888" s="13"/>
      <c r="G888" s="13"/>
      <c r="H888" s="13"/>
      <c r="I888" s="13"/>
      <c r="J888" s="13"/>
    </row>
    <row r="889" spans="3:10" x14ac:dyDescent="0.25">
      <c r="C889" s="13"/>
      <c r="D889" s="13"/>
      <c r="E889" s="13"/>
      <c r="F889" s="13"/>
      <c r="G889" s="13"/>
      <c r="H889" s="13"/>
      <c r="I889" s="13"/>
      <c r="J889" s="13"/>
    </row>
    <row r="890" spans="3:10" x14ac:dyDescent="0.25">
      <c r="C890" s="13"/>
      <c r="D890" s="13"/>
      <c r="E890" s="13"/>
      <c r="F890" s="13"/>
      <c r="G890" s="13"/>
      <c r="H890" s="13"/>
      <c r="I890" s="13"/>
      <c r="J890" s="13"/>
    </row>
    <row r="891" spans="3:10" x14ac:dyDescent="0.25">
      <c r="C891" s="13"/>
      <c r="D891" s="13"/>
      <c r="E891" s="13"/>
      <c r="F891" s="13"/>
      <c r="G891" s="13"/>
      <c r="H891" s="13"/>
      <c r="I891" s="13"/>
      <c r="J891" s="13"/>
    </row>
    <row r="892" spans="3:10" x14ac:dyDescent="0.25">
      <c r="C892" s="13"/>
      <c r="D892" s="13"/>
      <c r="E892" s="13"/>
      <c r="F892" s="13"/>
      <c r="G892" s="13"/>
      <c r="H892" s="13"/>
      <c r="I892" s="13"/>
      <c r="J892" s="13"/>
    </row>
    <row r="893" spans="3:10" x14ac:dyDescent="0.25">
      <c r="C893" s="13"/>
      <c r="D893" s="13"/>
      <c r="E893" s="13"/>
      <c r="F893" s="13"/>
      <c r="G893" s="13"/>
      <c r="H893" s="13"/>
      <c r="I893" s="13"/>
      <c r="J893" s="13"/>
    </row>
    <row r="894" spans="3:10" x14ac:dyDescent="0.25">
      <c r="C894" s="13"/>
      <c r="D894" s="13"/>
      <c r="E894" s="13"/>
      <c r="F894" s="13"/>
      <c r="G894" s="13"/>
      <c r="H894" s="13"/>
      <c r="I894" s="13"/>
      <c r="J894" s="13"/>
    </row>
    <row r="895" spans="3:10" x14ac:dyDescent="0.25">
      <c r="C895" s="13"/>
      <c r="D895" s="13"/>
      <c r="E895" s="13"/>
      <c r="F895" s="13"/>
      <c r="G895" s="13"/>
      <c r="H895" s="13"/>
      <c r="I895" s="13"/>
      <c r="J895" s="13"/>
    </row>
    <row r="896" spans="3:10" x14ac:dyDescent="0.25">
      <c r="C896" s="13"/>
      <c r="D896" s="13"/>
      <c r="E896" s="13"/>
      <c r="F896" s="13"/>
      <c r="G896" s="13"/>
      <c r="H896" s="13"/>
      <c r="I896" s="13"/>
      <c r="J896" s="13"/>
    </row>
    <row r="897" spans="3:10" x14ac:dyDescent="0.25">
      <c r="C897" s="13"/>
      <c r="D897" s="13"/>
      <c r="E897" s="13"/>
      <c r="F897" s="13"/>
      <c r="G897" s="13"/>
      <c r="H897" s="13"/>
      <c r="I897" s="13"/>
      <c r="J897" s="13"/>
    </row>
    <row r="898" spans="3:10" x14ac:dyDescent="0.25">
      <c r="C898" s="13"/>
      <c r="D898" s="13"/>
      <c r="E898" s="13"/>
      <c r="F898" s="13"/>
      <c r="G898" s="13"/>
      <c r="H898" s="13"/>
      <c r="I898" s="13"/>
      <c r="J898" s="13"/>
    </row>
    <row r="899" spans="3:10" x14ac:dyDescent="0.25">
      <c r="C899" s="13"/>
      <c r="D899" s="13"/>
      <c r="E899" s="13"/>
      <c r="F899" s="13"/>
      <c r="G899" s="13"/>
      <c r="H899" s="13"/>
      <c r="I899" s="13"/>
      <c r="J899" s="13"/>
    </row>
    <row r="900" spans="3:10" x14ac:dyDescent="0.25">
      <c r="C900" s="13"/>
      <c r="D900" s="13"/>
      <c r="E900" s="13"/>
      <c r="F900" s="13"/>
      <c r="G900" s="13"/>
      <c r="H900" s="13"/>
      <c r="I900" s="13"/>
      <c r="J900" s="13"/>
    </row>
    <row r="901" spans="3:10" x14ac:dyDescent="0.25">
      <c r="C901" s="13"/>
      <c r="D901" s="13"/>
      <c r="E901" s="13"/>
      <c r="F901" s="13"/>
      <c r="G901" s="13"/>
      <c r="H901" s="13"/>
      <c r="I901" s="13"/>
      <c r="J901" s="13"/>
    </row>
    <row r="902" spans="3:10" x14ac:dyDescent="0.25">
      <c r="C902" s="13"/>
      <c r="D902" s="13"/>
      <c r="E902" s="13"/>
      <c r="F902" s="13"/>
      <c r="G902" s="13"/>
      <c r="H902" s="13"/>
      <c r="I902" s="13"/>
      <c r="J902" s="13"/>
    </row>
    <row r="903" spans="3:10" x14ac:dyDescent="0.25">
      <c r="C903" s="13"/>
      <c r="D903" s="13"/>
      <c r="E903" s="13"/>
      <c r="F903" s="13"/>
      <c r="G903" s="13"/>
      <c r="H903" s="13"/>
      <c r="I903" s="13"/>
      <c r="J903" s="13"/>
    </row>
    <row r="904" spans="3:10" x14ac:dyDescent="0.25">
      <c r="C904" s="13"/>
      <c r="D904" s="13"/>
      <c r="E904" s="13"/>
      <c r="F904" s="13"/>
      <c r="G904" s="13"/>
      <c r="H904" s="13"/>
      <c r="I904" s="13"/>
      <c r="J904" s="13"/>
    </row>
    <row r="905" spans="3:10" x14ac:dyDescent="0.25">
      <c r="C905" s="13"/>
      <c r="D905" s="13"/>
      <c r="E905" s="13"/>
      <c r="F905" s="13"/>
      <c r="G905" s="13"/>
      <c r="H905" s="13"/>
      <c r="I905" s="13"/>
      <c r="J905" s="13"/>
    </row>
    <row r="906" spans="3:10" x14ac:dyDescent="0.25">
      <c r="C906" s="13"/>
      <c r="D906" s="13"/>
      <c r="E906" s="13"/>
      <c r="F906" s="13"/>
      <c r="G906" s="13"/>
      <c r="H906" s="13"/>
      <c r="I906" s="13"/>
      <c r="J906" s="13"/>
    </row>
    <row r="907" spans="3:10" x14ac:dyDescent="0.25">
      <c r="C907" s="13"/>
      <c r="D907" s="13"/>
      <c r="E907" s="13"/>
      <c r="F907" s="13"/>
      <c r="G907" s="13"/>
      <c r="H907" s="13"/>
      <c r="I907" s="13"/>
      <c r="J907" s="13"/>
    </row>
    <row r="908" spans="3:10" x14ac:dyDescent="0.25">
      <c r="C908" s="13"/>
      <c r="D908" s="13"/>
      <c r="E908" s="13"/>
      <c r="F908" s="13"/>
      <c r="G908" s="13"/>
      <c r="H908" s="13"/>
      <c r="I908" s="13"/>
      <c r="J908" s="13"/>
    </row>
    <row r="909" spans="3:10" x14ac:dyDescent="0.25">
      <c r="C909" s="13"/>
      <c r="D909" s="13"/>
      <c r="E909" s="13"/>
      <c r="F909" s="13"/>
      <c r="G909" s="13"/>
      <c r="H909" s="13"/>
      <c r="I909" s="13"/>
      <c r="J909" s="13"/>
    </row>
    <row r="910" spans="3:10" x14ac:dyDescent="0.25">
      <c r="C910" s="13"/>
      <c r="D910" s="13"/>
      <c r="E910" s="13"/>
      <c r="F910" s="13"/>
      <c r="G910" s="13"/>
      <c r="H910" s="13"/>
      <c r="I910" s="13"/>
      <c r="J910" s="13"/>
    </row>
    <row r="911" spans="3:10" x14ac:dyDescent="0.25">
      <c r="C911" s="13"/>
      <c r="D911" s="13"/>
      <c r="E911" s="13"/>
      <c r="F911" s="13"/>
      <c r="G911" s="13"/>
      <c r="H911" s="13"/>
      <c r="I911" s="13"/>
      <c r="J911" s="13"/>
    </row>
    <row r="912" spans="3:10" x14ac:dyDescent="0.25">
      <c r="C912" s="13"/>
      <c r="D912" s="13"/>
      <c r="E912" s="13"/>
      <c r="F912" s="13"/>
      <c r="G912" s="13"/>
      <c r="H912" s="13"/>
      <c r="I912" s="13"/>
      <c r="J912" s="13"/>
    </row>
    <row r="913" spans="3:10" x14ac:dyDescent="0.25">
      <c r="C913" s="13"/>
      <c r="D913" s="13"/>
      <c r="E913" s="13"/>
      <c r="F913" s="13"/>
      <c r="G913" s="13"/>
      <c r="H913" s="13"/>
      <c r="I913" s="13"/>
      <c r="J913" s="13"/>
    </row>
    <row r="914" spans="3:10" x14ac:dyDescent="0.25">
      <c r="C914" s="13"/>
      <c r="D914" s="13"/>
      <c r="E914" s="13"/>
      <c r="F914" s="13"/>
      <c r="G914" s="13"/>
      <c r="H914" s="13"/>
      <c r="I914" s="13"/>
      <c r="J914" s="13"/>
    </row>
    <row r="915" spans="3:10" x14ac:dyDescent="0.25">
      <c r="C915" s="13"/>
      <c r="D915" s="13"/>
      <c r="E915" s="13"/>
      <c r="F915" s="13"/>
      <c r="G915" s="13"/>
      <c r="H915" s="13"/>
      <c r="I915" s="13"/>
      <c r="J915" s="13"/>
    </row>
    <row r="916" spans="3:10" x14ac:dyDescent="0.25">
      <c r="C916" s="13"/>
      <c r="D916" s="13"/>
      <c r="E916" s="13"/>
      <c r="F916" s="13"/>
      <c r="G916" s="13"/>
      <c r="H916" s="13"/>
      <c r="I916" s="13"/>
      <c r="J916" s="13"/>
    </row>
    <row r="917" spans="3:10" x14ac:dyDescent="0.25">
      <c r="C917" s="13"/>
      <c r="D917" s="13"/>
      <c r="E917" s="13"/>
      <c r="F917" s="13"/>
      <c r="G917" s="13"/>
      <c r="H917" s="13"/>
      <c r="I917" s="13"/>
      <c r="J917" s="13"/>
    </row>
    <row r="918" spans="3:10" x14ac:dyDescent="0.25">
      <c r="C918" s="13"/>
      <c r="D918" s="13"/>
      <c r="E918" s="13"/>
      <c r="F918" s="13"/>
      <c r="G918" s="13"/>
      <c r="H918" s="13"/>
      <c r="I918" s="13"/>
      <c r="J918" s="13"/>
    </row>
    <row r="919" spans="3:10" x14ac:dyDescent="0.25">
      <c r="C919" s="13"/>
      <c r="D919" s="13"/>
      <c r="E919" s="13"/>
      <c r="F919" s="13"/>
      <c r="G919" s="13"/>
      <c r="H919" s="13"/>
      <c r="I919" s="13"/>
      <c r="J919" s="13"/>
    </row>
    <row r="920" spans="3:10" x14ac:dyDescent="0.25">
      <c r="C920" s="13"/>
      <c r="D920" s="13"/>
      <c r="E920" s="13"/>
      <c r="F920" s="13"/>
      <c r="G920" s="13"/>
      <c r="H920" s="13"/>
      <c r="I920" s="13"/>
      <c r="J920" s="13"/>
    </row>
    <row r="921" spans="3:10" x14ac:dyDescent="0.25">
      <c r="C921" s="13"/>
      <c r="D921" s="13"/>
      <c r="E921" s="13"/>
      <c r="F921" s="13"/>
      <c r="G921" s="13"/>
      <c r="H921" s="13"/>
      <c r="I921" s="13"/>
      <c r="J921" s="13"/>
    </row>
    <row r="922" spans="3:10" x14ac:dyDescent="0.25">
      <c r="C922" s="13"/>
      <c r="D922" s="13"/>
      <c r="E922" s="13"/>
      <c r="F922" s="13"/>
      <c r="G922" s="13"/>
      <c r="H922" s="13"/>
      <c r="I922" s="13"/>
      <c r="J922" s="13"/>
    </row>
    <row r="923" spans="3:10" x14ac:dyDescent="0.25">
      <c r="C923" s="13"/>
      <c r="D923" s="13"/>
      <c r="E923" s="13"/>
      <c r="F923" s="13"/>
      <c r="G923" s="13"/>
      <c r="H923" s="13"/>
      <c r="I923" s="13"/>
      <c r="J923" s="13"/>
    </row>
    <row r="924" spans="3:10" x14ac:dyDescent="0.25">
      <c r="C924" s="13"/>
      <c r="D924" s="13"/>
      <c r="E924" s="13"/>
      <c r="F924" s="13"/>
      <c r="G924" s="13"/>
      <c r="H924" s="13"/>
      <c r="I924" s="13"/>
      <c r="J924" s="13"/>
    </row>
    <row r="925" spans="3:10" x14ac:dyDescent="0.25">
      <c r="C925" s="13"/>
      <c r="D925" s="13"/>
      <c r="E925" s="13"/>
      <c r="F925" s="13"/>
      <c r="G925" s="13"/>
      <c r="H925" s="13"/>
      <c r="I925" s="13"/>
      <c r="J925" s="13"/>
    </row>
    <row r="926" spans="3:10" x14ac:dyDescent="0.25">
      <c r="C926" s="13"/>
      <c r="D926" s="13"/>
      <c r="E926" s="13"/>
      <c r="F926" s="13"/>
      <c r="G926" s="13"/>
      <c r="H926" s="13"/>
      <c r="I926" s="13"/>
      <c r="J926" s="13"/>
    </row>
    <row r="927" spans="3:10" x14ac:dyDescent="0.25">
      <c r="C927" s="13"/>
      <c r="D927" s="13"/>
      <c r="E927" s="13"/>
      <c r="F927" s="13"/>
      <c r="G927" s="13"/>
      <c r="H927" s="13"/>
      <c r="I927" s="13"/>
      <c r="J927" s="13"/>
    </row>
    <row r="928" spans="3:10" x14ac:dyDescent="0.25">
      <c r="C928" s="13"/>
      <c r="D928" s="13"/>
      <c r="E928" s="13"/>
      <c r="F928" s="13"/>
      <c r="G928" s="13"/>
      <c r="H928" s="13"/>
      <c r="I928" s="13"/>
      <c r="J928" s="13"/>
    </row>
    <row r="929" spans="3:10" x14ac:dyDescent="0.25">
      <c r="C929" s="13"/>
      <c r="D929" s="13"/>
      <c r="E929" s="13"/>
      <c r="F929" s="13"/>
      <c r="G929" s="13"/>
      <c r="H929" s="13"/>
      <c r="I929" s="13"/>
      <c r="J929" s="13"/>
    </row>
    <row r="930" spans="3:10" x14ac:dyDescent="0.25">
      <c r="C930" s="13"/>
      <c r="D930" s="13"/>
      <c r="E930" s="13"/>
      <c r="F930" s="13"/>
      <c r="G930" s="13"/>
      <c r="H930" s="13"/>
      <c r="I930" s="13"/>
      <c r="J930" s="13"/>
    </row>
    <row r="931" spans="3:10" x14ac:dyDescent="0.25">
      <c r="C931" s="13"/>
      <c r="D931" s="13"/>
      <c r="E931" s="13"/>
      <c r="F931" s="13"/>
      <c r="G931" s="13"/>
      <c r="H931" s="13"/>
      <c r="I931" s="13"/>
      <c r="J931" s="13"/>
    </row>
    <row r="932" spans="3:10" x14ac:dyDescent="0.25">
      <c r="C932" s="13"/>
      <c r="D932" s="13"/>
      <c r="E932" s="13"/>
      <c r="F932" s="13"/>
      <c r="G932" s="13"/>
      <c r="H932" s="13"/>
      <c r="I932" s="13"/>
      <c r="J932" s="13"/>
    </row>
    <row r="933" spans="3:10" x14ac:dyDescent="0.25">
      <c r="C933" s="13"/>
      <c r="D933" s="13"/>
      <c r="E933" s="13"/>
      <c r="F933" s="13"/>
      <c r="G933" s="13"/>
      <c r="H933" s="13"/>
      <c r="I933" s="13"/>
      <c r="J933" s="13"/>
    </row>
    <row r="934" spans="3:10" x14ac:dyDescent="0.25">
      <c r="C934" s="13"/>
      <c r="D934" s="13"/>
      <c r="E934" s="13"/>
      <c r="F934" s="13"/>
      <c r="G934" s="13"/>
      <c r="H934" s="13"/>
      <c r="I934" s="13"/>
      <c r="J934" s="13"/>
    </row>
    <row r="935" spans="3:10" x14ac:dyDescent="0.25">
      <c r="C935" s="13"/>
      <c r="D935" s="13"/>
      <c r="E935" s="13"/>
      <c r="F935" s="13"/>
      <c r="G935" s="13"/>
      <c r="H935" s="13"/>
      <c r="I935" s="13"/>
      <c r="J935" s="13"/>
    </row>
    <row r="936" spans="3:10" x14ac:dyDescent="0.25">
      <c r="C936" s="13"/>
      <c r="D936" s="13"/>
      <c r="E936" s="13"/>
      <c r="F936" s="13"/>
      <c r="G936" s="13"/>
      <c r="H936" s="13"/>
      <c r="I936" s="13"/>
      <c r="J936" s="13"/>
    </row>
    <row r="937" spans="3:10" x14ac:dyDescent="0.25">
      <c r="C937" s="13"/>
      <c r="D937" s="13"/>
      <c r="E937" s="13"/>
      <c r="F937" s="13"/>
      <c r="G937" s="13"/>
      <c r="H937" s="13"/>
      <c r="I937" s="13"/>
      <c r="J937" s="13"/>
    </row>
    <row r="938" spans="3:10" x14ac:dyDescent="0.25">
      <c r="C938" s="13"/>
      <c r="D938" s="13"/>
      <c r="E938" s="13"/>
      <c r="F938" s="13"/>
      <c r="G938" s="13"/>
      <c r="H938" s="13"/>
      <c r="I938" s="13"/>
      <c r="J938" s="13"/>
    </row>
    <row r="939" spans="3:10" x14ac:dyDescent="0.25">
      <c r="C939" s="13"/>
      <c r="D939" s="13"/>
      <c r="E939" s="13"/>
      <c r="F939" s="13"/>
      <c r="G939" s="13"/>
      <c r="H939" s="13"/>
      <c r="I939" s="13"/>
      <c r="J939" s="13"/>
    </row>
    <row r="940" spans="3:10" x14ac:dyDescent="0.25">
      <c r="C940" s="13"/>
      <c r="D940" s="13"/>
      <c r="E940" s="13"/>
      <c r="F940" s="13"/>
      <c r="G940" s="13"/>
      <c r="H940" s="13"/>
      <c r="I940" s="13"/>
      <c r="J940" s="13"/>
    </row>
    <row r="941" spans="3:10" x14ac:dyDescent="0.25">
      <c r="C941" s="13"/>
      <c r="D941" s="13"/>
      <c r="E941" s="13"/>
      <c r="F941" s="13"/>
      <c r="G941" s="13"/>
      <c r="H941" s="13"/>
      <c r="I941" s="13"/>
      <c r="J941" s="13"/>
    </row>
    <row r="942" spans="3:10" x14ac:dyDescent="0.25">
      <c r="C942" s="13"/>
      <c r="D942" s="13"/>
      <c r="E942" s="13"/>
      <c r="F942" s="13"/>
      <c r="G942" s="13"/>
      <c r="H942" s="13"/>
      <c r="I942" s="13"/>
      <c r="J942" s="13"/>
    </row>
    <row r="943" spans="3:10" x14ac:dyDescent="0.25">
      <c r="C943" s="13"/>
      <c r="D943" s="13"/>
      <c r="E943" s="13"/>
      <c r="F943" s="13"/>
      <c r="G943" s="13"/>
      <c r="H943" s="13"/>
      <c r="I943" s="13"/>
      <c r="J943" s="13"/>
    </row>
    <row r="944" spans="3:10" x14ac:dyDescent="0.25">
      <c r="C944" s="13"/>
      <c r="D944" s="13"/>
      <c r="E944" s="13"/>
      <c r="F944" s="13"/>
      <c r="G944" s="13"/>
      <c r="H944" s="13"/>
      <c r="I944" s="13"/>
      <c r="J944" s="13"/>
    </row>
    <row r="945" spans="3:10" x14ac:dyDescent="0.25">
      <c r="C945" s="13"/>
      <c r="D945" s="13"/>
      <c r="E945" s="13"/>
      <c r="F945" s="13"/>
      <c r="G945" s="13"/>
      <c r="H945" s="13"/>
      <c r="I945" s="13"/>
      <c r="J945" s="13"/>
    </row>
    <row r="946" spans="3:10" x14ac:dyDescent="0.25">
      <c r="C946" s="13"/>
      <c r="D946" s="13"/>
      <c r="E946" s="13"/>
      <c r="F946" s="13"/>
      <c r="G946" s="13"/>
      <c r="H946" s="13"/>
      <c r="I946" s="13"/>
      <c r="J946" s="13"/>
    </row>
    <row r="947" spans="3:10" x14ac:dyDescent="0.25">
      <c r="C947" s="13"/>
      <c r="D947" s="13"/>
      <c r="E947" s="13"/>
      <c r="F947" s="13"/>
      <c r="G947" s="13"/>
      <c r="H947" s="13"/>
      <c r="I947" s="13"/>
      <c r="J947" s="13"/>
    </row>
    <row r="948" spans="3:10" x14ac:dyDescent="0.25">
      <c r="C948" s="13"/>
      <c r="D948" s="13"/>
      <c r="E948" s="13"/>
      <c r="F948" s="13"/>
      <c r="G948" s="13"/>
      <c r="H948" s="13"/>
      <c r="I948" s="13"/>
      <c r="J948" s="13"/>
    </row>
    <row r="949" spans="3:10" x14ac:dyDescent="0.25">
      <c r="C949" s="13"/>
      <c r="D949" s="13"/>
      <c r="E949" s="13"/>
      <c r="F949" s="13"/>
      <c r="G949" s="13"/>
      <c r="H949" s="13"/>
      <c r="I949" s="13"/>
      <c r="J949" s="13"/>
    </row>
    <row r="950" spans="3:10" x14ac:dyDescent="0.25">
      <c r="C950" s="13"/>
      <c r="D950" s="13"/>
      <c r="E950" s="13"/>
      <c r="F950" s="13"/>
      <c r="G950" s="13"/>
      <c r="H950" s="13"/>
      <c r="I950" s="13"/>
      <c r="J950" s="13"/>
    </row>
    <row r="951" spans="3:10" x14ac:dyDescent="0.25">
      <c r="C951" s="13"/>
      <c r="D951" s="13"/>
      <c r="E951" s="13"/>
      <c r="F951" s="13"/>
      <c r="G951" s="13"/>
      <c r="H951" s="13"/>
      <c r="I951" s="13"/>
      <c r="J951" s="13"/>
    </row>
    <row r="952" spans="3:10" x14ac:dyDescent="0.25">
      <c r="C952" s="13"/>
      <c r="D952" s="13"/>
      <c r="E952" s="13"/>
      <c r="F952" s="13"/>
      <c r="G952" s="13"/>
      <c r="H952" s="13"/>
      <c r="I952" s="13"/>
      <c r="J952" s="13"/>
    </row>
    <row r="953" spans="3:10" x14ac:dyDescent="0.25">
      <c r="C953" s="13"/>
      <c r="D953" s="13"/>
      <c r="E953" s="13"/>
      <c r="F953" s="13"/>
      <c r="G953" s="13"/>
      <c r="H953" s="13"/>
      <c r="I953" s="13"/>
      <c r="J953" s="13"/>
    </row>
    <row r="954" spans="3:10" x14ac:dyDescent="0.25">
      <c r="C954" s="13"/>
      <c r="D954" s="13"/>
      <c r="E954" s="13"/>
      <c r="F954" s="13"/>
      <c r="G954" s="13"/>
      <c r="H954" s="13"/>
      <c r="I954" s="13"/>
      <c r="J954" s="13"/>
    </row>
    <row r="955" spans="3:10" x14ac:dyDescent="0.25">
      <c r="C955" s="13"/>
      <c r="D955" s="13"/>
      <c r="E955" s="13"/>
      <c r="F955" s="13"/>
      <c r="G955" s="13"/>
      <c r="H955" s="13"/>
      <c r="I955" s="13"/>
      <c r="J955" s="13"/>
    </row>
    <row r="956" spans="3:10" x14ac:dyDescent="0.25">
      <c r="C956" s="13"/>
      <c r="D956" s="13"/>
      <c r="E956" s="13"/>
      <c r="F956" s="13"/>
      <c r="G956" s="13"/>
      <c r="H956" s="13"/>
      <c r="I956" s="13"/>
      <c r="J956" s="13"/>
    </row>
    <row r="957" spans="3:10" x14ac:dyDescent="0.25">
      <c r="C957" s="13"/>
      <c r="D957" s="13"/>
      <c r="E957" s="13"/>
      <c r="F957" s="13"/>
      <c r="G957" s="13"/>
      <c r="H957" s="13"/>
      <c r="I957" s="13"/>
      <c r="J957" s="13"/>
    </row>
    <row r="958" spans="3:10" x14ac:dyDescent="0.25">
      <c r="C958" s="13"/>
      <c r="D958" s="13"/>
      <c r="E958" s="13"/>
      <c r="F958" s="13"/>
      <c r="G958" s="13"/>
      <c r="H958" s="13"/>
      <c r="I958" s="13"/>
      <c r="J958" s="13"/>
    </row>
    <row r="959" spans="3:10" x14ac:dyDescent="0.25">
      <c r="C959" s="13"/>
      <c r="D959" s="13"/>
      <c r="E959" s="13"/>
      <c r="F959" s="13"/>
      <c r="G959" s="13"/>
      <c r="H959" s="13"/>
      <c r="I959" s="13"/>
      <c r="J959" s="13"/>
    </row>
    <row r="960" spans="3:10" x14ac:dyDescent="0.25">
      <c r="C960" s="13"/>
      <c r="D960" s="13"/>
      <c r="E960" s="13"/>
      <c r="F960" s="13"/>
      <c r="G960" s="13"/>
      <c r="H960" s="13"/>
      <c r="I960" s="13"/>
      <c r="J960" s="13"/>
    </row>
    <row r="961" spans="3:10" x14ac:dyDescent="0.25">
      <c r="C961" s="13"/>
      <c r="D961" s="13"/>
      <c r="E961" s="13"/>
      <c r="F961" s="13"/>
      <c r="G961" s="13"/>
      <c r="H961" s="13"/>
      <c r="I961" s="13"/>
      <c r="J961" s="13"/>
    </row>
    <row r="962" spans="3:10" x14ac:dyDescent="0.25">
      <c r="C962" s="13"/>
      <c r="D962" s="13"/>
      <c r="E962" s="13"/>
      <c r="F962" s="13"/>
      <c r="G962" s="13"/>
      <c r="H962" s="13"/>
      <c r="I962" s="13"/>
      <c r="J962" s="13"/>
    </row>
    <row r="963" spans="3:10" x14ac:dyDescent="0.25">
      <c r="C963" s="13"/>
      <c r="D963" s="13"/>
      <c r="E963" s="13"/>
      <c r="F963" s="13"/>
      <c r="G963" s="13"/>
      <c r="H963" s="13"/>
      <c r="I963" s="13"/>
      <c r="J963" s="13"/>
    </row>
    <row r="964" spans="3:10" x14ac:dyDescent="0.25">
      <c r="C964" s="13"/>
      <c r="D964" s="13"/>
      <c r="E964" s="13"/>
      <c r="F964" s="13"/>
      <c r="G964" s="13"/>
      <c r="H964" s="13"/>
      <c r="I964" s="13"/>
      <c r="J964" s="13"/>
    </row>
    <row r="965" spans="3:10" x14ac:dyDescent="0.25">
      <c r="C965" s="13"/>
      <c r="D965" s="13"/>
      <c r="E965" s="13"/>
      <c r="F965" s="13"/>
      <c r="G965" s="13"/>
      <c r="H965" s="13"/>
      <c r="I965" s="13"/>
      <c r="J965" s="13"/>
    </row>
    <row r="966" spans="3:10" x14ac:dyDescent="0.25">
      <c r="C966" s="13"/>
      <c r="D966" s="13"/>
      <c r="E966" s="13"/>
      <c r="F966" s="13"/>
      <c r="G966" s="13"/>
      <c r="H966" s="13"/>
      <c r="I966" s="13"/>
      <c r="J966" s="13"/>
    </row>
    <row r="967" spans="3:10" x14ac:dyDescent="0.25">
      <c r="C967" s="13"/>
      <c r="D967" s="13"/>
      <c r="E967" s="13"/>
      <c r="F967" s="13"/>
      <c r="G967" s="13"/>
      <c r="H967" s="13"/>
      <c r="I967" s="13"/>
      <c r="J967" s="13"/>
    </row>
    <row r="968" spans="3:10" x14ac:dyDescent="0.25">
      <c r="C968" s="13"/>
      <c r="D968" s="13"/>
      <c r="E968" s="13"/>
      <c r="F968" s="13"/>
      <c r="G968" s="13"/>
      <c r="H968" s="13"/>
      <c r="I968" s="13"/>
      <c r="J968" s="13"/>
    </row>
    <row r="969" spans="3:10" x14ac:dyDescent="0.25">
      <c r="C969" s="13"/>
      <c r="D969" s="13"/>
      <c r="E969" s="13"/>
      <c r="F969" s="13"/>
      <c r="G969" s="13"/>
      <c r="H969" s="13"/>
      <c r="I969" s="13"/>
      <c r="J969" s="13"/>
    </row>
    <row r="970" spans="3:10" x14ac:dyDescent="0.25">
      <c r="C970" s="13"/>
      <c r="D970" s="13"/>
      <c r="E970" s="13"/>
      <c r="F970" s="13"/>
      <c r="G970" s="13"/>
      <c r="H970" s="13"/>
      <c r="I970" s="13"/>
      <c r="J970" s="13"/>
    </row>
    <row r="971" spans="3:10" x14ac:dyDescent="0.25">
      <c r="C971" s="13"/>
      <c r="D971" s="13"/>
      <c r="E971" s="13"/>
      <c r="F971" s="13"/>
      <c r="G971" s="13"/>
      <c r="H971" s="13"/>
      <c r="I971" s="13"/>
      <c r="J971" s="13"/>
    </row>
    <row r="972" spans="3:10" x14ac:dyDescent="0.25">
      <c r="C972" s="13"/>
      <c r="D972" s="13"/>
      <c r="E972" s="13"/>
      <c r="F972" s="13"/>
      <c r="G972" s="13"/>
      <c r="H972" s="13"/>
      <c r="I972" s="13"/>
      <c r="J972" s="13"/>
    </row>
    <row r="973" spans="3:10" x14ac:dyDescent="0.25">
      <c r="C973" s="13"/>
      <c r="D973" s="13"/>
      <c r="E973" s="13"/>
      <c r="F973" s="13"/>
      <c r="G973" s="13"/>
      <c r="H973" s="13"/>
      <c r="I973" s="13"/>
      <c r="J973" s="13"/>
    </row>
    <row r="974" spans="3:10" x14ac:dyDescent="0.25">
      <c r="C974" s="13"/>
      <c r="D974" s="13"/>
      <c r="E974" s="13"/>
      <c r="F974" s="13"/>
      <c r="G974" s="13"/>
      <c r="H974" s="13"/>
      <c r="I974" s="13"/>
      <c r="J974" s="13"/>
    </row>
    <row r="975" spans="3:10" x14ac:dyDescent="0.25">
      <c r="C975" s="13"/>
      <c r="D975" s="13"/>
      <c r="E975" s="13"/>
      <c r="F975" s="13"/>
      <c r="G975" s="13"/>
      <c r="H975" s="13"/>
      <c r="I975" s="13"/>
      <c r="J975" s="13"/>
    </row>
    <row r="976" spans="3:10" x14ac:dyDescent="0.25">
      <c r="C976" s="13"/>
      <c r="D976" s="13"/>
      <c r="E976" s="13"/>
      <c r="F976" s="13"/>
      <c r="G976" s="13"/>
      <c r="H976" s="13"/>
      <c r="I976" s="13"/>
      <c r="J976" s="13"/>
    </row>
    <row r="977" spans="3:10" x14ac:dyDescent="0.25">
      <c r="C977" s="13"/>
      <c r="D977" s="13"/>
      <c r="E977" s="13"/>
      <c r="F977" s="13"/>
      <c r="G977" s="13"/>
      <c r="H977" s="13"/>
      <c r="I977" s="13"/>
      <c r="J977" s="13"/>
    </row>
    <row r="978" spans="3:10" x14ac:dyDescent="0.25">
      <c r="C978" s="13"/>
      <c r="D978" s="13"/>
      <c r="E978" s="13"/>
      <c r="F978" s="13"/>
      <c r="G978" s="13"/>
      <c r="H978" s="13"/>
      <c r="I978" s="13"/>
      <c r="J978" s="13"/>
    </row>
    <row r="979" spans="3:10" x14ac:dyDescent="0.25">
      <c r="C979" s="13"/>
      <c r="D979" s="13"/>
      <c r="E979" s="13"/>
      <c r="F979" s="13"/>
      <c r="G979" s="13"/>
      <c r="H979" s="13"/>
      <c r="I979" s="13"/>
      <c r="J979" s="13"/>
    </row>
    <row r="980" spans="3:10" x14ac:dyDescent="0.25">
      <c r="C980" s="13"/>
      <c r="D980" s="13"/>
      <c r="E980" s="13"/>
      <c r="F980" s="13"/>
      <c r="G980" s="13"/>
      <c r="H980" s="13"/>
      <c r="I980" s="13"/>
      <c r="J980" s="13"/>
    </row>
    <row r="981" spans="3:10" x14ac:dyDescent="0.25">
      <c r="C981" s="13"/>
      <c r="D981" s="13"/>
      <c r="E981" s="13"/>
      <c r="F981" s="13"/>
      <c r="G981" s="13"/>
      <c r="H981" s="13"/>
      <c r="I981" s="13"/>
      <c r="J981" s="13"/>
    </row>
    <row r="982" spans="3:10" x14ac:dyDescent="0.25">
      <c r="C982" s="13"/>
      <c r="D982" s="13"/>
      <c r="E982" s="13"/>
      <c r="F982" s="13"/>
      <c r="G982" s="13"/>
      <c r="H982" s="13"/>
      <c r="I982" s="13"/>
      <c r="J982" s="13"/>
    </row>
    <row r="983" spans="3:10" x14ac:dyDescent="0.25">
      <c r="C983" s="13"/>
      <c r="D983" s="13"/>
      <c r="E983" s="13"/>
      <c r="F983" s="13"/>
      <c r="G983" s="13"/>
      <c r="H983" s="13"/>
      <c r="I983" s="13"/>
      <c r="J983" s="13"/>
    </row>
    <row r="984" spans="3:10" x14ac:dyDescent="0.25">
      <c r="C984" s="13"/>
      <c r="D984" s="13"/>
      <c r="E984" s="13"/>
      <c r="F984" s="13"/>
      <c r="G984" s="13"/>
      <c r="H984" s="13"/>
      <c r="I984" s="13"/>
      <c r="J984" s="13"/>
    </row>
    <row r="985" spans="3:10" x14ac:dyDescent="0.25">
      <c r="C985" s="13"/>
      <c r="D985" s="13"/>
      <c r="E985" s="13"/>
      <c r="F985" s="13"/>
      <c r="G985" s="13"/>
      <c r="H985" s="13"/>
      <c r="I985" s="13"/>
      <c r="J985" s="13"/>
    </row>
    <row r="986" spans="3:10" x14ac:dyDescent="0.25">
      <c r="C986" s="13"/>
      <c r="D986" s="13"/>
      <c r="E986" s="13"/>
      <c r="F986" s="13"/>
      <c r="G986" s="13"/>
      <c r="H986" s="13"/>
      <c r="I986" s="13"/>
      <c r="J986" s="13"/>
    </row>
    <row r="987" spans="3:10" x14ac:dyDescent="0.25">
      <c r="C987" s="13"/>
      <c r="D987" s="13"/>
      <c r="E987" s="13"/>
      <c r="F987" s="13"/>
      <c r="G987" s="13"/>
      <c r="H987" s="13"/>
      <c r="I987" s="13"/>
      <c r="J987" s="13"/>
    </row>
    <row r="988" spans="3:10" x14ac:dyDescent="0.25">
      <c r="C988" s="13"/>
      <c r="D988" s="13"/>
      <c r="E988" s="13"/>
      <c r="F988" s="13"/>
      <c r="G988" s="13"/>
      <c r="H988" s="13"/>
      <c r="I988" s="13"/>
      <c r="J988" s="13"/>
    </row>
    <row r="989" spans="3:10" x14ac:dyDescent="0.25">
      <c r="C989" s="13"/>
      <c r="D989" s="13"/>
      <c r="E989" s="13"/>
      <c r="F989" s="13"/>
      <c r="G989" s="13"/>
      <c r="H989" s="13"/>
      <c r="I989" s="13"/>
      <c r="J989" s="13"/>
    </row>
    <row r="990" spans="3:10" x14ac:dyDescent="0.25">
      <c r="C990" s="13"/>
      <c r="D990" s="13"/>
      <c r="E990" s="13"/>
      <c r="F990" s="13"/>
      <c r="G990" s="13"/>
      <c r="H990" s="13"/>
      <c r="I990" s="13"/>
      <c r="J990" s="13"/>
    </row>
    <row r="991" spans="3:10" x14ac:dyDescent="0.25">
      <c r="C991" s="13"/>
      <c r="D991" s="13"/>
      <c r="E991" s="13"/>
      <c r="F991" s="13"/>
      <c r="G991" s="13"/>
      <c r="H991" s="13"/>
      <c r="I991" s="13"/>
      <c r="J991" s="13"/>
    </row>
    <row r="992" spans="3:10" x14ac:dyDescent="0.25">
      <c r="C992" s="13"/>
      <c r="D992" s="13"/>
      <c r="E992" s="13"/>
      <c r="F992" s="13"/>
      <c r="G992" s="13"/>
      <c r="H992" s="13"/>
      <c r="I992" s="13"/>
      <c r="J992" s="13"/>
    </row>
    <row r="993" spans="3:10" x14ac:dyDescent="0.25">
      <c r="C993" s="13"/>
      <c r="D993" s="13"/>
      <c r="E993" s="13"/>
      <c r="F993" s="13"/>
      <c r="G993" s="13"/>
      <c r="H993" s="13"/>
      <c r="I993" s="13"/>
      <c r="J993" s="13"/>
    </row>
    <row r="994" spans="3:10" x14ac:dyDescent="0.25">
      <c r="C994" s="13"/>
      <c r="D994" s="13"/>
      <c r="E994" s="13"/>
      <c r="F994" s="13"/>
      <c r="G994" s="13"/>
      <c r="H994" s="13"/>
      <c r="I994" s="13"/>
      <c r="J994" s="13"/>
    </row>
    <row r="995" spans="3:10" x14ac:dyDescent="0.25">
      <c r="C995" s="13"/>
      <c r="D995" s="13"/>
      <c r="E995" s="13"/>
      <c r="F995" s="13"/>
      <c r="G995" s="13"/>
      <c r="H995" s="13"/>
      <c r="I995" s="13"/>
      <c r="J995" s="13"/>
    </row>
    <row r="996" spans="3:10" x14ac:dyDescent="0.25">
      <c r="C996" s="13"/>
      <c r="D996" s="13"/>
      <c r="E996" s="13"/>
      <c r="F996" s="13"/>
      <c r="G996" s="13"/>
      <c r="H996" s="13"/>
      <c r="I996" s="13"/>
      <c r="J996" s="13"/>
    </row>
    <row r="997" spans="3:10" x14ac:dyDescent="0.25">
      <c r="C997" s="13"/>
      <c r="D997" s="13"/>
      <c r="E997" s="13"/>
      <c r="F997" s="13"/>
      <c r="G997" s="13"/>
      <c r="H997" s="13"/>
      <c r="I997" s="13"/>
      <c r="J997" s="13"/>
    </row>
    <row r="998" spans="3:10" x14ac:dyDescent="0.25">
      <c r="C998" s="13"/>
      <c r="D998" s="13"/>
      <c r="E998" s="13"/>
      <c r="F998" s="13"/>
      <c r="G998" s="13"/>
      <c r="H998" s="13"/>
      <c r="I998" s="13"/>
      <c r="J998" s="13"/>
    </row>
  </sheetData>
  <mergeCells count="1">
    <mergeCell ref="B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EB1A-14E3-4721-A5F4-D1320E25D011}">
  <dimension ref="C3:M23"/>
  <sheetViews>
    <sheetView showGridLines="0" workbookViewId="0">
      <selection activeCell="C23" sqref="C23"/>
    </sheetView>
  </sheetViews>
  <sheetFormatPr defaultRowHeight="13.2" x14ac:dyDescent="0.25"/>
  <cols>
    <col min="1" max="2" width="8.88671875" style="11"/>
    <col min="3" max="3" width="93" style="11" bestFit="1" customWidth="1"/>
    <col min="4" max="7" width="8.88671875" style="11"/>
    <col min="8" max="8" width="21.6640625" style="11" customWidth="1"/>
    <col min="9" max="16384" width="8.88671875" style="11"/>
  </cols>
  <sheetData>
    <row r="3" spans="3:13" x14ac:dyDescent="0.25">
      <c r="C3" s="324" t="s">
        <v>558</v>
      </c>
      <c r="D3" s="325"/>
      <c r="E3" s="325"/>
      <c r="F3" s="325"/>
      <c r="G3" s="325"/>
      <c r="H3" s="326"/>
    </row>
    <row r="4" spans="3:13" x14ac:dyDescent="0.25">
      <c r="C4" s="327"/>
      <c r="D4" s="328"/>
      <c r="E4" s="328"/>
      <c r="F4" s="328"/>
      <c r="G4" s="328"/>
      <c r="H4" s="329"/>
    </row>
    <row r="5" spans="3:13" x14ac:dyDescent="0.25">
      <c r="C5" s="327"/>
      <c r="D5" s="328"/>
      <c r="E5" s="328"/>
      <c r="F5" s="328"/>
      <c r="G5" s="328"/>
      <c r="H5" s="329"/>
    </row>
    <row r="6" spans="3:13" x14ac:dyDescent="0.25">
      <c r="C6" s="327"/>
      <c r="D6" s="328"/>
      <c r="E6" s="328"/>
      <c r="F6" s="328"/>
      <c r="G6" s="328"/>
      <c r="H6" s="329"/>
    </row>
    <row r="7" spans="3:13" x14ac:dyDescent="0.25">
      <c r="C7" s="327"/>
      <c r="D7" s="328"/>
      <c r="E7" s="328"/>
      <c r="F7" s="328"/>
      <c r="G7" s="328"/>
      <c r="H7" s="329"/>
    </row>
    <row r="8" spans="3:13" x14ac:dyDescent="0.25">
      <c r="C8" s="327"/>
      <c r="D8" s="328"/>
      <c r="E8" s="328"/>
      <c r="F8" s="328"/>
      <c r="G8" s="328"/>
      <c r="H8" s="329"/>
    </row>
    <row r="9" spans="3:13" x14ac:dyDescent="0.25">
      <c r="C9" s="327"/>
      <c r="D9" s="328"/>
      <c r="E9" s="328"/>
      <c r="F9" s="328"/>
      <c r="G9" s="328"/>
      <c r="H9" s="329"/>
    </row>
    <row r="10" spans="3:13" x14ac:dyDescent="0.25">
      <c r="C10" s="327"/>
      <c r="D10" s="328"/>
      <c r="E10" s="328"/>
      <c r="F10" s="328"/>
      <c r="G10" s="328"/>
      <c r="H10" s="329"/>
    </row>
    <row r="11" spans="3:13" x14ac:dyDescent="0.25">
      <c r="C11" s="327"/>
      <c r="D11" s="328"/>
      <c r="E11" s="328"/>
      <c r="F11" s="328"/>
      <c r="G11" s="328"/>
      <c r="H11" s="329"/>
      <c r="M11" s="43"/>
    </row>
    <row r="12" spans="3:13" x14ac:dyDescent="0.25">
      <c r="C12" s="327"/>
      <c r="D12" s="328"/>
      <c r="E12" s="328"/>
      <c r="F12" s="328"/>
      <c r="G12" s="328"/>
      <c r="H12" s="329"/>
    </row>
    <row r="13" spans="3:13" x14ac:dyDescent="0.25">
      <c r="C13" s="330"/>
      <c r="D13" s="331"/>
      <c r="E13" s="331"/>
      <c r="F13" s="331"/>
      <c r="G13" s="331"/>
      <c r="H13" s="332"/>
    </row>
    <row r="16" spans="3:13" x14ac:dyDescent="0.25">
      <c r="C16" s="11" t="s">
        <v>93</v>
      </c>
    </row>
    <row r="17" spans="3:3" x14ac:dyDescent="0.25">
      <c r="C17" s="75" t="s">
        <v>553</v>
      </c>
    </row>
    <row r="18" spans="3:3" x14ac:dyDescent="0.25">
      <c r="C18" s="75" t="s">
        <v>554</v>
      </c>
    </row>
    <row r="19" spans="3:3" x14ac:dyDescent="0.25">
      <c r="C19" s="75" t="s">
        <v>555</v>
      </c>
    </row>
    <row r="21" spans="3:3" x14ac:dyDescent="0.25">
      <c r="C21" s="11" t="s">
        <v>556</v>
      </c>
    </row>
    <row r="22" spans="3:3" x14ac:dyDescent="0.25">
      <c r="C22" s="75" t="s">
        <v>557</v>
      </c>
    </row>
    <row r="23" spans="3:3" x14ac:dyDescent="0.25">
      <c r="C23" s="75"/>
    </row>
  </sheetData>
  <mergeCells count="1">
    <mergeCell ref="C3:H13"/>
  </mergeCells>
  <hyperlinks>
    <hyperlink ref="C17" r:id="rId1" xr:uid="{04C156B8-1E63-442A-879B-026EDB85CB4F}"/>
    <hyperlink ref="C18" r:id="rId2" xr:uid="{F30E550D-23DA-4886-88E3-AB31263EDC09}"/>
    <hyperlink ref="C19" r:id="rId3" xr:uid="{5ABD4572-3262-4331-8120-982876618843}"/>
    <hyperlink ref="C22" r:id="rId4" xr:uid="{7E4C3288-6417-4D58-806A-31A40449E75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AE6A-360F-40EB-AC62-5BDB59853186}">
  <dimension ref="A1:U41"/>
  <sheetViews>
    <sheetView showGridLines="0" tabSelected="1" topLeftCell="I1" workbookViewId="0">
      <selection activeCell="O2" sqref="O2"/>
    </sheetView>
  </sheetViews>
  <sheetFormatPr defaultRowHeight="13.8" x14ac:dyDescent="0.25"/>
  <cols>
    <col min="1" max="1" width="33.109375" style="17" bestFit="1" customWidth="1"/>
    <col min="2" max="2" width="13" style="17" customWidth="1"/>
    <col min="3" max="3" width="12.5546875" style="17" customWidth="1"/>
    <col min="4" max="4" width="5.5546875" style="17" customWidth="1"/>
    <col min="5" max="5" width="5.5546875" style="290" customWidth="1"/>
    <col min="6" max="7" width="7.88671875" style="291" customWidth="1"/>
    <col min="8" max="8" width="21.109375" style="291" customWidth="1"/>
    <col min="9" max="9" width="17.44140625" style="290" bestFit="1" customWidth="1"/>
    <col min="10" max="10" width="14" style="290" customWidth="1"/>
    <col min="11" max="11" width="20.109375" style="290" bestFit="1" customWidth="1"/>
    <col min="12" max="12" width="20.5546875" style="290" bestFit="1" customWidth="1"/>
    <col min="13" max="13" width="14.6640625" style="290" customWidth="1"/>
    <col min="14" max="14" width="9.77734375" style="290" hidden="1" customWidth="1"/>
    <col min="15" max="15" width="14.6640625" style="290" customWidth="1"/>
    <col min="16" max="16" width="16.33203125" style="290" customWidth="1"/>
    <col min="17" max="17" width="20.88671875" style="290" bestFit="1" customWidth="1"/>
    <col min="18" max="18" width="10" style="17" bestFit="1" customWidth="1"/>
    <col min="19" max="19" width="14.109375" style="17" bestFit="1" customWidth="1"/>
    <col min="20" max="20" width="11" style="17" bestFit="1" customWidth="1"/>
    <col min="21" max="23" width="8.88671875" style="17"/>
    <col min="24" max="24" width="12.77734375" style="17" customWidth="1"/>
    <col min="25" max="16384" width="8.88671875" style="17"/>
  </cols>
  <sheetData>
    <row r="1" spans="1:21" x14ac:dyDescent="0.25">
      <c r="E1" s="21" t="s">
        <v>6</v>
      </c>
      <c r="F1" s="21" t="s">
        <v>182</v>
      </c>
      <c r="G1" s="21" t="s">
        <v>9</v>
      </c>
      <c r="H1" s="21" t="s">
        <v>183</v>
      </c>
      <c r="I1" s="21" t="s">
        <v>184</v>
      </c>
      <c r="J1" s="21" t="s">
        <v>185</v>
      </c>
      <c r="K1" s="21" t="s">
        <v>186</v>
      </c>
      <c r="L1" s="21" t="s">
        <v>187</v>
      </c>
      <c r="M1" s="21" t="s">
        <v>188</v>
      </c>
      <c r="N1" s="21"/>
      <c r="O1" s="21" t="s">
        <v>189</v>
      </c>
      <c r="P1" s="21" t="s">
        <v>190</v>
      </c>
      <c r="Q1" s="21" t="s">
        <v>13</v>
      </c>
    </row>
    <row r="2" spans="1:21" x14ac:dyDescent="0.25">
      <c r="E2" s="22">
        <v>22</v>
      </c>
      <c r="F2" s="22">
        <v>1</v>
      </c>
      <c r="G2" s="22">
        <v>2024</v>
      </c>
      <c r="H2" s="292">
        <f>20000000</f>
        <v>20000000</v>
      </c>
      <c r="I2" s="292">
        <f>H2*12</f>
        <v>240000000</v>
      </c>
      <c r="J2" s="292">
        <f>I2*8%+I2*1.5%+I2*1%</f>
        <v>25200000</v>
      </c>
      <c r="K2" s="292">
        <f>11000000*12</f>
        <v>132000000</v>
      </c>
      <c r="L2" s="292">
        <f>0</f>
        <v>0</v>
      </c>
      <c r="M2" s="292">
        <f>I2-J2-K2-L2</f>
        <v>82800000</v>
      </c>
      <c r="N2" s="292">
        <f>(I2-J2)/10^6</f>
        <v>214.8</v>
      </c>
      <c r="O2" s="292">
        <f>_xlfn.IFS(N2/12-11&lt;0,0*10^6,N2/12-11&lt;=5,(N2/12-11)*5%*12*10^6,N2/12-11&lt;=10,((N2/12-11)*10%-0.25)*12*10^6,N2/12-11&lt;=18,((N2/12-11)*15%-0.75)*12*10^6,N2/12-11&lt;=32,((N2/12-11)*20%-1.65)*12*10^6,N2/12-11&lt;=52,((N2/12-11)*25%-3.25)*12*10^6,N2/12-11&lt;=80,((N2/12-11)*30%-5.85)*12*10^6,N2/12-11&gt;80,((N2/12-11)*35%-9.85)*12*10^6)</f>
        <v>5280000.0000000028</v>
      </c>
      <c r="P2" s="292">
        <f t="shared" ref="P2:P40" si="0">I2-J2-O2</f>
        <v>209520000</v>
      </c>
      <c r="Q2" s="22" t="s">
        <v>125</v>
      </c>
    </row>
    <row r="3" spans="1:21" x14ac:dyDescent="0.25">
      <c r="E3" s="146">
        <f>+E2+1</f>
        <v>23</v>
      </c>
      <c r="F3" s="146">
        <f>+F2+1</f>
        <v>2</v>
      </c>
      <c r="G3" s="146">
        <f>G2+1</f>
        <v>2025</v>
      </c>
      <c r="H3" s="293">
        <v>26000000</v>
      </c>
      <c r="I3" s="293">
        <f t="shared" ref="I3:I40" si="1">H3*12</f>
        <v>312000000</v>
      </c>
      <c r="J3" s="293">
        <f t="shared" ref="J3:J40" si="2">I3*8%+I3*1.5%+I3*1%</f>
        <v>32760000</v>
      </c>
      <c r="K3" s="293">
        <f>11000000*12</f>
        <v>132000000</v>
      </c>
      <c r="L3" s="293">
        <v>0</v>
      </c>
      <c r="M3" s="293">
        <f t="shared" ref="M3:M40" si="3">I3-J3-K3-L3</f>
        <v>147240000</v>
      </c>
      <c r="N3" s="293">
        <f t="shared" ref="N3:N40" si="4">(I3-J3)/10^6</f>
        <v>279.24</v>
      </c>
      <c r="O3" s="293">
        <f t="shared" ref="O2:O40" si="5">_xlfn.IFS(N3/12-11&lt;0,0*10^6,N3/12-11&lt;=5,(N3/12-11)*5%*12*10^6,N3/12-11&lt;=10,((N3/12-11)*10%-0.25)*12*10^6,N3/12-11&lt;=18,((N3/12-11)*15%-0.75)*12*10^6,N3/12-11&lt;=32,((N3/12-11)*20%-1.65)*12*10^6,N3/12-11&lt;=52,((N3/12-11)*25%-3.25)*12*10^6,N3/12-11&lt;=80,((N3/12-11)*30%-5.85)*12*10^6,N3/12-11&gt;80,((N3/12-11)*35%-9.85)*12*10^6)</f>
        <v>13085999.999999998</v>
      </c>
      <c r="P3" s="293">
        <f t="shared" si="0"/>
        <v>266154000</v>
      </c>
      <c r="Q3" s="336" t="s">
        <v>126</v>
      </c>
      <c r="S3" s="23"/>
    </row>
    <row r="4" spans="1:21" x14ac:dyDescent="0.25">
      <c r="E4" s="146">
        <f t="shared" ref="E4:F19" si="6">+E3+1</f>
        <v>24</v>
      </c>
      <c r="F4" s="146">
        <f t="shared" si="6"/>
        <v>3</v>
      </c>
      <c r="G4" s="146">
        <f t="shared" ref="G4:G41" si="7">G3+1</f>
        <v>2026</v>
      </c>
      <c r="H4" s="293">
        <f>H3*(1+$B$12/12)</f>
        <v>26137647.05882353</v>
      </c>
      <c r="I4" s="293">
        <f t="shared" si="1"/>
        <v>313651764.70588237</v>
      </c>
      <c r="J4" s="293">
        <f t="shared" si="2"/>
        <v>32933435.294117644</v>
      </c>
      <c r="K4" s="293">
        <f t="shared" ref="K4:K40" si="8">11000000*12</f>
        <v>132000000</v>
      </c>
      <c r="L4" s="293">
        <v>0</v>
      </c>
      <c r="M4" s="293">
        <f t="shared" si="3"/>
        <v>148718329.41176474</v>
      </c>
      <c r="N4" s="293">
        <f t="shared" si="4"/>
        <v>280.71832941176473</v>
      </c>
      <c r="O4" s="293">
        <f t="shared" si="5"/>
        <v>13307749.411764707</v>
      </c>
      <c r="P4" s="293">
        <f t="shared" si="0"/>
        <v>267410580.00000003</v>
      </c>
      <c r="Q4" s="336"/>
      <c r="S4" s="24"/>
      <c r="U4" s="25"/>
    </row>
    <row r="5" spans="1:21" ht="66" x14ac:dyDescent="0.25">
      <c r="A5" s="143" t="s">
        <v>399</v>
      </c>
      <c r="E5" s="147">
        <f t="shared" si="6"/>
        <v>25</v>
      </c>
      <c r="F5" s="147">
        <f t="shared" si="6"/>
        <v>4</v>
      </c>
      <c r="G5" s="147">
        <f t="shared" si="7"/>
        <v>2027</v>
      </c>
      <c r="H5" s="294">
        <v>40000000</v>
      </c>
      <c r="I5" s="294">
        <f t="shared" si="1"/>
        <v>480000000</v>
      </c>
      <c r="J5" s="294">
        <f t="shared" si="2"/>
        <v>50400000</v>
      </c>
      <c r="K5" s="294">
        <f t="shared" si="8"/>
        <v>132000000</v>
      </c>
      <c r="L5" s="294">
        <v>0</v>
      </c>
      <c r="M5" s="294">
        <f t="shared" si="3"/>
        <v>297600000</v>
      </c>
      <c r="N5" s="294">
        <f t="shared" si="4"/>
        <v>429.6</v>
      </c>
      <c r="O5" s="294">
        <f t="shared" si="5"/>
        <v>39720000.000000015</v>
      </c>
      <c r="P5" s="294">
        <f t="shared" si="0"/>
        <v>389880000</v>
      </c>
      <c r="Q5" s="337" t="s">
        <v>127</v>
      </c>
      <c r="S5" s="23"/>
    </row>
    <row r="6" spans="1:21" ht="26.4" x14ac:dyDescent="0.25">
      <c r="A6" s="144" t="s">
        <v>400</v>
      </c>
      <c r="E6" s="147">
        <f t="shared" si="6"/>
        <v>26</v>
      </c>
      <c r="F6" s="147">
        <f t="shared" si="6"/>
        <v>5</v>
      </c>
      <c r="G6" s="147">
        <f t="shared" si="7"/>
        <v>2028</v>
      </c>
      <c r="H6" s="294">
        <f>H5*(1+$B$12/12)</f>
        <v>40211764.705882356</v>
      </c>
      <c r="I6" s="294">
        <f t="shared" si="1"/>
        <v>482541176.47058827</v>
      </c>
      <c r="J6" s="294">
        <f t="shared" si="2"/>
        <v>50666823.529411763</v>
      </c>
      <c r="K6" s="294">
        <f t="shared" si="8"/>
        <v>132000000</v>
      </c>
      <c r="L6" s="294">
        <v>0</v>
      </c>
      <c r="M6" s="294">
        <f t="shared" si="3"/>
        <v>299874352.94117653</v>
      </c>
      <c r="N6" s="294">
        <f t="shared" si="4"/>
        <v>431.87435294117654</v>
      </c>
      <c r="O6" s="294">
        <f t="shared" si="5"/>
        <v>40174870.588235319</v>
      </c>
      <c r="P6" s="294">
        <f t="shared" si="0"/>
        <v>391699482.35294122</v>
      </c>
      <c r="Q6" s="337"/>
    </row>
    <row r="7" spans="1:21" x14ac:dyDescent="0.25">
      <c r="E7" s="148">
        <f t="shared" si="6"/>
        <v>27</v>
      </c>
      <c r="F7" s="148">
        <f t="shared" si="6"/>
        <v>6</v>
      </c>
      <c r="G7" s="148">
        <f t="shared" si="7"/>
        <v>2029</v>
      </c>
      <c r="H7" s="295">
        <v>62000000</v>
      </c>
      <c r="I7" s="295">
        <f t="shared" si="1"/>
        <v>744000000</v>
      </c>
      <c r="J7" s="295">
        <f t="shared" si="2"/>
        <v>78120000</v>
      </c>
      <c r="K7" s="295">
        <f t="shared" si="8"/>
        <v>132000000</v>
      </c>
      <c r="L7" s="295">
        <v>0</v>
      </c>
      <c r="M7" s="295">
        <f t="shared" si="3"/>
        <v>533880000</v>
      </c>
      <c r="N7" s="295">
        <f t="shared" si="4"/>
        <v>665.88</v>
      </c>
      <c r="O7" s="295">
        <f t="shared" si="5"/>
        <v>94470000</v>
      </c>
      <c r="P7" s="295">
        <f t="shared" si="0"/>
        <v>571410000</v>
      </c>
      <c r="Q7" s="338" t="s">
        <v>128</v>
      </c>
      <c r="U7" s="25"/>
    </row>
    <row r="8" spans="1:21" x14ac:dyDescent="0.25">
      <c r="A8" s="36" t="s">
        <v>196</v>
      </c>
      <c r="B8" s="335" t="s">
        <v>201</v>
      </c>
      <c r="C8" s="335"/>
      <c r="E8" s="148">
        <f t="shared" si="6"/>
        <v>28</v>
      </c>
      <c r="F8" s="148">
        <f t="shared" si="6"/>
        <v>7</v>
      </c>
      <c r="G8" s="148">
        <f t="shared" si="7"/>
        <v>2030</v>
      </c>
      <c r="H8" s="295">
        <f>H7*(1+$B$12/12)</f>
        <v>62328235.294117652</v>
      </c>
      <c r="I8" s="295">
        <f t="shared" si="1"/>
        <v>747938823.52941179</v>
      </c>
      <c r="J8" s="295">
        <f t="shared" si="2"/>
        <v>78533576.470588237</v>
      </c>
      <c r="K8" s="295">
        <f t="shared" si="8"/>
        <v>132000000</v>
      </c>
      <c r="L8" s="295">
        <v>0</v>
      </c>
      <c r="M8" s="295">
        <f t="shared" si="3"/>
        <v>537405247.05882359</v>
      </c>
      <c r="N8" s="295">
        <f t="shared" si="4"/>
        <v>669.40524705882353</v>
      </c>
      <c r="O8" s="295">
        <f t="shared" si="5"/>
        <v>95351311.764705881</v>
      </c>
      <c r="P8" s="295">
        <f t="shared" si="0"/>
        <v>574053935.29411769</v>
      </c>
      <c r="Q8" s="338"/>
    </row>
    <row r="9" spans="1:21" x14ac:dyDescent="0.25">
      <c r="A9" s="36" t="s">
        <v>197</v>
      </c>
      <c r="B9" s="335" t="s">
        <v>200</v>
      </c>
      <c r="C9" s="335"/>
      <c r="E9" s="296">
        <f t="shared" si="6"/>
        <v>29</v>
      </c>
      <c r="F9" s="296">
        <f t="shared" si="6"/>
        <v>8</v>
      </c>
      <c r="G9" s="296">
        <f t="shared" si="7"/>
        <v>2031</v>
      </c>
      <c r="H9" s="297">
        <v>80000000</v>
      </c>
      <c r="I9" s="297">
        <f t="shared" si="1"/>
        <v>960000000</v>
      </c>
      <c r="J9" s="297">
        <f t="shared" si="2"/>
        <v>100800000</v>
      </c>
      <c r="K9" s="297">
        <f t="shared" si="8"/>
        <v>132000000</v>
      </c>
      <c r="L9" s="297">
        <v>0</v>
      </c>
      <c r="M9" s="297">
        <f t="shared" si="3"/>
        <v>727200000</v>
      </c>
      <c r="N9" s="297">
        <f t="shared" si="4"/>
        <v>859.2</v>
      </c>
      <c r="O9" s="297">
        <f t="shared" si="5"/>
        <v>147960000.00000003</v>
      </c>
      <c r="P9" s="297">
        <f t="shared" si="0"/>
        <v>711240000</v>
      </c>
      <c r="Q9" s="339" t="s">
        <v>129</v>
      </c>
      <c r="U9" s="25"/>
    </row>
    <row r="10" spans="1:21" x14ac:dyDescent="0.25">
      <c r="A10" s="36" t="s">
        <v>198</v>
      </c>
      <c r="B10" s="335" t="s">
        <v>199</v>
      </c>
      <c r="C10" s="335"/>
      <c r="E10" s="296">
        <f>+E9+1</f>
        <v>30</v>
      </c>
      <c r="F10" s="296">
        <f>+F9+1</f>
        <v>9</v>
      </c>
      <c r="G10" s="296">
        <f t="shared" si="7"/>
        <v>2032</v>
      </c>
      <c r="H10" s="297">
        <v>100000000</v>
      </c>
      <c r="I10" s="297">
        <f t="shared" si="1"/>
        <v>1200000000</v>
      </c>
      <c r="J10" s="297">
        <f t="shared" si="2"/>
        <v>126000000</v>
      </c>
      <c r="K10" s="297">
        <f t="shared" si="8"/>
        <v>132000000</v>
      </c>
      <c r="L10" s="297">
        <f t="shared" ref="L10:L15" si="9">4400000</f>
        <v>4400000</v>
      </c>
      <c r="M10" s="297">
        <f t="shared" si="3"/>
        <v>937600000</v>
      </c>
      <c r="N10" s="297">
        <f t="shared" si="4"/>
        <v>1074</v>
      </c>
      <c r="O10" s="297">
        <f t="shared" si="5"/>
        <v>212400000.00000003</v>
      </c>
      <c r="P10" s="297">
        <f t="shared" si="0"/>
        <v>861600000</v>
      </c>
      <c r="Q10" s="340"/>
    </row>
    <row r="11" spans="1:21" x14ac:dyDescent="0.25">
      <c r="A11" s="333" t="s">
        <v>191</v>
      </c>
      <c r="B11" s="37">
        <v>0.09</v>
      </c>
      <c r="C11" s="38" t="s">
        <v>192</v>
      </c>
      <c r="E11" s="296">
        <f t="shared" si="6"/>
        <v>31</v>
      </c>
      <c r="F11" s="296">
        <f t="shared" si="6"/>
        <v>10</v>
      </c>
      <c r="G11" s="296">
        <f t="shared" si="7"/>
        <v>2033</v>
      </c>
      <c r="H11" s="297">
        <v>150000000</v>
      </c>
      <c r="I11" s="297">
        <f t="shared" si="1"/>
        <v>1800000000</v>
      </c>
      <c r="J11" s="297">
        <f t="shared" si="2"/>
        <v>189000000</v>
      </c>
      <c r="K11" s="297">
        <f t="shared" si="8"/>
        <v>132000000</v>
      </c>
      <c r="L11" s="297">
        <f t="shared" si="9"/>
        <v>4400000</v>
      </c>
      <c r="M11" s="297">
        <f t="shared" si="3"/>
        <v>1474600000</v>
      </c>
      <c r="N11" s="297">
        <f t="shared" si="4"/>
        <v>1611</v>
      </c>
      <c r="O11" s="297">
        <f t="shared" si="5"/>
        <v>399449999.99999994</v>
      </c>
      <c r="P11" s="297">
        <f t="shared" si="0"/>
        <v>1211550000</v>
      </c>
      <c r="Q11" s="340"/>
    </row>
    <row r="12" spans="1:21" x14ac:dyDescent="0.25">
      <c r="A12" s="334"/>
      <c r="B12" s="38">
        <f>(B11/17)*12</f>
        <v>6.3529411764705876E-2</v>
      </c>
      <c r="C12" s="38" t="s">
        <v>193</v>
      </c>
      <c r="E12" s="296">
        <f t="shared" si="6"/>
        <v>32</v>
      </c>
      <c r="F12" s="296">
        <f t="shared" si="6"/>
        <v>11</v>
      </c>
      <c r="G12" s="296">
        <f t="shared" si="7"/>
        <v>2034</v>
      </c>
      <c r="H12" s="297">
        <v>200000000</v>
      </c>
      <c r="I12" s="297">
        <f t="shared" si="1"/>
        <v>2400000000</v>
      </c>
      <c r="J12" s="297">
        <f t="shared" si="2"/>
        <v>252000000</v>
      </c>
      <c r="K12" s="297">
        <f t="shared" si="8"/>
        <v>132000000</v>
      </c>
      <c r="L12" s="297">
        <f t="shared" si="9"/>
        <v>4400000</v>
      </c>
      <c r="M12" s="297">
        <f t="shared" si="3"/>
        <v>2011600000</v>
      </c>
      <c r="N12" s="297">
        <f t="shared" si="4"/>
        <v>2148</v>
      </c>
      <c r="O12" s="297">
        <f t="shared" si="5"/>
        <v>587400000</v>
      </c>
      <c r="P12" s="297">
        <f t="shared" si="0"/>
        <v>1560600000</v>
      </c>
      <c r="Q12" s="340"/>
    </row>
    <row r="13" spans="1:21" x14ac:dyDescent="0.25">
      <c r="B13" s="35"/>
      <c r="E13" s="296">
        <f t="shared" si="6"/>
        <v>33</v>
      </c>
      <c r="F13" s="296">
        <f t="shared" si="6"/>
        <v>12</v>
      </c>
      <c r="G13" s="296">
        <f t="shared" si="7"/>
        <v>2035</v>
      </c>
      <c r="H13" s="297">
        <f t="shared" ref="H13:H40" si="10">H12*(1+$B$12/12)</f>
        <v>201058823.52941179</v>
      </c>
      <c r="I13" s="297">
        <f t="shared" si="1"/>
        <v>2412705882.3529415</v>
      </c>
      <c r="J13" s="297">
        <f t="shared" si="2"/>
        <v>253334117.64705884</v>
      </c>
      <c r="K13" s="297">
        <f t="shared" si="8"/>
        <v>132000000</v>
      </c>
      <c r="L13" s="297">
        <f t="shared" si="9"/>
        <v>4400000</v>
      </c>
      <c r="M13" s="297">
        <f t="shared" si="3"/>
        <v>2022971764.7058825</v>
      </c>
      <c r="N13" s="297">
        <f t="shared" si="4"/>
        <v>2159.3717647058825</v>
      </c>
      <c r="O13" s="297">
        <f t="shared" si="5"/>
        <v>591380117.64705884</v>
      </c>
      <c r="P13" s="297">
        <f t="shared" si="0"/>
        <v>1567991647.0588236</v>
      </c>
      <c r="Q13" s="340"/>
    </row>
    <row r="14" spans="1:21" x14ac:dyDescent="0.25">
      <c r="E14" s="296">
        <f t="shared" si="6"/>
        <v>34</v>
      </c>
      <c r="F14" s="296">
        <f t="shared" si="6"/>
        <v>13</v>
      </c>
      <c r="G14" s="296">
        <f t="shared" si="7"/>
        <v>2036</v>
      </c>
      <c r="H14" s="297">
        <f t="shared" si="10"/>
        <v>202123252.59515575</v>
      </c>
      <c r="I14" s="297">
        <f t="shared" si="1"/>
        <v>2425479031.1418691</v>
      </c>
      <c r="J14" s="297">
        <f t="shared" si="2"/>
        <v>254675298.26989624</v>
      </c>
      <c r="K14" s="297">
        <f t="shared" si="8"/>
        <v>132000000</v>
      </c>
      <c r="L14" s="297">
        <f t="shared" si="9"/>
        <v>4400000</v>
      </c>
      <c r="M14" s="297">
        <f t="shared" si="3"/>
        <v>2034403732.871973</v>
      </c>
      <c r="N14" s="297">
        <f t="shared" si="4"/>
        <v>2170.8037328719729</v>
      </c>
      <c r="O14" s="297">
        <f t="shared" si="5"/>
        <v>595381306.50519037</v>
      </c>
      <c r="P14" s="297">
        <f t="shared" si="0"/>
        <v>1575422426.3667827</v>
      </c>
      <c r="Q14" s="340"/>
    </row>
    <row r="15" spans="1:21" x14ac:dyDescent="0.25">
      <c r="E15" s="296">
        <f t="shared" si="6"/>
        <v>35</v>
      </c>
      <c r="F15" s="296">
        <f t="shared" si="6"/>
        <v>14</v>
      </c>
      <c r="G15" s="296">
        <f t="shared" si="7"/>
        <v>2037</v>
      </c>
      <c r="H15" s="297">
        <f t="shared" si="10"/>
        <v>203193316.87360069</v>
      </c>
      <c r="I15" s="297">
        <f t="shared" si="1"/>
        <v>2438319802.4832082</v>
      </c>
      <c r="J15" s="297">
        <f t="shared" si="2"/>
        <v>256023579.26073682</v>
      </c>
      <c r="K15" s="297">
        <f t="shared" si="8"/>
        <v>132000000</v>
      </c>
      <c r="L15" s="297">
        <f t="shared" si="9"/>
        <v>4400000</v>
      </c>
      <c r="M15" s="297">
        <f t="shared" si="3"/>
        <v>2045896223.2224712</v>
      </c>
      <c r="N15" s="297">
        <f t="shared" si="4"/>
        <v>2182.2962232224713</v>
      </c>
      <c r="O15" s="297">
        <f t="shared" si="5"/>
        <v>599403678.12786484</v>
      </c>
      <c r="P15" s="297">
        <f t="shared" si="0"/>
        <v>1582892545.0946064</v>
      </c>
      <c r="Q15" s="340"/>
    </row>
    <row r="16" spans="1:21" x14ac:dyDescent="0.25">
      <c r="E16" s="296">
        <f t="shared" si="6"/>
        <v>36</v>
      </c>
      <c r="F16" s="296">
        <f t="shared" si="6"/>
        <v>15</v>
      </c>
      <c r="G16" s="296">
        <f t="shared" si="7"/>
        <v>2038</v>
      </c>
      <c r="H16" s="297">
        <f t="shared" si="10"/>
        <v>204269046.19822565</v>
      </c>
      <c r="I16" s="297">
        <f t="shared" si="1"/>
        <v>2451228554.3787079</v>
      </c>
      <c r="J16" s="297">
        <f t="shared" si="2"/>
        <v>257378998.20976436</v>
      </c>
      <c r="K16" s="297">
        <f t="shared" si="8"/>
        <v>132000000</v>
      </c>
      <c r="L16" s="297">
        <f>4400000*2</f>
        <v>8800000</v>
      </c>
      <c r="M16" s="297">
        <f t="shared" si="3"/>
        <v>2053049556.1689434</v>
      </c>
      <c r="N16" s="297">
        <f t="shared" si="4"/>
        <v>2193.8495561689433</v>
      </c>
      <c r="O16" s="297">
        <f t="shared" si="5"/>
        <v>603447344.6591301</v>
      </c>
      <c r="P16" s="297">
        <f t="shared" si="0"/>
        <v>1590402211.5098133</v>
      </c>
      <c r="Q16" s="340"/>
    </row>
    <row r="17" spans="1:17" x14ac:dyDescent="0.25">
      <c r="E17" s="296">
        <f t="shared" si="6"/>
        <v>37</v>
      </c>
      <c r="F17" s="296">
        <f t="shared" si="6"/>
        <v>16</v>
      </c>
      <c r="G17" s="296">
        <f t="shared" si="7"/>
        <v>2039</v>
      </c>
      <c r="H17" s="297">
        <f t="shared" si="10"/>
        <v>205350470.56045157</v>
      </c>
      <c r="I17" s="297">
        <f t="shared" si="1"/>
        <v>2464205646.725419</v>
      </c>
      <c r="J17" s="297">
        <f t="shared" si="2"/>
        <v>258741592.90616903</v>
      </c>
      <c r="K17" s="297">
        <f t="shared" si="8"/>
        <v>132000000</v>
      </c>
      <c r="L17" s="297">
        <f t="shared" ref="L17:L32" si="11">4400000*2</f>
        <v>8800000</v>
      </c>
      <c r="M17" s="297">
        <f t="shared" si="3"/>
        <v>2064664053.8192501</v>
      </c>
      <c r="N17" s="297">
        <f t="shared" si="4"/>
        <v>2205.4640538192502</v>
      </c>
      <c r="O17" s="297">
        <f t="shared" si="5"/>
        <v>607512418.83673751</v>
      </c>
      <c r="P17" s="297">
        <f t="shared" si="0"/>
        <v>1597951634.9825125</v>
      </c>
      <c r="Q17" s="340"/>
    </row>
    <row r="18" spans="1:17" x14ac:dyDescent="0.25">
      <c r="A18" s="75"/>
      <c r="E18" s="296">
        <f t="shared" si="6"/>
        <v>38</v>
      </c>
      <c r="F18" s="296">
        <f t="shared" si="6"/>
        <v>17</v>
      </c>
      <c r="G18" s="296">
        <f t="shared" si="7"/>
        <v>2040</v>
      </c>
      <c r="H18" s="297">
        <f t="shared" si="10"/>
        <v>206437620.11047751</v>
      </c>
      <c r="I18" s="297">
        <f t="shared" si="1"/>
        <v>2477251441.3257303</v>
      </c>
      <c r="J18" s="297">
        <f t="shared" si="2"/>
        <v>260111401.33920169</v>
      </c>
      <c r="K18" s="297">
        <f t="shared" si="8"/>
        <v>132000000</v>
      </c>
      <c r="L18" s="297">
        <f t="shared" si="11"/>
        <v>8800000</v>
      </c>
      <c r="M18" s="297">
        <f t="shared" si="3"/>
        <v>2076340039.9865284</v>
      </c>
      <c r="N18" s="297">
        <f t="shared" si="4"/>
        <v>2217.1400399865283</v>
      </c>
      <c r="O18" s="297">
        <f t="shared" si="5"/>
        <v>611599013.9952848</v>
      </c>
      <c r="P18" s="297">
        <f t="shared" si="0"/>
        <v>1605541025.9912436</v>
      </c>
      <c r="Q18" s="340"/>
    </row>
    <row r="19" spans="1:17" x14ac:dyDescent="0.25">
      <c r="A19" s="75"/>
      <c r="E19" s="296">
        <f t="shared" si="6"/>
        <v>39</v>
      </c>
      <c r="F19" s="296">
        <f t="shared" si="6"/>
        <v>18</v>
      </c>
      <c r="G19" s="296">
        <f t="shared" si="7"/>
        <v>2041</v>
      </c>
      <c r="H19" s="297">
        <f t="shared" si="10"/>
        <v>207530525.15812123</v>
      </c>
      <c r="I19" s="297">
        <f t="shared" si="1"/>
        <v>2490366301.8974547</v>
      </c>
      <c r="J19" s="297">
        <f t="shared" si="2"/>
        <v>261488461.69923273</v>
      </c>
      <c r="K19" s="297">
        <f t="shared" si="8"/>
        <v>132000000</v>
      </c>
      <c r="L19" s="297">
        <f t="shared" si="11"/>
        <v>8800000</v>
      </c>
      <c r="M19" s="297">
        <f t="shared" si="3"/>
        <v>2088077840.1982222</v>
      </c>
      <c r="N19" s="297">
        <f t="shared" si="4"/>
        <v>2228.8778401982222</v>
      </c>
      <c r="O19" s="297">
        <f t="shared" si="5"/>
        <v>615707244.06937766</v>
      </c>
      <c r="P19" s="297">
        <f t="shared" si="0"/>
        <v>1613170596.1288445</v>
      </c>
      <c r="Q19" s="340"/>
    </row>
    <row r="20" spans="1:17" x14ac:dyDescent="0.25">
      <c r="A20" s="75"/>
      <c r="E20" s="296">
        <f t="shared" ref="E20:F35" si="12">+E19+1</f>
        <v>40</v>
      </c>
      <c r="F20" s="296">
        <f t="shared" si="12"/>
        <v>19</v>
      </c>
      <c r="G20" s="296">
        <f t="shared" si="7"/>
        <v>2042</v>
      </c>
      <c r="H20" s="297">
        <f t="shared" si="10"/>
        <v>208629216.17366424</v>
      </c>
      <c r="I20" s="297">
        <f t="shared" si="1"/>
        <v>2503550594.083971</v>
      </c>
      <c r="J20" s="297">
        <f t="shared" si="2"/>
        <v>262872812.37881696</v>
      </c>
      <c r="K20" s="297">
        <f t="shared" si="8"/>
        <v>132000000</v>
      </c>
      <c r="L20" s="297">
        <f t="shared" si="11"/>
        <v>8800000</v>
      </c>
      <c r="M20" s="297">
        <f t="shared" si="3"/>
        <v>2099877781.7051539</v>
      </c>
      <c r="N20" s="297">
        <f t="shared" si="4"/>
        <v>2240.6777817051538</v>
      </c>
      <c r="O20" s="297">
        <f t="shared" si="5"/>
        <v>619837223.59680378</v>
      </c>
      <c r="P20" s="297">
        <f t="shared" si="0"/>
        <v>1620840558.1083503</v>
      </c>
      <c r="Q20" s="340"/>
    </row>
    <row r="21" spans="1:17" x14ac:dyDescent="0.25">
      <c r="E21" s="296">
        <f t="shared" si="12"/>
        <v>41</v>
      </c>
      <c r="F21" s="296">
        <f t="shared" si="12"/>
        <v>20</v>
      </c>
      <c r="G21" s="296">
        <f t="shared" si="7"/>
        <v>2043</v>
      </c>
      <c r="H21" s="297">
        <f t="shared" si="10"/>
        <v>209733723.7887013</v>
      </c>
      <c r="I21" s="297">
        <f t="shared" si="1"/>
        <v>2516804685.4644156</v>
      </c>
      <c r="J21" s="297">
        <f t="shared" si="2"/>
        <v>264264491.97376364</v>
      </c>
      <c r="K21" s="297">
        <f t="shared" si="8"/>
        <v>132000000</v>
      </c>
      <c r="L21" s="297">
        <f t="shared" si="11"/>
        <v>8800000</v>
      </c>
      <c r="M21" s="297">
        <f t="shared" si="3"/>
        <v>2111740193.4906521</v>
      </c>
      <c r="N21" s="297">
        <f t="shared" si="4"/>
        <v>2252.5401934906522</v>
      </c>
      <c r="O21" s="297">
        <f t="shared" si="5"/>
        <v>623989067.72172821</v>
      </c>
      <c r="P21" s="297">
        <f t="shared" si="0"/>
        <v>1628551125.7689238</v>
      </c>
      <c r="Q21" s="340"/>
    </row>
    <row r="22" spans="1:17" x14ac:dyDescent="0.25">
      <c r="E22" s="296">
        <f t="shared" si="12"/>
        <v>42</v>
      </c>
      <c r="F22" s="296">
        <f t="shared" si="12"/>
        <v>21</v>
      </c>
      <c r="G22" s="296">
        <f t="shared" si="7"/>
        <v>2044</v>
      </c>
      <c r="H22" s="297">
        <f t="shared" si="10"/>
        <v>210844078.79699445</v>
      </c>
      <c r="I22" s="297">
        <f t="shared" si="1"/>
        <v>2530128945.5639334</v>
      </c>
      <c r="J22" s="297">
        <f t="shared" si="2"/>
        <v>265663539.28421298</v>
      </c>
      <c r="K22" s="297">
        <f t="shared" si="8"/>
        <v>132000000</v>
      </c>
      <c r="L22" s="297">
        <f t="shared" si="11"/>
        <v>8800000</v>
      </c>
      <c r="M22" s="297">
        <f t="shared" si="3"/>
        <v>2123665406.2797203</v>
      </c>
      <c r="N22" s="297">
        <f t="shared" si="4"/>
        <v>2264.4654062797204</v>
      </c>
      <c r="O22" s="297">
        <f t="shared" si="5"/>
        <v>628162892.19790196</v>
      </c>
      <c r="P22" s="297">
        <f t="shared" si="0"/>
        <v>1636302514.0818183</v>
      </c>
      <c r="Q22" s="340"/>
    </row>
    <row r="23" spans="1:17" x14ac:dyDescent="0.25">
      <c r="E23" s="296">
        <f t="shared" si="12"/>
        <v>43</v>
      </c>
      <c r="F23" s="296">
        <f t="shared" si="12"/>
        <v>22</v>
      </c>
      <c r="G23" s="296">
        <f t="shared" si="7"/>
        <v>2045</v>
      </c>
      <c r="H23" s="297">
        <f t="shared" si="10"/>
        <v>211960312.15533149</v>
      </c>
      <c r="I23" s="297">
        <f t="shared" si="1"/>
        <v>2543523745.8639779</v>
      </c>
      <c r="J23" s="297">
        <f t="shared" si="2"/>
        <v>267069993.31571767</v>
      </c>
      <c r="K23" s="297">
        <f t="shared" si="8"/>
        <v>132000000</v>
      </c>
      <c r="L23" s="297">
        <f t="shared" si="11"/>
        <v>8800000</v>
      </c>
      <c r="M23" s="297">
        <f t="shared" si="3"/>
        <v>2135653752.5482602</v>
      </c>
      <c r="N23" s="297">
        <f t="shared" si="4"/>
        <v>2276.4537525482601</v>
      </c>
      <c r="O23" s="297">
        <f t="shared" si="5"/>
        <v>632358813.391891</v>
      </c>
      <c r="P23" s="297">
        <f t="shared" si="0"/>
        <v>1644094939.1563692</v>
      </c>
      <c r="Q23" s="340"/>
    </row>
    <row r="24" spans="1:17" x14ac:dyDescent="0.25">
      <c r="E24" s="296">
        <f t="shared" si="12"/>
        <v>44</v>
      </c>
      <c r="F24" s="296">
        <f t="shared" si="12"/>
        <v>23</v>
      </c>
      <c r="G24" s="296">
        <f t="shared" si="7"/>
        <v>2046</v>
      </c>
      <c r="H24" s="297">
        <f t="shared" si="10"/>
        <v>213082454.98438916</v>
      </c>
      <c r="I24" s="297">
        <f t="shared" si="1"/>
        <v>2556989459.8126698</v>
      </c>
      <c r="J24" s="297">
        <f t="shared" si="2"/>
        <v>268483893.2803303</v>
      </c>
      <c r="K24" s="297">
        <f t="shared" si="8"/>
        <v>132000000</v>
      </c>
      <c r="L24" s="297">
        <f t="shared" si="11"/>
        <v>8800000</v>
      </c>
      <c r="M24" s="297">
        <f t="shared" si="3"/>
        <v>2147705566.5323396</v>
      </c>
      <c r="N24" s="297">
        <f t="shared" si="4"/>
        <v>2288.5055665323398</v>
      </c>
      <c r="O24" s="297">
        <f t="shared" si="5"/>
        <v>636576948.2863189</v>
      </c>
      <c r="P24" s="297">
        <f t="shared" si="0"/>
        <v>1651928618.2460208</v>
      </c>
      <c r="Q24" s="340"/>
    </row>
    <row r="25" spans="1:17" x14ac:dyDescent="0.25">
      <c r="E25" s="296">
        <f t="shared" si="12"/>
        <v>45</v>
      </c>
      <c r="F25" s="296">
        <f t="shared" si="12"/>
        <v>24</v>
      </c>
      <c r="G25" s="296">
        <f t="shared" si="7"/>
        <v>2047</v>
      </c>
      <c r="H25" s="297">
        <f t="shared" si="10"/>
        <v>214210538.56960064</v>
      </c>
      <c r="I25" s="297">
        <f t="shared" si="1"/>
        <v>2570526462.8352079</v>
      </c>
      <c r="J25" s="297">
        <f t="shared" si="2"/>
        <v>269905278.59769684</v>
      </c>
      <c r="K25" s="297">
        <f t="shared" si="8"/>
        <v>132000000</v>
      </c>
      <c r="L25" s="297">
        <f t="shared" si="11"/>
        <v>8800000</v>
      </c>
      <c r="M25" s="297">
        <f t="shared" si="3"/>
        <v>2159821184.2375112</v>
      </c>
      <c r="N25" s="297">
        <f t="shared" si="4"/>
        <v>2300.621184237511</v>
      </c>
      <c r="O25" s="297">
        <f t="shared" si="5"/>
        <v>640817414.48312879</v>
      </c>
      <c r="P25" s="297">
        <f t="shared" si="0"/>
        <v>1659803769.7543824</v>
      </c>
      <c r="Q25" s="340"/>
    </row>
    <row r="26" spans="1:17" x14ac:dyDescent="0.25">
      <c r="E26" s="296">
        <f t="shared" si="12"/>
        <v>46</v>
      </c>
      <c r="F26" s="296">
        <f t="shared" si="12"/>
        <v>25</v>
      </c>
      <c r="G26" s="296">
        <f t="shared" si="7"/>
        <v>2048</v>
      </c>
      <c r="H26" s="297">
        <f t="shared" si="10"/>
        <v>215344594.36202794</v>
      </c>
      <c r="I26" s="297">
        <f t="shared" si="1"/>
        <v>2584135132.3443356</v>
      </c>
      <c r="J26" s="297">
        <f t="shared" si="2"/>
        <v>271334188.89615524</v>
      </c>
      <c r="K26" s="297">
        <f t="shared" si="8"/>
        <v>132000000</v>
      </c>
      <c r="L26" s="297">
        <f t="shared" si="11"/>
        <v>8800000</v>
      </c>
      <c r="M26" s="297">
        <f t="shared" si="3"/>
        <v>2172000943.4481802</v>
      </c>
      <c r="N26" s="297">
        <f t="shared" si="4"/>
        <v>2312.8009434481801</v>
      </c>
      <c r="O26" s="297">
        <f t="shared" si="5"/>
        <v>645080330.20686293</v>
      </c>
      <c r="P26" s="297">
        <f t="shared" si="0"/>
        <v>1667720613.2413173</v>
      </c>
      <c r="Q26" s="340"/>
    </row>
    <row r="27" spans="1:17" x14ac:dyDescent="0.25">
      <c r="E27" s="296">
        <f t="shared" si="12"/>
        <v>47</v>
      </c>
      <c r="F27" s="296">
        <f t="shared" si="12"/>
        <v>26</v>
      </c>
      <c r="G27" s="296">
        <f t="shared" si="7"/>
        <v>2049</v>
      </c>
      <c r="H27" s="297">
        <f t="shared" si="10"/>
        <v>216484653.97923869</v>
      </c>
      <c r="I27" s="297">
        <f t="shared" si="1"/>
        <v>2597815847.750864</v>
      </c>
      <c r="J27" s="297">
        <f t="shared" si="2"/>
        <v>272770664.01384073</v>
      </c>
      <c r="K27" s="297">
        <f t="shared" si="8"/>
        <v>132000000</v>
      </c>
      <c r="L27" s="297">
        <f t="shared" si="11"/>
        <v>8800000</v>
      </c>
      <c r="M27" s="297">
        <f t="shared" si="3"/>
        <v>2184245183.7370234</v>
      </c>
      <c r="N27" s="297">
        <f t="shared" si="4"/>
        <v>2325.0451837370233</v>
      </c>
      <c r="O27" s="297">
        <f t="shared" si="5"/>
        <v>649365814.30795813</v>
      </c>
      <c r="P27" s="297">
        <f t="shared" si="0"/>
        <v>1675679369.4290652</v>
      </c>
      <c r="Q27" s="340"/>
    </row>
    <row r="28" spans="1:17" x14ac:dyDescent="0.25">
      <c r="E28" s="296">
        <f t="shared" si="12"/>
        <v>48</v>
      </c>
      <c r="F28" s="296">
        <f t="shared" si="12"/>
        <v>27</v>
      </c>
      <c r="G28" s="296">
        <f t="shared" si="7"/>
        <v>2050</v>
      </c>
      <c r="H28" s="297">
        <f t="shared" si="10"/>
        <v>217630749.20618761</v>
      </c>
      <c r="I28" s="297">
        <f t="shared" si="1"/>
        <v>2611568990.4742513</v>
      </c>
      <c r="J28" s="297">
        <f t="shared" si="2"/>
        <v>274214743.99979639</v>
      </c>
      <c r="K28" s="297">
        <f t="shared" si="8"/>
        <v>132000000</v>
      </c>
      <c r="L28" s="297">
        <f t="shared" si="11"/>
        <v>8800000</v>
      </c>
      <c r="M28" s="297">
        <f t="shared" si="3"/>
        <v>2196554246.4744549</v>
      </c>
      <c r="N28" s="297">
        <f t="shared" si="4"/>
        <v>2337.3542464744551</v>
      </c>
      <c r="O28" s="297">
        <f t="shared" si="5"/>
        <v>653673986.26605916</v>
      </c>
      <c r="P28" s="297">
        <f t="shared" si="0"/>
        <v>1683680260.2083957</v>
      </c>
      <c r="Q28" s="340"/>
    </row>
    <row r="29" spans="1:17" x14ac:dyDescent="0.25">
      <c r="E29" s="296">
        <f t="shared" si="12"/>
        <v>49</v>
      </c>
      <c r="F29" s="296">
        <f t="shared" si="12"/>
        <v>28</v>
      </c>
      <c r="G29" s="296">
        <f t="shared" si="7"/>
        <v>2051</v>
      </c>
      <c r="H29" s="297">
        <f t="shared" si="10"/>
        <v>218782911.99610272</v>
      </c>
      <c r="I29" s="297">
        <f t="shared" si="1"/>
        <v>2625394943.9532328</v>
      </c>
      <c r="J29" s="297">
        <f t="shared" si="2"/>
        <v>275666469.11508942</v>
      </c>
      <c r="K29" s="297">
        <f t="shared" si="8"/>
        <v>132000000</v>
      </c>
      <c r="L29" s="297">
        <f t="shared" si="11"/>
        <v>8800000</v>
      </c>
      <c r="M29" s="297">
        <f t="shared" si="3"/>
        <v>2208928474.8381433</v>
      </c>
      <c r="N29" s="297">
        <f t="shared" si="4"/>
        <v>2349.7284748381435</v>
      </c>
      <c r="O29" s="297">
        <f t="shared" si="5"/>
        <v>658004966.19334996</v>
      </c>
      <c r="P29" s="297">
        <f t="shared" si="0"/>
        <v>1691723508.6447935</v>
      </c>
      <c r="Q29" s="340"/>
    </row>
    <row r="30" spans="1:17" x14ac:dyDescent="0.25">
      <c r="E30" s="296">
        <f t="shared" si="12"/>
        <v>50</v>
      </c>
      <c r="F30" s="296">
        <f t="shared" si="12"/>
        <v>29</v>
      </c>
      <c r="G30" s="296">
        <f t="shared" si="7"/>
        <v>2052</v>
      </c>
      <c r="H30" s="297">
        <f t="shared" si="10"/>
        <v>219941174.47137621</v>
      </c>
      <c r="I30" s="297">
        <f t="shared" si="1"/>
        <v>2639294093.6565146</v>
      </c>
      <c r="J30" s="297">
        <f t="shared" si="2"/>
        <v>277125879.83393401</v>
      </c>
      <c r="K30" s="297">
        <f t="shared" si="8"/>
        <v>132000000</v>
      </c>
      <c r="L30" s="297">
        <f t="shared" si="11"/>
        <v>8800000</v>
      </c>
      <c r="M30" s="297">
        <f t="shared" si="3"/>
        <v>2221368213.8225808</v>
      </c>
      <c r="N30" s="297">
        <f t="shared" si="4"/>
        <v>2362.168213822581</v>
      </c>
      <c r="O30" s="297">
        <f t="shared" si="5"/>
        <v>662358874.83790326</v>
      </c>
      <c r="P30" s="297">
        <f t="shared" si="0"/>
        <v>1699809338.9846776</v>
      </c>
      <c r="Q30" s="340"/>
    </row>
    <row r="31" spans="1:17" x14ac:dyDescent="0.25">
      <c r="E31" s="296">
        <f t="shared" si="12"/>
        <v>51</v>
      </c>
      <c r="F31" s="296">
        <f t="shared" si="12"/>
        <v>30</v>
      </c>
      <c r="G31" s="296">
        <f t="shared" si="7"/>
        <v>2053</v>
      </c>
      <c r="H31" s="297">
        <f t="shared" si="10"/>
        <v>221105568.92445999</v>
      </c>
      <c r="I31" s="297">
        <f t="shared" si="1"/>
        <v>2653266827.0935202</v>
      </c>
      <c r="J31" s="297">
        <f t="shared" si="2"/>
        <v>278593016.84481961</v>
      </c>
      <c r="K31" s="297">
        <f t="shared" si="8"/>
        <v>132000000</v>
      </c>
      <c r="L31" s="297">
        <f t="shared" si="11"/>
        <v>8800000</v>
      </c>
      <c r="M31" s="297">
        <f t="shared" si="3"/>
        <v>2233873810.2487006</v>
      </c>
      <c r="N31" s="297">
        <f t="shared" si="4"/>
        <v>2374.6738102487006</v>
      </c>
      <c r="O31" s="297">
        <f t="shared" si="5"/>
        <v>666735833.58704519</v>
      </c>
      <c r="P31" s="297">
        <f t="shared" si="0"/>
        <v>1707937976.6616554</v>
      </c>
      <c r="Q31" s="340"/>
    </row>
    <row r="32" spans="1:17" x14ac:dyDescent="0.25">
      <c r="E32" s="296">
        <f t="shared" si="12"/>
        <v>52</v>
      </c>
      <c r="F32" s="296">
        <f t="shared" si="12"/>
        <v>31</v>
      </c>
      <c r="G32" s="296">
        <f t="shared" si="7"/>
        <v>2054</v>
      </c>
      <c r="H32" s="297">
        <f t="shared" si="10"/>
        <v>222276127.81876597</v>
      </c>
      <c r="I32" s="297">
        <f t="shared" si="1"/>
        <v>2667313533.8251915</v>
      </c>
      <c r="J32" s="297">
        <f t="shared" si="2"/>
        <v>280067921.0516451</v>
      </c>
      <c r="K32" s="297">
        <f t="shared" si="8"/>
        <v>132000000</v>
      </c>
      <c r="L32" s="297">
        <f t="shared" si="11"/>
        <v>8800000</v>
      </c>
      <c r="M32" s="297">
        <f t="shared" si="3"/>
        <v>2246445612.7735462</v>
      </c>
      <c r="N32" s="297">
        <f t="shared" si="4"/>
        <v>2387.2456127735463</v>
      </c>
      <c r="O32" s="297">
        <f t="shared" si="5"/>
        <v>671135964.47074115</v>
      </c>
      <c r="P32" s="297">
        <f t="shared" si="0"/>
        <v>1716109648.3028049</v>
      </c>
      <c r="Q32" s="340"/>
    </row>
    <row r="33" spans="5:17" x14ac:dyDescent="0.25">
      <c r="E33" s="296">
        <f t="shared" si="12"/>
        <v>53</v>
      </c>
      <c r="F33" s="296">
        <f t="shared" si="12"/>
        <v>32</v>
      </c>
      <c r="G33" s="296">
        <f t="shared" si="7"/>
        <v>2055</v>
      </c>
      <c r="H33" s="297">
        <f t="shared" si="10"/>
        <v>223452883.78957123</v>
      </c>
      <c r="I33" s="297">
        <f t="shared" si="1"/>
        <v>2681434605.4748545</v>
      </c>
      <c r="J33" s="297">
        <f t="shared" si="2"/>
        <v>281550633.57485974</v>
      </c>
      <c r="K33" s="297">
        <f t="shared" si="8"/>
        <v>132000000</v>
      </c>
      <c r="L33" s="297">
        <v>4400000</v>
      </c>
      <c r="M33" s="297">
        <f t="shared" si="3"/>
        <v>2263483971.8999949</v>
      </c>
      <c r="N33" s="297">
        <f t="shared" si="4"/>
        <v>2399.8839718999948</v>
      </c>
      <c r="O33" s="297">
        <f t="shared" si="5"/>
        <v>675559390.16499817</v>
      </c>
      <c r="P33" s="297">
        <f t="shared" si="0"/>
        <v>1724324581.7349968</v>
      </c>
      <c r="Q33" s="340"/>
    </row>
    <row r="34" spans="5:17" x14ac:dyDescent="0.25">
      <c r="E34" s="296">
        <f t="shared" si="12"/>
        <v>54</v>
      </c>
      <c r="F34" s="296">
        <f t="shared" si="12"/>
        <v>33</v>
      </c>
      <c r="G34" s="296">
        <f t="shared" si="7"/>
        <v>2056</v>
      </c>
      <c r="H34" s="297">
        <f t="shared" si="10"/>
        <v>224635869.6449278</v>
      </c>
      <c r="I34" s="297">
        <f t="shared" si="1"/>
        <v>2695630435.7391338</v>
      </c>
      <c r="J34" s="297">
        <f t="shared" si="2"/>
        <v>283041195.75260907</v>
      </c>
      <c r="K34" s="297">
        <f t="shared" si="8"/>
        <v>132000000</v>
      </c>
      <c r="L34" s="297">
        <v>4400000</v>
      </c>
      <c r="M34" s="297">
        <f t="shared" si="3"/>
        <v>2276189239.9865246</v>
      </c>
      <c r="N34" s="297">
        <f t="shared" si="4"/>
        <v>2412.5892399865247</v>
      </c>
      <c r="O34" s="297">
        <f t="shared" si="5"/>
        <v>680006233.99528348</v>
      </c>
      <c r="P34" s="297">
        <f t="shared" si="0"/>
        <v>1732583005.991241</v>
      </c>
      <c r="Q34" s="340"/>
    </row>
    <row r="35" spans="5:17" x14ac:dyDescent="0.25">
      <c r="E35" s="296">
        <f t="shared" si="12"/>
        <v>55</v>
      </c>
      <c r="F35" s="296">
        <f t="shared" si="12"/>
        <v>34</v>
      </c>
      <c r="G35" s="296">
        <f t="shared" si="7"/>
        <v>2057</v>
      </c>
      <c r="H35" s="297">
        <f t="shared" si="10"/>
        <v>225825118.36657745</v>
      </c>
      <c r="I35" s="297">
        <f t="shared" si="1"/>
        <v>2709901420.3989296</v>
      </c>
      <c r="J35" s="297">
        <f t="shared" si="2"/>
        <v>284539649.14188766</v>
      </c>
      <c r="K35" s="297">
        <f t="shared" si="8"/>
        <v>132000000</v>
      </c>
      <c r="L35" s="297">
        <v>4400000</v>
      </c>
      <c r="M35" s="297">
        <f t="shared" si="3"/>
        <v>2288961771.2570419</v>
      </c>
      <c r="N35" s="297">
        <f t="shared" si="4"/>
        <v>2425.3617712570417</v>
      </c>
      <c r="O35" s="297">
        <f t="shared" si="5"/>
        <v>684476619.93996453</v>
      </c>
      <c r="P35" s="297">
        <f t="shared" si="0"/>
        <v>1740885151.3170774</v>
      </c>
      <c r="Q35" s="340"/>
    </row>
    <row r="36" spans="5:17" x14ac:dyDescent="0.25">
      <c r="E36" s="296">
        <f t="shared" ref="E36:F41" si="13">+E35+1</f>
        <v>56</v>
      </c>
      <c r="F36" s="296">
        <f t="shared" si="13"/>
        <v>35</v>
      </c>
      <c r="G36" s="296">
        <f t="shared" si="7"/>
        <v>2058</v>
      </c>
      <c r="H36" s="297">
        <f t="shared" si="10"/>
        <v>227020663.11087111</v>
      </c>
      <c r="I36" s="297">
        <f t="shared" si="1"/>
        <v>2724247957.3304534</v>
      </c>
      <c r="J36" s="297">
        <f t="shared" si="2"/>
        <v>286046035.51969761</v>
      </c>
      <c r="K36" s="297">
        <f t="shared" si="8"/>
        <v>132000000</v>
      </c>
      <c r="L36" s="297">
        <v>4400000</v>
      </c>
      <c r="M36" s="297">
        <f t="shared" si="3"/>
        <v>2301801921.8107557</v>
      </c>
      <c r="N36" s="297">
        <f t="shared" si="4"/>
        <v>2438.2019218107557</v>
      </c>
      <c r="O36" s="297">
        <f t="shared" si="5"/>
        <v>688970672.63376451</v>
      </c>
      <c r="P36" s="297">
        <f t="shared" si="0"/>
        <v>1749231249.1769912</v>
      </c>
      <c r="Q36" s="340"/>
    </row>
    <row r="37" spans="5:17" x14ac:dyDescent="0.25">
      <c r="E37" s="296">
        <f t="shared" si="13"/>
        <v>57</v>
      </c>
      <c r="F37" s="296">
        <f t="shared" si="13"/>
        <v>36</v>
      </c>
      <c r="G37" s="296">
        <f t="shared" si="7"/>
        <v>2059</v>
      </c>
      <c r="H37" s="297">
        <f t="shared" si="10"/>
        <v>228222537.20969337</v>
      </c>
      <c r="I37" s="297">
        <f t="shared" si="1"/>
        <v>2738670446.5163202</v>
      </c>
      <c r="J37" s="297">
        <f t="shared" si="2"/>
        <v>287560396.88421357</v>
      </c>
      <c r="K37" s="297">
        <f t="shared" si="8"/>
        <v>132000000</v>
      </c>
      <c r="L37" s="297">
        <v>4400000</v>
      </c>
      <c r="M37" s="297">
        <f t="shared" si="3"/>
        <v>2314710049.6321068</v>
      </c>
      <c r="N37" s="297">
        <f t="shared" si="4"/>
        <v>2451.1100496321069</v>
      </c>
      <c r="O37" s="297">
        <f t="shared" si="5"/>
        <v>693488517.37123728</v>
      </c>
      <c r="P37" s="297">
        <f t="shared" si="0"/>
        <v>1757621532.2608695</v>
      </c>
      <c r="Q37" s="340"/>
    </row>
    <row r="38" spans="5:17" x14ac:dyDescent="0.25">
      <c r="E38" s="296">
        <f t="shared" si="13"/>
        <v>58</v>
      </c>
      <c r="F38" s="296">
        <f t="shared" si="13"/>
        <v>37</v>
      </c>
      <c r="G38" s="296">
        <f t="shared" si="7"/>
        <v>2060</v>
      </c>
      <c r="H38" s="297">
        <f t="shared" si="10"/>
        <v>229430774.17139176</v>
      </c>
      <c r="I38" s="297">
        <f t="shared" si="1"/>
        <v>2753169290.0567012</v>
      </c>
      <c r="J38" s="297">
        <f t="shared" si="2"/>
        <v>289082775.45595366</v>
      </c>
      <c r="K38" s="297">
        <f t="shared" si="8"/>
        <v>132000000</v>
      </c>
      <c r="L38" s="297">
        <v>4400000</v>
      </c>
      <c r="M38" s="297">
        <f t="shared" si="3"/>
        <v>2327686514.6007476</v>
      </c>
      <c r="N38" s="297">
        <f t="shared" si="4"/>
        <v>2464.0865146007477</v>
      </c>
      <c r="O38" s="297">
        <f t="shared" si="5"/>
        <v>698030280.11026156</v>
      </c>
      <c r="P38" s="297">
        <f t="shared" si="0"/>
        <v>1766056234.4904861</v>
      </c>
      <c r="Q38" s="340"/>
    </row>
    <row r="39" spans="5:17" x14ac:dyDescent="0.25">
      <c r="E39" s="296">
        <f t="shared" si="13"/>
        <v>59</v>
      </c>
      <c r="F39" s="296">
        <f t="shared" si="13"/>
        <v>38</v>
      </c>
      <c r="G39" s="296">
        <f t="shared" si="7"/>
        <v>2061</v>
      </c>
      <c r="H39" s="297">
        <f t="shared" si="10"/>
        <v>230645407.6817109</v>
      </c>
      <c r="I39" s="297">
        <f t="shared" si="1"/>
        <v>2767744892.1805305</v>
      </c>
      <c r="J39" s="297">
        <f t="shared" si="2"/>
        <v>290613213.67895573</v>
      </c>
      <c r="K39" s="297">
        <f t="shared" si="8"/>
        <v>132000000</v>
      </c>
      <c r="L39" s="297">
        <v>0</v>
      </c>
      <c r="M39" s="297">
        <f t="shared" si="3"/>
        <v>2345131678.501575</v>
      </c>
      <c r="N39" s="297">
        <f t="shared" si="4"/>
        <v>2477.1316785015752</v>
      </c>
      <c r="O39" s="297">
        <f t="shared" si="5"/>
        <v>702596087.47555125</v>
      </c>
      <c r="P39" s="297">
        <f t="shared" si="0"/>
        <v>1774535591.0260239</v>
      </c>
      <c r="Q39" s="340"/>
    </row>
    <row r="40" spans="5:17" x14ac:dyDescent="0.25">
      <c r="E40" s="296">
        <f t="shared" si="13"/>
        <v>60</v>
      </c>
      <c r="F40" s="296">
        <f t="shared" si="13"/>
        <v>39</v>
      </c>
      <c r="G40" s="296">
        <f t="shared" si="7"/>
        <v>2062</v>
      </c>
      <c r="H40" s="297">
        <f t="shared" si="10"/>
        <v>231866471.60473174</v>
      </c>
      <c r="I40" s="297">
        <f t="shared" si="1"/>
        <v>2782397659.2567806</v>
      </c>
      <c r="J40" s="297">
        <f t="shared" si="2"/>
        <v>292151754.22196198</v>
      </c>
      <c r="K40" s="297">
        <f t="shared" si="8"/>
        <v>132000000</v>
      </c>
      <c r="L40" s="297">
        <v>0</v>
      </c>
      <c r="M40" s="297">
        <f t="shared" si="3"/>
        <v>2358245905.0348186</v>
      </c>
      <c r="N40" s="297">
        <f t="shared" si="4"/>
        <v>2490.2459050348189</v>
      </c>
      <c r="O40" s="297">
        <f t="shared" si="5"/>
        <v>707186066.76218653</v>
      </c>
      <c r="P40" s="297">
        <f t="shared" si="0"/>
        <v>1783059838.2726321</v>
      </c>
      <c r="Q40" s="340"/>
    </row>
    <row r="41" spans="5:17" x14ac:dyDescent="0.25">
      <c r="E41" s="296">
        <f t="shared" si="13"/>
        <v>61</v>
      </c>
      <c r="F41" s="296">
        <f t="shared" si="13"/>
        <v>40</v>
      </c>
      <c r="G41" s="296">
        <f t="shared" si="7"/>
        <v>2063</v>
      </c>
      <c r="H41" s="297">
        <v>0</v>
      </c>
      <c r="I41" s="297">
        <f t="shared" ref="I41" si="14">H41*12</f>
        <v>0</v>
      </c>
      <c r="J41" s="297">
        <f t="shared" ref="J41" si="15">I41*8%+I41*1.5%+I41*1%</f>
        <v>0</v>
      </c>
      <c r="K41" s="297">
        <v>0</v>
      </c>
      <c r="L41" s="297">
        <v>0</v>
      </c>
      <c r="M41" s="297">
        <f t="shared" ref="M41" si="16">I41-J41-K41-L41</f>
        <v>0</v>
      </c>
      <c r="N41" s="297">
        <f t="shared" ref="N41" si="17">(I41-J41)/10^6</f>
        <v>0</v>
      </c>
      <c r="O41" s="297">
        <f t="shared" ref="O41" si="18">_xlfn.IFS(N41/12-11&lt;0,0*10^6,N41/12-11&lt;=5,(N41/12-11)*5%*12*10^6,N41/12-11&lt;=10,((N41/12-11)*10%-0.25)*12*10^6,N41/12-11&lt;=18,((N41/12-11)*15%-0.75)*12*10^6,N41/12-11&lt;=32,((N41/12-11)*20%-1.65)*12*10^6,N41/12-11&lt;=52,((N41/12-11)*25%-3.25)*12*10^6,N41/12-11&lt;=80,((N41/12-11)*30%-5.85)*12*10^6,N41/12-11&gt;80,((N41/12-11)*35%-9.85)*12*10^6)</f>
        <v>0</v>
      </c>
      <c r="P41" s="297">
        <f t="shared" ref="P41" si="19">I41-J41-O41</f>
        <v>0</v>
      </c>
      <c r="Q41" s="340"/>
    </row>
  </sheetData>
  <mergeCells count="8">
    <mergeCell ref="A11:A12"/>
    <mergeCell ref="B8:C8"/>
    <mergeCell ref="B9:C9"/>
    <mergeCell ref="B10:C10"/>
    <mergeCell ref="Q3:Q4"/>
    <mergeCell ref="Q5:Q6"/>
    <mergeCell ref="Q7:Q8"/>
    <mergeCell ref="Q9:Q41"/>
  </mergeCells>
  <hyperlinks>
    <hyperlink ref="A5" r:id="rId1" location="google_vignette" xr:uid="{41F4914B-45CD-43B6-A433-AC3D214F4D7D}"/>
    <hyperlink ref="A6" r:id="rId2" xr:uid="{2C00C845-336C-4FE8-96FC-8802BA105FB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09A52-2EE8-4CAA-A0FD-200B05E531B2}">
  <dimension ref="A1:U45"/>
  <sheetViews>
    <sheetView showGridLines="0" workbookViewId="0">
      <selection activeCell="L7" sqref="L7"/>
    </sheetView>
  </sheetViews>
  <sheetFormatPr defaultRowHeight="13.8" x14ac:dyDescent="0.25"/>
  <cols>
    <col min="1" max="1" width="33.109375" style="17" bestFit="1" customWidth="1"/>
    <col min="2" max="2" width="13" style="17" customWidth="1"/>
    <col min="3" max="3" width="12.5546875" style="17" customWidth="1"/>
    <col min="4" max="5" width="5.5546875" style="17" customWidth="1"/>
    <col min="6" max="7" width="7.88671875" style="25" customWidth="1"/>
    <col min="8" max="8" width="21.109375" style="25" customWidth="1"/>
    <col min="9" max="9" width="17.44140625" style="17" bestFit="1" customWidth="1"/>
    <col min="10" max="10" width="14" style="17" customWidth="1"/>
    <col min="11" max="11" width="20.109375" style="17" bestFit="1" customWidth="1"/>
    <col min="12" max="12" width="20.5546875" style="17" bestFit="1" customWidth="1"/>
    <col min="13" max="13" width="14.6640625" style="17" customWidth="1"/>
    <col min="14" max="14" width="7.77734375" style="17" hidden="1" customWidth="1"/>
    <col min="15" max="15" width="14.6640625" style="17" customWidth="1"/>
    <col min="16" max="16" width="16.33203125" style="17" customWidth="1"/>
    <col min="17" max="17" width="24.6640625" style="17" bestFit="1" customWidth="1"/>
    <col min="18" max="18" width="10" style="17" bestFit="1" customWidth="1"/>
    <col min="19" max="19" width="14.109375" style="17" bestFit="1" customWidth="1"/>
    <col min="20" max="20" width="11" style="17" bestFit="1" customWidth="1"/>
    <col min="21" max="23" width="8.88671875" style="17"/>
    <col min="24" max="24" width="12.77734375" style="17" customWidth="1"/>
    <col min="25" max="16384" width="8.88671875" style="17"/>
  </cols>
  <sheetData>
    <row r="1" spans="1:21" x14ac:dyDescent="0.25">
      <c r="E1" s="18" t="s">
        <v>6</v>
      </c>
      <c r="F1" s="19" t="s">
        <v>182</v>
      </c>
      <c r="G1" s="19" t="s">
        <v>9</v>
      </c>
      <c r="H1" s="19" t="s">
        <v>183</v>
      </c>
      <c r="I1" s="19" t="s">
        <v>184</v>
      </c>
      <c r="J1" s="19" t="s">
        <v>185</v>
      </c>
      <c r="K1" s="19" t="s">
        <v>186</v>
      </c>
      <c r="L1" s="19" t="s">
        <v>187</v>
      </c>
      <c r="M1" s="19" t="s">
        <v>188</v>
      </c>
      <c r="N1" s="19"/>
      <c r="O1" s="19" t="s">
        <v>189</v>
      </c>
      <c r="P1" s="20" t="s">
        <v>190</v>
      </c>
      <c r="Q1" s="21" t="s">
        <v>13</v>
      </c>
    </row>
    <row r="2" spans="1:21" x14ac:dyDescent="0.25">
      <c r="E2" s="62">
        <v>17</v>
      </c>
      <c r="F2" s="63">
        <v>1</v>
      </c>
      <c r="G2" s="63">
        <v>2024</v>
      </c>
      <c r="H2" s="64" t="s">
        <v>173</v>
      </c>
      <c r="I2" s="64" t="s">
        <v>173</v>
      </c>
      <c r="J2" s="64" t="s">
        <v>173</v>
      </c>
      <c r="K2" s="64" t="s">
        <v>173</v>
      </c>
      <c r="L2" s="64" t="s">
        <v>173</v>
      </c>
      <c r="M2" s="64" t="s">
        <v>173</v>
      </c>
      <c r="N2" s="64" t="e">
        <f t="shared" ref="N2:N38" si="0">(I2-J2)/10^6</f>
        <v>#VALUE!</v>
      </c>
      <c r="O2" s="65" t="s">
        <v>173</v>
      </c>
      <c r="P2" s="103" t="s">
        <v>173</v>
      </c>
      <c r="Q2" s="341" t="s">
        <v>173</v>
      </c>
    </row>
    <row r="3" spans="1:21" x14ac:dyDescent="0.25">
      <c r="E3" s="66">
        <f>+E2+1</f>
        <v>18</v>
      </c>
      <c r="F3" s="67">
        <f>+F2+1</f>
        <v>2</v>
      </c>
      <c r="G3" s="67">
        <f t="shared" ref="G3:G45" si="1">G2+1</f>
        <v>2025</v>
      </c>
      <c r="H3" s="64" t="s">
        <v>173</v>
      </c>
      <c r="I3" s="64" t="s">
        <v>173</v>
      </c>
      <c r="J3" s="64" t="s">
        <v>173</v>
      </c>
      <c r="K3" s="64" t="s">
        <v>173</v>
      </c>
      <c r="L3" s="64" t="s">
        <v>173</v>
      </c>
      <c r="M3" s="64" t="s">
        <v>173</v>
      </c>
      <c r="N3" s="64" t="e">
        <f t="shared" si="0"/>
        <v>#VALUE!</v>
      </c>
      <c r="O3" s="65" t="s">
        <v>173</v>
      </c>
      <c r="P3" s="103" t="s">
        <v>173</v>
      </c>
      <c r="Q3" s="342"/>
      <c r="S3" s="23"/>
    </row>
    <row r="4" spans="1:21" x14ac:dyDescent="0.25">
      <c r="E4" s="66">
        <f t="shared" ref="E4:F6" si="2">+E3+1</f>
        <v>19</v>
      </c>
      <c r="F4" s="67">
        <f t="shared" si="2"/>
        <v>3</v>
      </c>
      <c r="G4" s="67">
        <f t="shared" si="1"/>
        <v>2026</v>
      </c>
      <c r="H4" s="64" t="s">
        <v>173</v>
      </c>
      <c r="I4" s="64" t="s">
        <v>173</v>
      </c>
      <c r="J4" s="64" t="s">
        <v>173</v>
      </c>
      <c r="K4" s="64" t="s">
        <v>173</v>
      </c>
      <c r="L4" s="64" t="s">
        <v>173</v>
      </c>
      <c r="M4" s="64" t="s">
        <v>173</v>
      </c>
      <c r="N4" s="64" t="e">
        <f t="shared" si="0"/>
        <v>#VALUE!</v>
      </c>
      <c r="O4" s="65" t="s">
        <v>173</v>
      </c>
      <c r="P4" s="103" t="s">
        <v>173</v>
      </c>
      <c r="Q4" s="342"/>
      <c r="S4" s="24"/>
      <c r="U4" s="25"/>
    </row>
    <row r="5" spans="1:21" ht="66" x14ac:dyDescent="0.25">
      <c r="A5" s="144" t="s">
        <v>399</v>
      </c>
      <c r="E5" s="66">
        <f t="shared" si="2"/>
        <v>20</v>
      </c>
      <c r="F5" s="67">
        <f t="shared" si="2"/>
        <v>4</v>
      </c>
      <c r="G5" s="67">
        <f t="shared" si="1"/>
        <v>2027</v>
      </c>
      <c r="H5" s="64" t="s">
        <v>173</v>
      </c>
      <c r="I5" s="64" t="s">
        <v>173</v>
      </c>
      <c r="J5" s="64" t="s">
        <v>173</v>
      </c>
      <c r="K5" s="64" t="s">
        <v>173</v>
      </c>
      <c r="L5" s="64" t="s">
        <v>173</v>
      </c>
      <c r="M5" s="64" t="s">
        <v>173</v>
      </c>
      <c r="N5" s="64" t="e">
        <f t="shared" si="0"/>
        <v>#VALUE!</v>
      </c>
      <c r="O5" s="65" t="s">
        <v>173</v>
      </c>
      <c r="P5" s="103" t="s">
        <v>173</v>
      </c>
      <c r="Q5" s="342"/>
      <c r="S5" s="23"/>
    </row>
    <row r="6" spans="1:21" ht="26.4" x14ac:dyDescent="0.25">
      <c r="A6" s="144" t="s">
        <v>400</v>
      </c>
      <c r="E6" s="66">
        <f t="shared" si="2"/>
        <v>21</v>
      </c>
      <c r="F6" s="67">
        <f t="shared" si="2"/>
        <v>5</v>
      </c>
      <c r="G6" s="67">
        <f t="shared" si="1"/>
        <v>2028</v>
      </c>
      <c r="H6" s="64" t="s">
        <v>173</v>
      </c>
      <c r="I6" s="64" t="s">
        <v>173</v>
      </c>
      <c r="J6" s="64" t="s">
        <v>173</v>
      </c>
      <c r="K6" s="64" t="s">
        <v>173</v>
      </c>
      <c r="L6" s="64" t="s">
        <v>173</v>
      </c>
      <c r="M6" s="64" t="s">
        <v>173</v>
      </c>
      <c r="N6" s="64" t="e">
        <f t="shared" si="0"/>
        <v>#VALUE!</v>
      </c>
      <c r="O6" s="65" t="s">
        <v>173</v>
      </c>
      <c r="P6" s="103" t="s">
        <v>173</v>
      </c>
      <c r="Q6" s="342"/>
    </row>
    <row r="7" spans="1:21" x14ac:dyDescent="0.25">
      <c r="E7" s="66">
        <v>22</v>
      </c>
      <c r="F7" s="67">
        <f t="shared" ref="F7:F19" si="3">+F6+1</f>
        <v>6</v>
      </c>
      <c r="G7" s="67">
        <f t="shared" si="1"/>
        <v>2029</v>
      </c>
      <c r="H7" s="64">
        <v>15000000</v>
      </c>
      <c r="I7" s="64">
        <f>H7*12</f>
        <v>180000000</v>
      </c>
      <c r="J7" s="64">
        <f>I7*8%+I7*1.5%+I7*1%</f>
        <v>18900000</v>
      </c>
      <c r="K7" s="64">
        <v>132000000</v>
      </c>
      <c r="L7" s="64">
        <v>0</v>
      </c>
      <c r="M7" s="64">
        <f>I7-J7-K7-L7</f>
        <v>29100000</v>
      </c>
      <c r="N7" s="30">
        <f>(I7-J7)/10^6</f>
        <v>161.1</v>
      </c>
      <c r="O7" s="64">
        <f>_xlfn.IFS(N7/12-11&lt;0,0*10^6,N7/12-11&lt;=5,(N7/12-11)*5%*12*10^6,N7/12-11&lt;=10,((N7/12-11)*10%-0.25)*12*10^6,N7/12-11&lt;=18,((N7/12-11)*15%-0.75)*12*10^6,N7/12-11&lt;=32,((N7/12-11)*20%-1.65)*12*10^6,N7/12-11&lt;=52,((N7/12-11)*25%-3.25)*12*10^6,N7/12-11&lt;=80,((N7/12-11)*30%-5.85)*12*10^6,N7/12-11&gt;80,((N7/12-11)*35%-9.85)*12*10^6)</f>
        <v>1454999.9999999993</v>
      </c>
      <c r="P7" s="104">
        <f>I7-J7-O7</f>
        <v>159645000</v>
      </c>
      <c r="Q7" s="344" t="s">
        <v>141</v>
      </c>
      <c r="U7" s="25"/>
    </row>
    <row r="8" spans="1:21" x14ac:dyDescent="0.25">
      <c r="A8" s="36" t="s">
        <v>196</v>
      </c>
      <c r="B8" s="335" t="s">
        <v>201</v>
      </c>
      <c r="C8" s="335"/>
      <c r="E8" s="66">
        <f t="shared" ref="E8:E19" si="4">+E7+1</f>
        <v>23</v>
      </c>
      <c r="F8" s="67">
        <f t="shared" si="3"/>
        <v>7</v>
      </c>
      <c r="G8" s="67">
        <f t="shared" si="1"/>
        <v>2030</v>
      </c>
      <c r="H8" s="64">
        <f>H7*(1+$B$12/12)</f>
        <v>15079411.764705883</v>
      </c>
      <c r="I8" s="64">
        <f>H8*12</f>
        <v>180952941.17647061</v>
      </c>
      <c r="J8" s="64">
        <f>I8*8%+I8*1.5%+I8*1%</f>
        <v>19000058.823529415</v>
      </c>
      <c r="K8" s="64">
        <v>132000000</v>
      </c>
      <c r="L8" s="64">
        <v>0</v>
      </c>
      <c r="M8" s="64">
        <f>I8-J8-K8-L8</f>
        <v>29952882.352941185</v>
      </c>
      <c r="N8" s="30">
        <f>(I8-J8)/10^6</f>
        <v>161.95288235294117</v>
      </c>
      <c r="O8" s="64">
        <f>_xlfn.IFS(N8/12-11&lt;0,0*10^6,N8/12-11&lt;=5,(N8/12-11)*5%*12*10^6,N8/12-11&lt;=10,((N8/12-11)*10%-0.25)*12*10^6,N8/12-11&lt;=18,((N8/12-11)*15%-0.75)*12*10^6,N8/12-11&lt;=32,((N8/12-11)*20%-1.65)*12*10^6,N8/12-11&lt;=52,((N8/12-11)*25%-3.25)*12*10^6,N8/12-11&lt;=80,((N8/12-11)*30%-5.85)*12*10^6,N8/12-11&gt;80,((N8/12-11)*35%-9.85)*12*10^6)</f>
        <v>1497644.1176470593</v>
      </c>
      <c r="P8" s="65">
        <f>I8-J8-O8</f>
        <v>160455238.23529413</v>
      </c>
      <c r="Q8" s="344"/>
    </row>
    <row r="9" spans="1:21" x14ac:dyDescent="0.25">
      <c r="A9" s="36" t="s">
        <v>197</v>
      </c>
      <c r="B9" s="335" t="s">
        <v>200</v>
      </c>
      <c r="C9" s="335"/>
      <c r="E9" s="26">
        <f t="shared" si="4"/>
        <v>24</v>
      </c>
      <c r="F9" s="27">
        <f t="shared" si="3"/>
        <v>8</v>
      </c>
      <c r="G9" s="27">
        <f t="shared" si="1"/>
        <v>2031</v>
      </c>
      <c r="H9" s="28">
        <v>35000000</v>
      </c>
      <c r="I9" s="28">
        <f t="shared" ref="I9:I38" si="5">H9*12</f>
        <v>420000000</v>
      </c>
      <c r="J9" s="28">
        <f>I9*8%+I9*1.5%+I9*1%</f>
        <v>44100000</v>
      </c>
      <c r="K9" s="28">
        <f t="shared" ref="K9:K45" si="6">11000000*12</f>
        <v>132000000</v>
      </c>
      <c r="L9" s="28">
        <v>0</v>
      </c>
      <c r="M9" s="28">
        <f>I9-J9-K9-L9</f>
        <v>243900000</v>
      </c>
      <c r="N9" s="28">
        <f t="shared" si="0"/>
        <v>375.9</v>
      </c>
      <c r="O9" s="28">
        <f>_xlfn.IFS(N9/12-11&lt;0,0*10^6,N9/12-11&lt;=5,(N9/12-11)*5%*12*10^6,N9/12-11&lt;=10,((N9/12-11)*10%-0.25)*12*10^6,N9/12-11&lt;=18,((N9/12-11)*15%-0.75)*12*10^6,N9/12-11&lt;=32,((N9/12-11)*20%-1.65)*12*10^6,N9/12-11&lt;=52,((N9/12-11)*25%-3.25)*12*10^6,N9/12-11&lt;=80,((N9/12-11)*30%-5.85)*12*10^6,N9/12-11&gt;80,((N9/12-11)*35%-9.85)*12*10^6)</f>
        <v>28980000.000000004</v>
      </c>
      <c r="P9" s="29">
        <f>I9-J9-O9</f>
        <v>346920000</v>
      </c>
      <c r="Q9" s="343" t="s">
        <v>142</v>
      </c>
      <c r="U9" s="25"/>
    </row>
    <row r="10" spans="1:21" x14ac:dyDescent="0.25">
      <c r="A10" s="36" t="s">
        <v>198</v>
      </c>
      <c r="B10" s="335" t="s">
        <v>199</v>
      </c>
      <c r="C10" s="335"/>
      <c r="E10" s="26">
        <f t="shared" si="4"/>
        <v>25</v>
      </c>
      <c r="F10" s="27">
        <f t="shared" si="3"/>
        <v>9</v>
      </c>
      <c r="G10" s="27">
        <f t="shared" si="1"/>
        <v>2032</v>
      </c>
      <c r="H10" s="28">
        <f>H9*(1+$B$12/12)</f>
        <v>35185294.117647059</v>
      </c>
      <c r="I10" s="28">
        <f t="shared" si="5"/>
        <v>422223529.41176474</v>
      </c>
      <c r="J10" s="28">
        <f t="shared" ref="J10:J38" si="7">I10*8%+I10*1.5%+I10*1%</f>
        <v>44333470.588235296</v>
      </c>
      <c r="K10" s="28">
        <f t="shared" si="6"/>
        <v>132000000</v>
      </c>
      <c r="L10" s="28">
        <v>0</v>
      </c>
      <c r="M10" s="28">
        <f t="shared" ref="M10:M38" si="8">I10-J10-K10-L10</f>
        <v>245890058.82352942</v>
      </c>
      <c r="N10" s="28">
        <f t="shared" si="0"/>
        <v>377.89005882352944</v>
      </c>
      <c r="O10" s="28">
        <f t="shared" ref="O10:O38" si="9">_xlfn.IFS(N10/12-11&lt;0,0*10^6,N10/12-11&lt;=5,(N10/12-11)*5%*12*10^6,N10/12-11&lt;=10,((N10/12-11)*10%-0.25)*12*10^6,N10/12-11&lt;=18,((N10/12-11)*15%-0.75)*12*10^6,N10/12-11&lt;=32,((N10/12-11)*20%-1.65)*12*10^6,N10/12-11&lt;=52,((N10/12-11)*25%-3.25)*12*10^6,N10/12-11&lt;=80,((N10/12-11)*30%-5.85)*12*10^6,N10/12-11&gt;80,((N10/12-11)*35%-9.85)*12*10^6)</f>
        <v>29378011.764705896</v>
      </c>
      <c r="P10" s="29">
        <f t="shared" ref="P10:P38" si="10">I10-J10-O10</f>
        <v>348512047.05882353</v>
      </c>
      <c r="Q10" s="343"/>
    </row>
    <row r="11" spans="1:21" x14ac:dyDescent="0.25">
      <c r="A11" s="333" t="s">
        <v>191</v>
      </c>
      <c r="B11" s="37">
        <v>0.09</v>
      </c>
      <c r="C11" s="38" t="s">
        <v>192</v>
      </c>
      <c r="E11" s="26">
        <f t="shared" si="4"/>
        <v>26</v>
      </c>
      <c r="F11" s="27">
        <f t="shared" si="3"/>
        <v>10</v>
      </c>
      <c r="G11" s="27">
        <f t="shared" si="1"/>
        <v>2033</v>
      </c>
      <c r="H11" s="28">
        <f>H10*(1+$B$12/12)</f>
        <v>35371569.204152249</v>
      </c>
      <c r="I11" s="28">
        <f t="shared" si="5"/>
        <v>424458830.44982696</v>
      </c>
      <c r="J11" s="28">
        <f t="shared" si="7"/>
        <v>44568177.197231829</v>
      </c>
      <c r="K11" s="28">
        <f t="shared" si="6"/>
        <v>132000000</v>
      </c>
      <c r="L11" s="28">
        <v>0</v>
      </c>
      <c r="M11" s="28">
        <f t="shared" si="8"/>
        <v>247890653.25259513</v>
      </c>
      <c r="N11" s="28">
        <f t="shared" si="0"/>
        <v>379.89065325259514</v>
      </c>
      <c r="O11" s="28">
        <f t="shared" si="9"/>
        <v>29778130.650519032</v>
      </c>
      <c r="P11" s="29">
        <f t="shared" si="10"/>
        <v>350112522.60207611</v>
      </c>
      <c r="Q11" s="343"/>
    </row>
    <row r="12" spans="1:21" x14ac:dyDescent="0.25">
      <c r="A12" s="334"/>
      <c r="B12" s="38">
        <f>(B11/17)*12</f>
        <v>6.3529411764705876E-2</v>
      </c>
      <c r="C12" s="38" t="s">
        <v>193</v>
      </c>
      <c r="E12" s="31">
        <f t="shared" si="4"/>
        <v>27</v>
      </c>
      <c r="F12" s="32">
        <f t="shared" si="3"/>
        <v>11</v>
      </c>
      <c r="G12" s="32">
        <f t="shared" si="1"/>
        <v>2034</v>
      </c>
      <c r="H12" s="33">
        <v>60000000</v>
      </c>
      <c r="I12" s="33">
        <f t="shared" si="5"/>
        <v>720000000</v>
      </c>
      <c r="J12" s="33">
        <f t="shared" si="7"/>
        <v>75600000</v>
      </c>
      <c r="K12" s="33">
        <f t="shared" si="6"/>
        <v>132000000</v>
      </c>
      <c r="L12" s="33">
        <v>0</v>
      </c>
      <c r="M12" s="33">
        <f t="shared" si="8"/>
        <v>512400000</v>
      </c>
      <c r="N12" s="33">
        <f t="shared" si="0"/>
        <v>644.4</v>
      </c>
      <c r="O12" s="33">
        <f t="shared" si="9"/>
        <v>89100000</v>
      </c>
      <c r="P12" s="34">
        <f t="shared" si="10"/>
        <v>555300000</v>
      </c>
      <c r="Q12" s="345" t="s">
        <v>143</v>
      </c>
    </row>
    <row r="13" spans="1:21" x14ac:dyDescent="0.25">
      <c r="B13" s="35"/>
      <c r="E13" s="31">
        <f t="shared" si="4"/>
        <v>28</v>
      </c>
      <c r="F13" s="32">
        <f t="shared" si="3"/>
        <v>12</v>
      </c>
      <c r="G13" s="32">
        <f t="shared" si="1"/>
        <v>2035</v>
      </c>
      <c r="H13" s="33">
        <v>70000000</v>
      </c>
      <c r="I13" s="33">
        <f t="shared" si="5"/>
        <v>840000000</v>
      </c>
      <c r="J13" s="33">
        <f t="shared" si="7"/>
        <v>88200000</v>
      </c>
      <c r="K13" s="33">
        <f t="shared" si="6"/>
        <v>132000000</v>
      </c>
      <c r="L13" s="33">
        <v>0</v>
      </c>
      <c r="M13" s="33">
        <f t="shared" si="8"/>
        <v>619800000</v>
      </c>
      <c r="N13" s="33">
        <f t="shared" si="0"/>
        <v>751.8</v>
      </c>
      <c r="O13" s="33">
        <f t="shared" si="9"/>
        <v>115949999.99999999</v>
      </c>
      <c r="P13" s="34">
        <f t="shared" si="10"/>
        <v>635850000</v>
      </c>
      <c r="Q13" s="345"/>
    </row>
    <row r="14" spans="1:21" x14ac:dyDescent="0.25">
      <c r="E14" s="31">
        <f t="shared" si="4"/>
        <v>29</v>
      </c>
      <c r="F14" s="32">
        <f t="shared" si="3"/>
        <v>13</v>
      </c>
      <c r="G14" s="32">
        <f t="shared" si="1"/>
        <v>2036</v>
      </c>
      <c r="H14" s="33">
        <v>80000000</v>
      </c>
      <c r="I14" s="33">
        <f t="shared" si="5"/>
        <v>960000000</v>
      </c>
      <c r="J14" s="33">
        <f t="shared" si="7"/>
        <v>100800000</v>
      </c>
      <c r="K14" s="33">
        <f t="shared" si="6"/>
        <v>132000000</v>
      </c>
      <c r="L14" s="33">
        <v>0</v>
      </c>
      <c r="M14" s="33">
        <f t="shared" si="8"/>
        <v>727200000</v>
      </c>
      <c r="N14" s="33">
        <f t="shared" si="0"/>
        <v>859.2</v>
      </c>
      <c r="O14" s="33">
        <f t="shared" si="9"/>
        <v>147960000.00000003</v>
      </c>
      <c r="P14" s="34">
        <f t="shared" si="10"/>
        <v>711240000</v>
      </c>
      <c r="Q14" s="345"/>
    </row>
    <row r="15" spans="1:21" x14ac:dyDescent="0.25">
      <c r="E15" s="31">
        <f t="shared" si="4"/>
        <v>30</v>
      </c>
      <c r="F15" s="32">
        <f t="shared" si="3"/>
        <v>14</v>
      </c>
      <c r="G15" s="32">
        <f t="shared" si="1"/>
        <v>2037</v>
      </c>
      <c r="H15" s="33">
        <f t="shared" ref="H15:H45" si="11">H14*(1+$B$12/12)</f>
        <v>80423529.411764711</v>
      </c>
      <c r="I15" s="33">
        <f t="shared" si="5"/>
        <v>965082352.94117653</v>
      </c>
      <c r="J15" s="33">
        <f t="shared" si="7"/>
        <v>101333647.05882353</v>
      </c>
      <c r="K15" s="33">
        <f t="shared" si="6"/>
        <v>132000000</v>
      </c>
      <c r="L15" s="33">
        <v>0</v>
      </c>
      <c r="M15" s="33">
        <f t="shared" si="8"/>
        <v>731748705.88235307</v>
      </c>
      <c r="N15" s="33">
        <f t="shared" si="0"/>
        <v>863.74870588235308</v>
      </c>
      <c r="O15" s="33">
        <f t="shared" si="9"/>
        <v>149324611.76470593</v>
      </c>
      <c r="P15" s="34">
        <f t="shared" si="10"/>
        <v>714424094.11764717</v>
      </c>
      <c r="Q15" s="345"/>
    </row>
    <row r="16" spans="1:21" x14ac:dyDescent="0.25">
      <c r="E16" s="31">
        <f t="shared" si="4"/>
        <v>31</v>
      </c>
      <c r="F16" s="32">
        <f t="shared" si="3"/>
        <v>15</v>
      </c>
      <c r="G16" s="32">
        <f t="shared" si="1"/>
        <v>2038</v>
      </c>
      <c r="H16" s="33">
        <f t="shared" si="11"/>
        <v>80849301.038062289</v>
      </c>
      <c r="I16" s="33">
        <f t="shared" si="5"/>
        <v>970191612.45674753</v>
      </c>
      <c r="J16" s="33">
        <f t="shared" si="7"/>
        <v>101870119.3079585</v>
      </c>
      <c r="K16" s="33">
        <f t="shared" si="6"/>
        <v>132000000</v>
      </c>
      <c r="L16" s="33">
        <v>0</v>
      </c>
      <c r="M16" s="33">
        <f t="shared" si="8"/>
        <v>736321493.14878905</v>
      </c>
      <c r="N16" s="33">
        <f t="shared" si="0"/>
        <v>868.32149314878905</v>
      </c>
      <c r="O16" s="33">
        <f t="shared" si="9"/>
        <v>150696447.9446367</v>
      </c>
      <c r="P16" s="34">
        <f t="shared" si="10"/>
        <v>717625045.20415235</v>
      </c>
      <c r="Q16" s="345"/>
    </row>
    <row r="17" spans="1:17" x14ac:dyDescent="0.25">
      <c r="E17" s="31">
        <f t="shared" si="4"/>
        <v>32</v>
      </c>
      <c r="F17" s="32">
        <f t="shared" si="3"/>
        <v>16</v>
      </c>
      <c r="G17" s="32">
        <f t="shared" si="1"/>
        <v>2039</v>
      </c>
      <c r="H17" s="33">
        <f t="shared" si="11"/>
        <v>81277326.749440268</v>
      </c>
      <c r="I17" s="33">
        <f t="shared" si="5"/>
        <v>975327920.99328327</v>
      </c>
      <c r="J17" s="33">
        <f t="shared" si="7"/>
        <v>102409431.70429474</v>
      </c>
      <c r="K17" s="33">
        <f t="shared" si="6"/>
        <v>132000000</v>
      </c>
      <c r="L17" s="33">
        <v>0</v>
      </c>
      <c r="M17" s="33">
        <f t="shared" si="8"/>
        <v>740918489.28898859</v>
      </c>
      <c r="N17" s="33">
        <f t="shared" si="0"/>
        <v>872.91848928898855</v>
      </c>
      <c r="O17" s="33">
        <f t="shared" si="9"/>
        <v>152075546.78669658</v>
      </c>
      <c r="P17" s="34">
        <f t="shared" si="10"/>
        <v>720842942.50229204</v>
      </c>
      <c r="Q17" s="345"/>
    </row>
    <row r="18" spans="1:17" x14ac:dyDescent="0.25">
      <c r="A18" s="75"/>
      <c r="E18" s="31">
        <f t="shared" si="4"/>
        <v>33</v>
      </c>
      <c r="F18" s="32">
        <f t="shared" si="3"/>
        <v>17</v>
      </c>
      <c r="G18" s="32">
        <f t="shared" si="1"/>
        <v>2040</v>
      </c>
      <c r="H18" s="33">
        <f t="shared" si="11"/>
        <v>81707618.479290247</v>
      </c>
      <c r="I18" s="33">
        <f t="shared" si="5"/>
        <v>980491421.75148296</v>
      </c>
      <c r="J18" s="33">
        <f t="shared" si="7"/>
        <v>102951599.28390571</v>
      </c>
      <c r="K18" s="33">
        <f t="shared" si="6"/>
        <v>132000000</v>
      </c>
      <c r="L18" s="33">
        <v>0</v>
      </c>
      <c r="M18" s="33">
        <f t="shared" si="8"/>
        <v>745539822.46757722</v>
      </c>
      <c r="N18" s="33">
        <f t="shared" si="0"/>
        <v>877.53982246757721</v>
      </c>
      <c r="O18" s="33">
        <f t="shared" si="9"/>
        <v>153461946.74027315</v>
      </c>
      <c r="P18" s="34">
        <f t="shared" si="10"/>
        <v>724077875.7273041</v>
      </c>
      <c r="Q18" s="345"/>
    </row>
    <row r="19" spans="1:17" x14ac:dyDescent="0.25">
      <c r="A19" s="75"/>
      <c r="E19" s="31">
        <f t="shared" si="4"/>
        <v>34</v>
      </c>
      <c r="F19" s="32">
        <f t="shared" si="3"/>
        <v>18</v>
      </c>
      <c r="G19" s="32">
        <f t="shared" si="1"/>
        <v>2041</v>
      </c>
      <c r="H19" s="33">
        <f t="shared" si="11"/>
        <v>82140188.224180609</v>
      </c>
      <c r="I19" s="33">
        <f t="shared" si="5"/>
        <v>985682258.69016731</v>
      </c>
      <c r="J19" s="33">
        <f t="shared" si="7"/>
        <v>103496637.16246758</v>
      </c>
      <c r="K19" s="33">
        <f t="shared" si="6"/>
        <v>132000000</v>
      </c>
      <c r="L19" s="33">
        <v>0</v>
      </c>
      <c r="M19" s="33">
        <f t="shared" si="8"/>
        <v>750185621.52769971</v>
      </c>
      <c r="N19" s="33">
        <f t="shared" si="0"/>
        <v>882.18562152769971</v>
      </c>
      <c r="O19" s="33">
        <f t="shared" si="9"/>
        <v>154855686.45830992</v>
      </c>
      <c r="P19" s="34">
        <f t="shared" si="10"/>
        <v>727329935.06938982</v>
      </c>
      <c r="Q19" s="345"/>
    </row>
    <row r="20" spans="1:17" x14ac:dyDescent="0.25">
      <c r="A20" s="75"/>
      <c r="E20" s="31">
        <f t="shared" ref="E20:F35" si="12">+E19+1</f>
        <v>35</v>
      </c>
      <c r="F20" s="32">
        <f t="shared" si="12"/>
        <v>19</v>
      </c>
      <c r="G20" s="32">
        <f t="shared" si="1"/>
        <v>2042</v>
      </c>
      <c r="H20" s="33">
        <f t="shared" si="11"/>
        <v>82575048.044190988</v>
      </c>
      <c r="I20" s="33">
        <f t="shared" si="5"/>
        <v>990900576.5302918</v>
      </c>
      <c r="J20" s="33">
        <f t="shared" si="7"/>
        <v>104044560.53568065</v>
      </c>
      <c r="K20" s="33">
        <f t="shared" si="6"/>
        <v>132000000</v>
      </c>
      <c r="L20" s="33">
        <v>0</v>
      </c>
      <c r="M20" s="33">
        <f t="shared" si="8"/>
        <v>754856015.99461114</v>
      </c>
      <c r="N20" s="33">
        <f t="shared" si="0"/>
        <v>886.8560159946112</v>
      </c>
      <c r="O20" s="33">
        <f t="shared" si="9"/>
        <v>156256804.79838338</v>
      </c>
      <c r="P20" s="34">
        <f t="shared" si="10"/>
        <v>730599211.19622779</v>
      </c>
      <c r="Q20" s="345"/>
    </row>
    <row r="21" spans="1:17" x14ac:dyDescent="0.25">
      <c r="E21" s="31">
        <f t="shared" si="12"/>
        <v>36</v>
      </c>
      <c r="F21" s="32">
        <f t="shared" si="12"/>
        <v>20</v>
      </c>
      <c r="G21" s="32">
        <f t="shared" si="1"/>
        <v>2043</v>
      </c>
      <c r="H21" s="33">
        <f t="shared" si="11"/>
        <v>83012210.06324847</v>
      </c>
      <c r="I21" s="33">
        <f t="shared" si="5"/>
        <v>996146520.7589817</v>
      </c>
      <c r="J21" s="33">
        <f t="shared" si="7"/>
        <v>104595384.67969309</v>
      </c>
      <c r="K21" s="33">
        <f t="shared" si="6"/>
        <v>132000000</v>
      </c>
      <c r="L21" s="33">
        <v>0</v>
      </c>
      <c r="M21" s="33">
        <f t="shared" si="8"/>
        <v>759551136.0792886</v>
      </c>
      <c r="N21" s="33">
        <f t="shared" si="0"/>
        <v>891.55113607928865</v>
      </c>
      <c r="O21" s="33">
        <f t="shared" si="9"/>
        <v>157665340.82378656</v>
      </c>
      <c r="P21" s="34">
        <f t="shared" si="10"/>
        <v>733885795.25550199</v>
      </c>
      <c r="Q21" s="345"/>
    </row>
    <row r="22" spans="1:17" x14ac:dyDescent="0.25">
      <c r="E22" s="31">
        <f t="shared" si="12"/>
        <v>37</v>
      </c>
      <c r="F22" s="32">
        <f t="shared" si="12"/>
        <v>21</v>
      </c>
      <c r="G22" s="32">
        <f t="shared" si="1"/>
        <v>2044</v>
      </c>
      <c r="H22" s="33">
        <f t="shared" si="11"/>
        <v>83451686.469465673</v>
      </c>
      <c r="I22" s="33">
        <f t="shared" si="5"/>
        <v>1001420237.6335881</v>
      </c>
      <c r="J22" s="33">
        <f t="shared" si="7"/>
        <v>105149124.95152676</v>
      </c>
      <c r="K22" s="33">
        <f t="shared" si="6"/>
        <v>132000000</v>
      </c>
      <c r="L22" s="33">
        <v>0</v>
      </c>
      <c r="M22" s="33">
        <f t="shared" si="8"/>
        <v>764271112.68206131</v>
      </c>
      <c r="N22" s="33">
        <f t="shared" si="0"/>
        <v>896.27111268206136</v>
      </c>
      <c r="O22" s="33">
        <f t="shared" si="9"/>
        <v>159081333.80461839</v>
      </c>
      <c r="P22" s="34">
        <f t="shared" si="10"/>
        <v>737189778.87744296</v>
      </c>
      <c r="Q22" s="345"/>
    </row>
    <row r="23" spans="1:17" x14ac:dyDescent="0.25">
      <c r="E23" s="31">
        <f t="shared" si="12"/>
        <v>38</v>
      </c>
      <c r="F23" s="32">
        <f t="shared" si="12"/>
        <v>22</v>
      </c>
      <c r="G23" s="32">
        <f t="shared" si="1"/>
        <v>2045</v>
      </c>
      <c r="H23" s="33">
        <f t="shared" si="11"/>
        <v>83893489.515480503</v>
      </c>
      <c r="I23" s="33">
        <f t="shared" si="5"/>
        <v>1006721874.185766</v>
      </c>
      <c r="J23" s="33">
        <f t="shared" si="7"/>
        <v>105705796.78950544</v>
      </c>
      <c r="K23" s="33">
        <f t="shared" si="6"/>
        <v>132000000</v>
      </c>
      <c r="L23" s="33">
        <v>0</v>
      </c>
      <c r="M23" s="33">
        <f t="shared" si="8"/>
        <v>769016077.3962605</v>
      </c>
      <c r="N23" s="33">
        <f t="shared" si="0"/>
        <v>901.01607739626047</v>
      </c>
      <c r="O23" s="33">
        <f t="shared" si="9"/>
        <v>160504823.21887812</v>
      </c>
      <c r="P23" s="34">
        <f t="shared" si="10"/>
        <v>740511254.17738235</v>
      </c>
      <c r="Q23" s="345"/>
    </row>
    <row r="24" spans="1:17" x14ac:dyDescent="0.25">
      <c r="E24" s="31">
        <f t="shared" si="12"/>
        <v>39</v>
      </c>
      <c r="F24" s="32">
        <f t="shared" si="12"/>
        <v>23</v>
      </c>
      <c r="G24" s="32">
        <f t="shared" si="1"/>
        <v>2046</v>
      </c>
      <c r="H24" s="33">
        <f t="shared" si="11"/>
        <v>84337631.518797755</v>
      </c>
      <c r="I24" s="33">
        <f t="shared" si="5"/>
        <v>1012051578.2255731</v>
      </c>
      <c r="J24" s="33">
        <f t="shared" si="7"/>
        <v>106265415.71368518</v>
      </c>
      <c r="K24" s="33">
        <f t="shared" si="6"/>
        <v>132000000</v>
      </c>
      <c r="L24" s="33">
        <v>0</v>
      </c>
      <c r="M24" s="33">
        <f t="shared" si="8"/>
        <v>773786162.51188791</v>
      </c>
      <c r="N24" s="33">
        <f t="shared" si="0"/>
        <v>905.78616251188794</v>
      </c>
      <c r="O24" s="33">
        <f t="shared" si="9"/>
        <v>161935848.75356641</v>
      </c>
      <c r="P24" s="34">
        <f t="shared" si="10"/>
        <v>743850313.75832152</v>
      </c>
      <c r="Q24" s="345"/>
    </row>
    <row r="25" spans="1:17" x14ac:dyDescent="0.25">
      <c r="E25" s="31">
        <f t="shared" si="12"/>
        <v>40</v>
      </c>
      <c r="F25" s="32">
        <f t="shared" si="12"/>
        <v>24</v>
      </c>
      <c r="G25" s="32">
        <f t="shared" si="1"/>
        <v>2047</v>
      </c>
      <c r="H25" s="33">
        <f t="shared" si="11"/>
        <v>84784124.862132579</v>
      </c>
      <c r="I25" s="33">
        <f t="shared" si="5"/>
        <v>1017409498.3455909</v>
      </c>
      <c r="J25" s="33">
        <f t="shared" si="7"/>
        <v>106827997.32628705</v>
      </c>
      <c r="K25" s="33">
        <f t="shared" si="6"/>
        <v>132000000</v>
      </c>
      <c r="L25" s="33">
        <v>0</v>
      </c>
      <c r="M25" s="33">
        <f t="shared" si="8"/>
        <v>778581501.01930392</v>
      </c>
      <c r="N25" s="33">
        <f t="shared" si="0"/>
        <v>910.58150101930391</v>
      </c>
      <c r="O25" s="33">
        <f t="shared" si="9"/>
        <v>163374450.3057912</v>
      </c>
      <c r="P25" s="34">
        <f t="shared" si="10"/>
        <v>747207050.71351266</v>
      </c>
      <c r="Q25" s="345"/>
    </row>
    <row r="26" spans="1:17" x14ac:dyDescent="0.25">
      <c r="E26" s="31">
        <f t="shared" si="12"/>
        <v>41</v>
      </c>
      <c r="F26" s="32">
        <f t="shared" si="12"/>
        <v>25</v>
      </c>
      <c r="G26" s="32">
        <f t="shared" si="1"/>
        <v>2048</v>
      </c>
      <c r="H26" s="33">
        <f t="shared" si="11"/>
        <v>85232981.993755639</v>
      </c>
      <c r="I26" s="33">
        <f t="shared" si="5"/>
        <v>1022795783.9250677</v>
      </c>
      <c r="J26" s="33">
        <f t="shared" si="7"/>
        <v>107393557.31213209</v>
      </c>
      <c r="K26" s="33">
        <f t="shared" si="6"/>
        <v>132000000</v>
      </c>
      <c r="L26" s="33">
        <v>0</v>
      </c>
      <c r="M26" s="33">
        <f t="shared" si="8"/>
        <v>783402226.61293554</v>
      </c>
      <c r="N26" s="33">
        <f t="shared" si="0"/>
        <v>915.40222661293558</v>
      </c>
      <c r="O26" s="33">
        <f t="shared" si="9"/>
        <v>164820667.98388067</v>
      </c>
      <c r="P26" s="34">
        <f t="shared" si="10"/>
        <v>750581558.6290549</v>
      </c>
      <c r="Q26" s="345"/>
    </row>
    <row r="27" spans="1:17" x14ac:dyDescent="0.25">
      <c r="E27" s="31">
        <f t="shared" si="12"/>
        <v>42</v>
      </c>
      <c r="F27" s="32">
        <f t="shared" si="12"/>
        <v>26</v>
      </c>
      <c r="G27" s="32">
        <f t="shared" si="1"/>
        <v>2049</v>
      </c>
      <c r="H27" s="33">
        <f t="shared" si="11"/>
        <v>85684215.427840233</v>
      </c>
      <c r="I27" s="33">
        <f t="shared" si="5"/>
        <v>1028210585.1340828</v>
      </c>
      <c r="J27" s="33">
        <f t="shared" si="7"/>
        <v>107962111.4390787</v>
      </c>
      <c r="K27" s="33">
        <f t="shared" si="6"/>
        <v>132000000</v>
      </c>
      <c r="L27" s="33">
        <v>0</v>
      </c>
      <c r="M27" s="33">
        <f t="shared" si="8"/>
        <v>788248473.69500411</v>
      </c>
      <c r="N27" s="33">
        <f t="shared" si="0"/>
        <v>920.24847369500412</v>
      </c>
      <c r="O27" s="33">
        <f t="shared" si="9"/>
        <v>166274542.10850126</v>
      </c>
      <c r="P27" s="34">
        <f t="shared" si="10"/>
        <v>753973931.58650279</v>
      </c>
      <c r="Q27" s="345"/>
    </row>
    <row r="28" spans="1:17" x14ac:dyDescent="0.25">
      <c r="E28" s="31">
        <f t="shared" si="12"/>
        <v>43</v>
      </c>
      <c r="F28" s="32">
        <f t="shared" si="12"/>
        <v>27</v>
      </c>
      <c r="G28" s="32">
        <f t="shared" si="1"/>
        <v>2050</v>
      </c>
      <c r="H28" s="33">
        <f t="shared" si="11"/>
        <v>86137837.744811162</v>
      </c>
      <c r="I28" s="33">
        <f t="shared" si="5"/>
        <v>1033654052.9377339</v>
      </c>
      <c r="J28" s="33">
        <f t="shared" si="7"/>
        <v>108533675.55846207</v>
      </c>
      <c r="K28" s="33">
        <f t="shared" si="6"/>
        <v>132000000</v>
      </c>
      <c r="L28" s="33">
        <v>0</v>
      </c>
      <c r="M28" s="33">
        <f t="shared" si="8"/>
        <v>793120377.37927186</v>
      </c>
      <c r="N28" s="33">
        <f t="shared" si="0"/>
        <v>925.12037737927187</v>
      </c>
      <c r="O28" s="33">
        <f t="shared" si="9"/>
        <v>167736113.21378154</v>
      </c>
      <c r="P28" s="34">
        <f t="shared" si="10"/>
        <v>757384264.16549039</v>
      </c>
      <c r="Q28" s="345"/>
    </row>
    <row r="29" spans="1:17" x14ac:dyDescent="0.25">
      <c r="E29" s="31">
        <f t="shared" si="12"/>
        <v>44</v>
      </c>
      <c r="F29" s="32">
        <f t="shared" si="12"/>
        <v>28</v>
      </c>
      <c r="G29" s="32">
        <f t="shared" si="1"/>
        <v>2051</v>
      </c>
      <c r="H29" s="33">
        <f t="shared" si="11"/>
        <v>86593861.591695458</v>
      </c>
      <c r="I29" s="33">
        <f t="shared" si="5"/>
        <v>1039126339.1003455</v>
      </c>
      <c r="J29" s="33">
        <f t="shared" si="7"/>
        <v>109108265.60553628</v>
      </c>
      <c r="K29" s="33">
        <f t="shared" si="6"/>
        <v>132000000</v>
      </c>
      <c r="L29" s="33">
        <v>0</v>
      </c>
      <c r="M29" s="33">
        <f t="shared" si="8"/>
        <v>798018073.49480915</v>
      </c>
      <c r="N29" s="33">
        <f t="shared" si="0"/>
        <v>930.01807349480919</v>
      </c>
      <c r="O29" s="33">
        <f t="shared" si="9"/>
        <v>169205422.04844272</v>
      </c>
      <c r="P29" s="34">
        <f t="shared" si="10"/>
        <v>760812651.44636643</v>
      </c>
      <c r="Q29" s="345"/>
    </row>
    <row r="30" spans="1:17" x14ac:dyDescent="0.25">
      <c r="E30" s="31">
        <f t="shared" si="12"/>
        <v>45</v>
      </c>
      <c r="F30" s="32">
        <f t="shared" si="12"/>
        <v>29</v>
      </c>
      <c r="G30" s="32">
        <f t="shared" si="1"/>
        <v>2052</v>
      </c>
      <c r="H30" s="33">
        <f t="shared" si="11"/>
        <v>87052299.68247503</v>
      </c>
      <c r="I30" s="33">
        <f t="shared" si="5"/>
        <v>1044627596.1897004</v>
      </c>
      <c r="J30" s="33">
        <f t="shared" si="7"/>
        <v>109685897.59991854</v>
      </c>
      <c r="K30" s="33">
        <f t="shared" si="6"/>
        <v>132000000</v>
      </c>
      <c r="L30" s="33">
        <v>0</v>
      </c>
      <c r="M30" s="33">
        <f t="shared" si="8"/>
        <v>802941698.58978176</v>
      </c>
      <c r="N30" s="33">
        <f t="shared" si="0"/>
        <v>934.94169858978171</v>
      </c>
      <c r="O30" s="33">
        <f t="shared" si="9"/>
        <v>170682509.57693452</v>
      </c>
      <c r="P30" s="34">
        <f t="shared" si="10"/>
        <v>764259189.01284719</v>
      </c>
      <c r="Q30" s="345"/>
    </row>
    <row r="31" spans="1:17" x14ac:dyDescent="0.25">
      <c r="E31" s="31">
        <f t="shared" si="12"/>
        <v>46</v>
      </c>
      <c r="F31" s="32">
        <f t="shared" si="12"/>
        <v>30</v>
      </c>
      <c r="G31" s="32">
        <f t="shared" si="1"/>
        <v>2053</v>
      </c>
      <c r="H31" s="33">
        <f t="shared" si="11"/>
        <v>87513164.798441082</v>
      </c>
      <c r="I31" s="33">
        <f t="shared" si="5"/>
        <v>1050157977.581293</v>
      </c>
      <c r="J31" s="33">
        <f t="shared" si="7"/>
        <v>110266587.64603576</v>
      </c>
      <c r="K31" s="33">
        <f t="shared" si="6"/>
        <v>132000000</v>
      </c>
      <c r="L31" s="33">
        <v>0</v>
      </c>
      <c r="M31" s="33">
        <f t="shared" si="8"/>
        <v>807891389.9352572</v>
      </c>
      <c r="N31" s="33">
        <f t="shared" si="0"/>
        <v>939.89138993525717</v>
      </c>
      <c r="O31" s="33">
        <f t="shared" si="9"/>
        <v>172167416.98057714</v>
      </c>
      <c r="P31" s="34">
        <f t="shared" si="10"/>
        <v>767723972.95468009</v>
      </c>
      <c r="Q31" s="345"/>
    </row>
    <row r="32" spans="1:17" x14ac:dyDescent="0.25">
      <c r="E32" s="31">
        <f t="shared" si="12"/>
        <v>47</v>
      </c>
      <c r="F32" s="32">
        <f t="shared" si="12"/>
        <v>31</v>
      </c>
      <c r="G32" s="32">
        <f t="shared" si="1"/>
        <v>2054</v>
      </c>
      <c r="H32" s="33">
        <f t="shared" si="11"/>
        <v>87976469.788550481</v>
      </c>
      <c r="I32" s="33">
        <f t="shared" si="5"/>
        <v>1055717637.4626057</v>
      </c>
      <c r="J32" s="33">
        <f t="shared" si="7"/>
        <v>110850351.9335736</v>
      </c>
      <c r="K32" s="33">
        <f t="shared" si="6"/>
        <v>132000000</v>
      </c>
      <c r="L32" s="33">
        <v>0</v>
      </c>
      <c r="M32" s="33">
        <f t="shared" si="8"/>
        <v>812867285.52903211</v>
      </c>
      <c r="N32" s="33">
        <f t="shared" si="0"/>
        <v>944.86728552903207</v>
      </c>
      <c r="O32" s="33">
        <f t="shared" si="9"/>
        <v>173660185.65870959</v>
      </c>
      <c r="P32" s="34">
        <f t="shared" si="10"/>
        <v>771207099.87032247</v>
      </c>
      <c r="Q32" s="345"/>
    </row>
    <row r="33" spans="5:17" x14ac:dyDescent="0.25">
      <c r="E33" s="31">
        <f t="shared" si="12"/>
        <v>48</v>
      </c>
      <c r="F33" s="32">
        <f t="shared" si="12"/>
        <v>32</v>
      </c>
      <c r="G33" s="32">
        <f t="shared" si="1"/>
        <v>2055</v>
      </c>
      <c r="H33" s="33">
        <f t="shared" si="11"/>
        <v>88442227.569783986</v>
      </c>
      <c r="I33" s="33">
        <f t="shared" si="5"/>
        <v>1061306730.8374078</v>
      </c>
      <c r="J33" s="33">
        <f t="shared" si="7"/>
        <v>111437206.73792782</v>
      </c>
      <c r="K33" s="33">
        <f t="shared" si="6"/>
        <v>132000000</v>
      </c>
      <c r="L33" s="33">
        <v>0</v>
      </c>
      <c r="M33" s="33">
        <f t="shared" si="8"/>
        <v>817869524.09948003</v>
      </c>
      <c r="N33" s="33">
        <f t="shared" si="0"/>
        <v>949.86952409948003</v>
      </c>
      <c r="O33" s="33">
        <f t="shared" si="9"/>
        <v>175160857.229844</v>
      </c>
      <c r="P33" s="34">
        <f t="shared" si="10"/>
        <v>774708666.86963606</v>
      </c>
      <c r="Q33" s="345"/>
    </row>
    <row r="34" spans="5:17" x14ac:dyDescent="0.25">
      <c r="E34" s="31">
        <f t="shared" si="12"/>
        <v>49</v>
      </c>
      <c r="F34" s="32">
        <f t="shared" si="12"/>
        <v>33</v>
      </c>
      <c r="G34" s="32">
        <f t="shared" si="1"/>
        <v>2056</v>
      </c>
      <c r="H34" s="33">
        <f t="shared" si="11"/>
        <v>88910451.127506375</v>
      </c>
      <c r="I34" s="33">
        <f t="shared" si="5"/>
        <v>1066925413.5300765</v>
      </c>
      <c r="J34" s="33">
        <f t="shared" si="7"/>
        <v>112027168.42065804</v>
      </c>
      <c r="K34" s="33">
        <f t="shared" si="6"/>
        <v>132000000</v>
      </c>
      <c r="L34" s="33">
        <v>0</v>
      </c>
      <c r="M34" s="33">
        <f t="shared" si="8"/>
        <v>822898245.10941851</v>
      </c>
      <c r="N34" s="33">
        <f t="shared" si="0"/>
        <v>954.89824510941855</v>
      </c>
      <c r="O34" s="33">
        <f t="shared" si="9"/>
        <v>176669473.53282559</v>
      </c>
      <c r="P34" s="34">
        <f t="shared" si="10"/>
        <v>778228771.57659292</v>
      </c>
      <c r="Q34" s="345"/>
    </row>
    <row r="35" spans="5:17" x14ac:dyDescent="0.25">
      <c r="E35" s="31">
        <f t="shared" si="12"/>
        <v>50</v>
      </c>
      <c r="F35" s="32">
        <f t="shared" si="12"/>
        <v>34</v>
      </c>
      <c r="G35" s="32">
        <f t="shared" si="1"/>
        <v>2057</v>
      </c>
      <c r="H35" s="33">
        <f t="shared" si="11"/>
        <v>89381153.515828475</v>
      </c>
      <c r="I35" s="33">
        <f t="shared" si="5"/>
        <v>1072573842.1899416</v>
      </c>
      <c r="J35" s="33">
        <f t="shared" si="7"/>
        <v>112620253.42994389</v>
      </c>
      <c r="K35" s="33">
        <f t="shared" si="6"/>
        <v>132000000</v>
      </c>
      <c r="L35" s="33">
        <v>0</v>
      </c>
      <c r="M35" s="33">
        <f t="shared" si="8"/>
        <v>827953588.75999773</v>
      </c>
      <c r="N35" s="33">
        <f t="shared" si="0"/>
        <v>959.95358875999773</v>
      </c>
      <c r="O35" s="33">
        <f t="shared" si="9"/>
        <v>178186076.62799934</v>
      </c>
      <c r="P35" s="34">
        <f t="shared" si="10"/>
        <v>781767512.13199842</v>
      </c>
      <c r="Q35" s="345"/>
    </row>
    <row r="36" spans="5:17" x14ac:dyDescent="0.25">
      <c r="E36" s="31">
        <f t="shared" ref="E36:F45" si="13">+E35+1</f>
        <v>51</v>
      </c>
      <c r="F36" s="32">
        <f t="shared" si="13"/>
        <v>35</v>
      </c>
      <c r="G36" s="32">
        <f t="shared" si="1"/>
        <v>2058</v>
      </c>
      <c r="H36" s="33">
        <f t="shared" si="11"/>
        <v>89854347.857971102</v>
      </c>
      <c r="I36" s="33">
        <f t="shared" si="5"/>
        <v>1078252174.2956533</v>
      </c>
      <c r="J36" s="33">
        <f t="shared" si="7"/>
        <v>113216478.3010436</v>
      </c>
      <c r="K36" s="33">
        <f t="shared" si="6"/>
        <v>132000000</v>
      </c>
      <c r="L36" s="33">
        <v>0</v>
      </c>
      <c r="M36" s="33">
        <f t="shared" si="8"/>
        <v>833035695.99460971</v>
      </c>
      <c r="N36" s="33">
        <f t="shared" si="0"/>
        <v>965.03569599460968</v>
      </c>
      <c r="O36" s="33">
        <f t="shared" si="9"/>
        <v>179710708.79838291</v>
      </c>
      <c r="P36" s="34">
        <f t="shared" si="10"/>
        <v>785324987.19622684</v>
      </c>
      <c r="Q36" s="345"/>
    </row>
    <row r="37" spans="5:17" x14ac:dyDescent="0.25">
      <c r="E37" s="31">
        <f t="shared" si="13"/>
        <v>52</v>
      </c>
      <c r="F37" s="32">
        <f t="shared" si="13"/>
        <v>36</v>
      </c>
      <c r="G37" s="32">
        <f t="shared" si="1"/>
        <v>2059</v>
      </c>
      <c r="H37" s="33">
        <f t="shared" si="11"/>
        <v>90330047.346630961</v>
      </c>
      <c r="I37" s="33">
        <f t="shared" si="5"/>
        <v>1083960568.1595716</v>
      </c>
      <c r="J37" s="33">
        <f t="shared" si="7"/>
        <v>113815859.65675502</v>
      </c>
      <c r="K37" s="33">
        <f t="shared" si="6"/>
        <v>132000000</v>
      </c>
      <c r="L37" s="33">
        <v>0</v>
      </c>
      <c r="M37" s="33">
        <f t="shared" si="8"/>
        <v>838144708.50281668</v>
      </c>
      <c r="N37" s="33">
        <f t="shared" si="0"/>
        <v>970.14470850281668</v>
      </c>
      <c r="O37" s="33">
        <f t="shared" si="9"/>
        <v>181243412.550845</v>
      </c>
      <c r="P37" s="34">
        <f t="shared" si="10"/>
        <v>788901295.95197165</v>
      </c>
      <c r="Q37" s="345"/>
    </row>
    <row r="38" spans="5:17" x14ac:dyDescent="0.25">
      <c r="E38" s="31">
        <f t="shared" si="13"/>
        <v>53</v>
      </c>
      <c r="F38" s="32">
        <f t="shared" si="13"/>
        <v>37</v>
      </c>
      <c r="G38" s="32">
        <f t="shared" si="1"/>
        <v>2060</v>
      </c>
      <c r="H38" s="33">
        <f t="shared" si="11"/>
        <v>90808265.244348422</v>
      </c>
      <c r="I38" s="33">
        <f t="shared" si="5"/>
        <v>1089699182.9321811</v>
      </c>
      <c r="J38" s="33">
        <f t="shared" si="7"/>
        <v>114418414.20787902</v>
      </c>
      <c r="K38" s="33">
        <f t="shared" si="6"/>
        <v>132000000</v>
      </c>
      <c r="L38" s="33">
        <v>0</v>
      </c>
      <c r="M38" s="33">
        <f t="shared" si="8"/>
        <v>843280768.72430205</v>
      </c>
      <c r="N38" s="33">
        <f t="shared" si="0"/>
        <v>975.28076872430211</v>
      </c>
      <c r="O38" s="33">
        <f t="shared" si="9"/>
        <v>182784230.61729062</v>
      </c>
      <c r="P38" s="34">
        <f t="shared" si="10"/>
        <v>792496538.10701144</v>
      </c>
      <c r="Q38" s="345"/>
    </row>
    <row r="39" spans="5:17" x14ac:dyDescent="0.25">
      <c r="E39" s="31">
        <f t="shared" si="13"/>
        <v>54</v>
      </c>
      <c r="F39" s="32">
        <f t="shared" si="13"/>
        <v>38</v>
      </c>
      <c r="G39" s="32">
        <f t="shared" si="1"/>
        <v>2061</v>
      </c>
      <c r="H39" s="33">
        <f t="shared" si="11"/>
        <v>91289014.883877337</v>
      </c>
      <c r="I39" s="33">
        <f t="shared" ref="I39:I45" si="14">H39*12</f>
        <v>1095468178.606528</v>
      </c>
      <c r="J39" s="33">
        <f t="shared" ref="J39:J45" si="15">I39*8%+I39*1.5%+I39*1%</f>
        <v>115024158.75368544</v>
      </c>
      <c r="K39" s="33">
        <f t="shared" si="6"/>
        <v>132000000</v>
      </c>
      <c r="L39" s="33">
        <v>0</v>
      </c>
      <c r="M39" s="33">
        <f t="shared" ref="M39:M45" si="16">I39-J39-K39-L39</f>
        <v>848444019.85284257</v>
      </c>
      <c r="N39" s="33">
        <f t="shared" ref="N39:N45" si="17">(I39-J39)/10^6</f>
        <v>980.44401985284253</v>
      </c>
      <c r="O39" s="33">
        <f t="shared" ref="O39:O45" si="18">_xlfn.IFS(N39/12-11&lt;0,0*10^6,N39/12-11&lt;=5,(N39/12-11)*5%*12*10^6,N39/12-11&lt;=10,((N39/12-11)*10%-0.25)*12*10^6,N39/12-11&lt;=18,((N39/12-11)*15%-0.75)*12*10^6,N39/12-11&lt;=32,((N39/12-11)*20%-1.65)*12*10^6,N39/12-11&lt;=52,((N39/12-11)*25%-3.25)*12*10^6,N39/12-11&lt;=80,((N39/12-11)*30%-5.85)*12*10^6,N39/12-11&gt;80,((N39/12-11)*35%-9.85)*12*10^6)</f>
        <v>184333205.95585275</v>
      </c>
      <c r="P39" s="34">
        <f t="shared" ref="P39:P45" si="19">I39-J39-O39</f>
        <v>796110813.89698982</v>
      </c>
      <c r="Q39" s="345"/>
    </row>
    <row r="40" spans="5:17" x14ac:dyDescent="0.25">
      <c r="E40" s="31">
        <f t="shared" si="13"/>
        <v>55</v>
      </c>
      <c r="F40" s="32">
        <f t="shared" si="13"/>
        <v>39</v>
      </c>
      <c r="G40" s="32">
        <f t="shared" si="1"/>
        <v>2062</v>
      </c>
      <c r="H40" s="33">
        <f t="shared" si="11"/>
        <v>91772309.66855669</v>
      </c>
      <c r="I40" s="33">
        <f t="shared" si="14"/>
        <v>1101267716.0226803</v>
      </c>
      <c r="J40" s="33">
        <f t="shared" si="15"/>
        <v>115633110.18238144</v>
      </c>
      <c r="K40" s="33">
        <f t="shared" si="6"/>
        <v>132000000</v>
      </c>
      <c r="L40" s="33">
        <v>0</v>
      </c>
      <c r="M40" s="33">
        <f t="shared" si="16"/>
        <v>853634605.84029889</v>
      </c>
      <c r="N40" s="33">
        <f t="shared" si="17"/>
        <v>985.63460584029895</v>
      </c>
      <c r="O40" s="33">
        <f t="shared" si="18"/>
        <v>185890381.75208971</v>
      </c>
      <c r="P40" s="34">
        <f t="shared" si="19"/>
        <v>799744224.08820915</v>
      </c>
      <c r="Q40" s="345"/>
    </row>
    <row r="41" spans="5:17" x14ac:dyDescent="0.25">
      <c r="E41" s="31">
        <f t="shared" si="13"/>
        <v>56</v>
      </c>
      <c r="F41" s="32">
        <f t="shared" si="13"/>
        <v>40</v>
      </c>
      <c r="G41" s="32">
        <f t="shared" si="1"/>
        <v>2063</v>
      </c>
      <c r="H41" s="33">
        <f t="shared" si="11"/>
        <v>92258163.072684348</v>
      </c>
      <c r="I41" s="33">
        <f t="shared" si="14"/>
        <v>1107097956.8722122</v>
      </c>
      <c r="J41" s="33">
        <f t="shared" si="15"/>
        <v>116245285.47158226</v>
      </c>
      <c r="K41" s="33">
        <f t="shared" si="6"/>
        <v>132000000</v>
      </c>
      <c r="L41" s="33">
        <v>0</v>
      </c>
      <c r="M41" s="33">
        <f t="shared" si="16"/>
        <v>858852671.40062988</v>
      </c>
      <c r="N41" s="33">
        <f t="shared" si="17"/>
        <v>990.8526714006299</v>
      </c>
      <c r="O41" s="33">
        <f t="shared" si="18"/>
        <v>187455801.42018896</v>
      </c>
      <c r="P41" s="34">
        <f t="shared" si="19"/>
        <v>803396869.98044086</v>
      </c>
      <c r="Q41" s="345"/>
    </row>
    <row r="42" spans="5:17" x14ac:dyDescent="0.25">
      <c r="E42" s="31">
        <f t="shared" si="13"/>
        <v>57</v>
      </c>
      <c r="F42" s="32">
        <f t="shared" si="13"/>
        <v>41</v>
      </c>
      <c r="G42" s="32">
        <f t="shared" si="1"/>
        <v>2064</v>
      </c>
      <c r="H42" s="33">
        <f t="shared" si="11"/>
        <v>92746588.641892686</v>
      </c>
      <c r="I42" s="33">
        <f t="shared" si="14"/>
        <v>1112959063.7027123</v>
      </c>
      <c r="J42" s="33">
        <f t="shared" si="15"/>
        <v>116860701.68878481</v>
      </c>
      <c r="K42" s="33">
        <f t="shared" si="6"/>
        <v>132000000</v>
      </c>
      <c r="L42" s="33">
        <v>0</v>
      </c>
      <c r="M42" s="33">
        <f t="shared" si="16"/>
        <v>864098362.01392746</v>
      </c>
      <c r="N42" s="33">
        <f t="shared" si="17"/>
        <v>996.0983620139275</v>
      </c>
      <c r="O42" s="33">
        <f t="shared" si="18"/>
        <v>189029508.60417825</v>
      </c>
      <c r="P42" s="34">
        <f t="shared" si="19"/>
        <v>807068853.40974927</v>
      </c>
      <c r="Q42" s="345"/>
    </row>
    <row r="43" spans="5:17" x14ac:dyDescent="0.25">
      <c r="E43" s="31">
        <f t="shared" si="13"/>
        <v>58</v>
      </c>
      <c r="F43" s="32">
        <f t="shared" si="13"/>
        <v>42</v>
      </c>
      <c r="G43" s="32">
        <f t="shared" si="1"/>
        <v>2065</v>
      </c>
      <c r="H43" s="33">
        <f t="shared" si="11"/>
        <v>93237599.993526235</v>
      </c>
      <c r="I43" s="33">
        <f t="shared" si="14"/>
        <v>1118851199.9223149</v>
      </c>
      <c r="J43" s="33">
        <f t="shared" si="15"/>
        <v>117479375.99184304</v>
      </c>
      <c r="K43" s="33">
        <f t="shared" si="6"/>
        <v>132000000</v>
      </c>
      <c r="L43" s="33">
        <v>0</v>
      </c>
      <c r="M43" s="33">
        <f t="shared" si="16"/>
        <v>869371823.9304719</v>
      </c>
      <c r="N43" s="33">
        <f t="shared" si="17"/>
        <v>1001.3718239304719</v>
      </c>
      <c r="O43" s="33">
        <f t="shared" si="18"/>
        <v>190611547.17914158</v>
      </c>
      <c r="P43" s="34">
        <f t="shared" si="19"/>
        <v>810760276.75133038</v>
      </c>
      <c r="Q43" s="345"/>
    </row>
    <row r="44" spans="5:17" x14ac:dyDescent="0.25">
      <c r="E44" s="31">
        <f t="shared" si="13"/>
        <v>59</v>
      </c>
      <c r="F44" s="32">
        <f t="shared" si="13"/>
        <v>43</v>
      </c>
      <c r="G44" s="32">
        <f t="shared" si="1"/>
        <v>2066</v>
      </c>
      <c r="H44" s="33">
        <f t="shared" si="11"/>
        <v>93731210.817021385</v>
      </c>
      <c r="I44" s="33">
        <f t="shared" si="14"/>
        <v>1124774529.8042567</v>
      </c>
      <c r="J44" s="33">
        <f t="shared" si="15"/>
        <v>118101325.62944695</v>
      </c>
      <c r="K44" s="33">
        <f t="shared" si="6"/>
        <v>132000000</v>
      </c>
      <c r="L44" s="33">
        <v>0</v>
      </c>
      <c r="M44" s="33">
        <f t="shared" si="16"/>
        <v>874673204.17480969</v>
      </c>
      <c r="N44" s="33">
        <f t="shared" si="17"/>
        <v>1006.6732041748097</v>
      </c>
      <c r="O44" s="33">
        <f t="shared" si="18"/>
        <v>192201961.25244293</v>
      </c>
      <c r="P44" s="34">
        <f t="shared" si="19"/>
        <v>814471242.92236674</v>
      </c>
      <c r="Q44" s="345"/>
    </row>
    <row r="45" spans="5:17" x14ac:dyDescent="0.25">
      <c r="E45" s="31">
        <f t="shared" si="13"/>
        <v>60</v>
      </c>
      <c r="F45" s="32">
        <f t="shared" si="13"/>
        <v>44</v>
      </c>
      <c r="G45" s="32">
        <f t="shared" si="1"/>
        <v>2067</v>
      </c>
      <c r="H45" s="33">
        <f t="shared" si="11"/>
        <v>94227434.874287978</v>
      </c>
      <c r="I45" s="33">
        <f t="shared" si="14"/>
        <v>1130729218.4914558</v>
      </c>
      <c r="J45" s="33">
        <f t="shared" si="15"/>
        <v>118726567.94160286</v>
      </c>
      <c r="K45" s="33">
        <f t="shared" si="6"/>
        <v>132000000</v>
      </c>
      <c r="L45" s="33">
        <v>0</v>
      </c>
      <c r="M45" s="33">
        <f t="shared" si="16"/>
        <v>880002650.54985297</v>
      </c>
      <c r="N45" s="33">
        <f t="shared" si="17"/>
        <v>1012.002650549853</v>
      </c>
      <c r="O45" s="33">
        <f t="shared" si="18"/>
        <v>193800795.16495591</v>
      </c>
      <c r="P45" s="34">
        <f t="shared" si="19"/>
        <v>818201855.38489699</v>
      </c>
      <c r="Q45" s="345"/>
    </row>
  </sheetData>
  <mergeCells count="8">
    <mergeCell ref="Q2:Q6"/>
    <mergeCell ref="A11:A12"/>
    <mergeCell ref="Q9:Q11"/>
    <mergeCell ref="B8:C8"/>
    <mergeCell ref="B9:C9"/>
    <mergeCell ref="B10:C10"/>
    <mergeCell ref="Q7:Q8"/>
    <mergeCell ref="Q12:Q45"/>
  </mergeCells>
  <hyperlinks>
    <hyperlink ref="A5" r:id="rId1" location="google_vignette" xr:uid="{7650A43C-19DB-4F28-949D-1E6239E91484}"/>
    <hyperlink ref="A6" r:id="rId2" xr:uid="{7A52ED64-C7F5-467C-B829-37E12C984B2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F1C2B-B129-4AD5-B387-671C0FD7BA18}">
  <dimension ref="A1:K20"/>
  <sheetViews>
    <sheetView showGridLines="0" topLeftCell="A2" workbookViewId="0">
      <selection activeCell="D2" sqref="D2"/>
    </sheetView>
  </sheetViews>
  <sheetFormatPr defaultRowHeight="13.2" x14ac:dyDescent="0.25"/>
  <cols>
    <col min="1" max="1" width="28.44140625" style="86" bestFit="1" customWidth="1"/>
    <col min="2" max="2" width="22.44140625" style="86" bestFit="1" customWidth="1"/>
    <col min="3" max="3" width="8.88671875" style="86"/>
    <col min="4" max="4" width="12.6640625" style="86" bestFit="1" customWidth="1"/>
    <col min="5" max="5" width="28.33203125" style="86" customWidth="1"/>
    <col min="6" max="6" width="17.88671875" style="86" customWidth="1"/>
    <col min="7" max="7" width="17.33203125" style="86" customWidth="1"/>
    <col min="8" max="8" width="8.88671875" style="86"/>
    <col min="9" max="9" width="6.44140625" style="86" customWidth="1"/>
    <col min="10" max="10" width="10" style="86" customWidth="1"/>
    <col min="11" max="11" width="23.77734375" style="86" customWidth="1"/>
    <col min="12" max="16384" width="8.88671875" style="86"/>
  </cols>
  <sheetData>
    <row r="1" spans="1:11" ht="52.8" x14ac:dyDescent="0.25">
      <c r="A1" s="134" t="s">
        <v>359</v>
      </c>
      <c r="B1" s="88" t="s">
        <v>367</v>
      </c>
      <c r="D1" s="145" t="s">
        <v>401</v>
      </c>
      <c r="I1" s="305" t="s">
        <v>379</v>
      </c>
      <c r="J1" s="305"/>
      <c r="K1" s="305"/>
    </row>
    <row r="2" spans="1:11" ht="79.2" x14ac:dyDescent="0.25">
      <c r="A2" s="134" t="s">
        <v>396</v>
      </c>
      <c r="B2" s="117">
        <v>579000000</v>
      </c>
      <c r="D2" s="145" t="s">
        <v>402</v>
      </c>
      <c r="E2" s="346" t="s">
        <v>383</v>
      </c>
      <c r="F2" s="346"/>
      <c r="G2" s="346"/>
      <c r="I2" s="305"/>
      <c r="J2" s="305"/>
      <c r="K2" s="305"/>
    </row>
    <row r="3" spans="1:11" x14ac:dyDescent="0.25">
      <c r="A3" s="134" t="s">
        <v>361</v>
      </c>
      <c r="B3" s="117">
        <v>28950000</v>
      </c>
      <c r="E3" s="346"/>
      <c r="F3" s="346"/>
      <c r="G3" s="346"/>
      <c r="I3" s="79" t="s">
        <v>322</v>
      </c>
      <c r="J3" s="79" t="s">
        <v>9</v>
      </c>
      <c r="K3" s="79" t="s">
        <v>368</v>
      </c>
    </row>
    <row r="4" spans="1:11" x14ac:dyDescent="0.25">
      <c r="A4" s="134" t="s">
        <v>362</v>
      </c>
      <c r="B4" s="117">
        <v>20000000</v>
      </c>
      <c r="E4" s="135" t="s">
        <v>99</v>
      </c>
      <c r="F4" s="133">
        <v>0.04</v>
      </c>
      <c r="I4" s="79">
        <v>1</v>
      </c>
      <c r="J4" s="88">
        <v>2025</v>
      </c>
      <c r="K4" s="117">
        <f>B2*(1-F5)</f>
        <v>541365000</v>
      </c>
    </row>
    <row r="5" spans="1:11" x14ac:dyDescent="0.25">
      <c r="A5" s="134" t="s">
        <v>363</v>
      </c>
      <c r="B5" s="117">
        <v>340000</v>
      </c>
      <c r="E5" s="135" t="s">
        <v>370</v>
      </c>
      <c r="F5" s="86">
        <f>(5%+8%)/2</f>
        <v>6.5000000000000002E-2</v>
      </c>
      <c r="I5" s="79">
        <v>2</v>
      </c>
      <c r="J5" s="88">
        <v>2026</v>
      </c>
      <c r="K5" s="117">
        <f>K4*(1-F5)</f>
        <v>506176275</v>
      </c>
    </row>
    <row r="6" spans="1:11" x14ac:dyDescent="0.25">
      <c r="A6" s="134" t="s">
        <v>365</v>
      </c>
      <c r="B6" s="117">
        <v>1560000</v>
      </c>
      <c r="E6" s="135" t="s">
        <v>371</v>
      </c>
      <c r="F6" s="86">
        <f>(5%+7%)/2</f>
        <v>6.0000000000000005E-2</v>
      </c>
      <c r="I6" s="79">
        <v>3</v>
      </c>
      <c r="J6" s="88">
        <v>2027</v>
      </c>
      <c r="K6" s="117">
        <f>K5*(1-F5)</f>
        <v>473274817.125</v>
      </c>
    </row>
    <row r="7" spans="1:11" x14ac:dyDescent="0.25">
      <c r="A7" s="134" t="s">
        <v>366</v>
      </c>
      <c r="B7" s="117">
        <v>437000</v>
      </c>
      <c r="E7" s="135" t="s">
        <v>372</v>
      </c>
      <c r="F7" s="133">
        <v>0.08</v>
      </c>
      <c r="I7" s="79">
        <v>4</v>
      </c>
      <c r="J7" s="88">
        <v>2028</v>
      </c>
      <c r="K7" s="117">
        <f>K6*(1-F6)</f>
        <v>444878328.09749997</v>
      </c>
    </row>
    <row r="8" spans="1:11" x14ac:dyDescent="0.25">
      <c r="A8" s="79" t="s">
        <v>360</v>
      </c>
      <c r="B8" s="123">
        <f>SUM(B2:B7)</f>
        <v>630287000</v>
      </c>
      <c r="E8" s="135" t="s">
        <v>369</v>
      </c>
      <c r="F8" s="100">
        <f>K13</f>
        <v>287732085.01283735</v>
      </c>
      <c r="I8" s="79">
        <v>5</v>
      </c>
      <c r="J8" s="88">
        <v>2029</v>
      </c>
      <c r="K8" s="117">
        <f>K7*(1-F6)</f>
        <v>418185628.41164994</v>
      </c>
    </row>
    <row r="9" spans="1:11" x14ac:dyDescent="0.25">
      <c r="E9" s="135" t="s">
        <v>373</v>
      </c>
      <c r="F9" s="100">
        <f>B3*(1+$F$4)</f>
        <v>30108000</v>
      </c>
      <c r="I9" s="79">
        <v>6</v>
      </c>
      <c r="J9" s="88">
        <v>2030</v>
      </c>
      <c r="K9" s="117">
        <f>K8*(1-F6)</f>
        <v>393094490.7069509</v>
      </c>
    </row>
    <row r="10" spans="1:11" x14ac:dyDescent="0.25">
      <c r="E10" s="135" t="s">
        <v>374</v>
      </c>
      <c r="F10" s="100">
        <f t="shared" ref="F10:F13" si="0">B4*(1+$F$4)</f>
        <v>20800000</v>
      </c>
      <c r="I10" s="79">
        <v>7</v>
      </c>
      <c r="J10" s="88">
        <v>2031</v>
      </c>
      <c r="K10" s="117">
        <f>K9*(1-F6)</f>
        <v>369508821.26453382</v>
      </c>
    </row>
    <row r="11" spans="1:11" x14ac:dyDescent="0.25">
      <c r="E11" s="135" t="s">
        <v>375</v>
      </c>
      <c r="F11" s="100">
        <f t="shared" si="0"/>
        <v>353600</v>
      </c>
      <c r="I11" s="79">
        <v>8</v>
      </c>
      <c r="J11" s="88">
        <v>2032</v>
      </c>
      <c r="K11" s="117">
        <f>K10*(1-F7)</f>
        <v>339948115.56337112</v>
      </c>
    </row>
    <row r="12" spans="1:11" x14ac:dyDescent="0.25">
      <c r="E12" s="135" t="s">
        <v>377</v>
      </c>
      <c r="F12" s="100">
        <f t="shared" si="0"/>
        <v>1622400</v>
      </c>
      <c r="I12" s="79">
        <v>9</v>
      </c>
      <c r="J12" s="88">
        <v>2033</v>
      </c>
      <c r="K12" s="117">
        <f>K11*(1-F7)</f>
        <v>312752266.31830144</v>
      </c>
    </row>
    <row r="13" spans="1:11" x14ac:dyDescent="0.25">
      <c r="E13" s="135" t="s">
        <v>376</v>
      </c>
      <c r="F13" s="100">
        <f t="shared" si="0"/>
        <v>454480</v>
      </c>
      <c r="I13" s="79">
        <v>10</v>
      </c>
      <c r="J13" s="88">
        <v>2034</v>
      </c>
      <c r="K13" s="117">
        <f>K12*(1-F7)</f>
        <v>287732085.01283735</v>
      </c>
    </row>
    <row r="14" spans="1:11" x14ac:dyDescent="0.25">
      <c r="E14" s="79" t="s">
        <v>378</v>
      </c>
      <c r="F14" s="102">
        <f>SUM(F8:F13)</f>
        <v>341070565.01283735</v>
      </c>
    </row>
    <row r="18" spans="5:7" x14ac:dyDescent="0.25">
      <c r="E18" s="305" t="s">
        <v>380</v>
      </c>
      <c r="F18" s="347">
        <f>-PMT(4%,2*12,K12)</f>
        <v>20512430.142180242</v>
      </c>
      <c r="G18" s="347"/>
    </row>
    <row r="19" spans="5:7" x14ac:dyDescent="0.25">
      <c r="E19" s="305"/>
      <c r="F19" s="347"/>
      <c r="G19" s="347"/>
    </row>
    <row r="20" spans="5:7" x14ac:dyDescent="0.25">
      <c r="E20" s="305"/>
      <c r="F20" s="347"/>
      <c r="G20" s="347"/>
    </row>
  </sheetData>
  <mergeCells count="4">
    <mergeCell ref="E2:G3"/>
    <mergeCell ref="I1:K2"/>
    <mergeCell ref="E18:E20"/>
    <mergeCell ref="F18:G20"/>
  </mergeCells>
  <hyperlinks>
    <hyperlink ref="D1" r:id="rId1" xr:uid="{84C4EC7E-DC0C-474C-ADBC-0E81D23AB65E}"/>
    <hyperlink ref="D2" r:id="rId2" xr:uid="{3BB14898-0C10-4F16-A1DD-C501E65DFED6}"/>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95B46-582C-4104-80E2-6E884CBC741C}">
  <dimension ref="A1:H73"/>
  <sheetViews>
    <sheetView showGridLines="0" workbookViewId="0">
      <selection activeCell="A4" sqref="A4"/>
    </sheetView>
  </sheetViews>
  <sheetFormatPr defaultRowHeight="13.2" x14ac:dyDescent="0.25"/>
  <cols>
    <col min="1" max="1" width="16.5546875" style="11" customWidth="1"/>
    <col min="2" max="2" width="23.44140625" style="11" bestFit="1" customWidth="1"/>
    <col min="3" max="3" width="13.88671875" style="11" bestFit="1" customWidth="1"/>
    <col min="4" max="4" width="14.88671875" style="11" customWidth="1"/>
    <col min="5" max="5" width="6.44140625" style="86" bestFit="1" customWidth="1"/>
    <col min="6" max="6" width="14.44140625" style="86" bestFit="1" customWidth="1"/>
    <col min="7" max="7" width="13.44140625" style="86" bestFit="1" customWidth="1"/>
    <col min="8" max="8" width="16.88671875" style="86" bestFit="1" customWidth="1"/>
    <col min="9" max="16384" width="8.88671875" style="11"/>
  </cols>
  <sheetData>
    <row r="1" spans="1:8" x14ac:dyDescent="0.25">
      <c r="B1" s="115" t="s">
        <v>334</v>
      </c>
      <c r="C1" s="113">
        <v>2700000000</v>
      </c>
      <c r="E1" s="73" t="s">
        <v>332</v>
      </c>
      <c r="F1" s="73" t="s">
        <v>395</v>
      </c>
      <c r="G1" s="73" t="s">
        <v>98</v>
      </c>
      <c r="H1" s="73" t="s">
        <v>333</v>
      </c>
    </row>
    <row r="2" spans="1:8" x14ac:dyDescent="0.25">
      <c r="B2" s="115" t="s">
        <v>335</v>
      </c>
      <c r="C2" s="113">
        <f>C1*(1+10%)^9</f>
        <v>6366458765.7000036</v>
      </c>
      <c r="E2" s="73">
        <v>1</v>
      </c>
      <c r="F2" s="113">
        <f>$C$3/(((1+$C$5/12)^$C$6 - 1)/($C$5/12))</f>
        <v>22867024.153494995</v>
      </c>
      <c r="G2" s="113">
        <f>F2*($C$5/12)</f>
        <v>93507.468409618319</v>
      </c>
      <c r="H2" s="113">
        <f>F2+G2</f>
        <v>22960531.621904612</v>
      </c>
    </row>
    <row r="3" spans="1:8" x14ac:dyDescent="0.25">
      <c r="B3" s="115" t="s">
        <v>329</v>
      </c>
      <c r="C3" s="113">
        <f>30%*C2</f>
        <v>1909937629.710001</v>
      </c>
      <c r="E3" s="73">
        <v>2</v>
      </c>
      <c r="F3" s="113">
        <f t="shared" ref="F3:F66" si="0">$C$3/(((1+$C$5/12)^$C$6 - 1)/($C$5/12))</f>
        <v>22867024.153494995</v>
      </c>
      <c r="G3" s="113">
        <f>(H2+F3)*($C$5/12)</f>
        <v>187397.30605931283</v>
      </c>
      <c r="H3" s="113">
        <f>F3+G3+H2</f>
        <v>46014953.081458919</v>
      </c>
    </row>
    <row r="4" spans="1:8" ht="79.2" x14ac:dyDescent="0.25">
      <c r="A4" s="144" t="s">
        <v>403</v>
      </c>
      <c r="B4" s="115" t="s">
        <v>336</v>
      </c>
      <c r="C4" s="114">
        <v>4.8000000000000001E-2</v>
      </c>
      <c r="E4" s="73">
        <v>3</v>
      </c>
      <c r="F4" s="113">
        <f t="shared" si="0"/>
        <v>22867024.153494995</v>
      </c>
      <c r="G4" s="113">
        <f>(H3+F4)*($C$5/12)</f>
        <v>281671.07652724726</v>
      </c>
      <c r="H4" s="113">
        <f t="shared" ref="H4:H67" si="1">F4+G4+H3</f>
        <v>69163648.311481163</v>
      </c>
    </row>
    <row r="5" spans="1:8" x14ac:dyDescent="0.25">
      <c r="B5" s="115" t="s">
        <v>331</v>
      </c>
      <c r="C5" s="114">
        <f>((1+C4/12)^12) - 1</f>
        <v>4.9070207534805954E-2</v>
      </c>
      <c r="E5" s="73">
        <v>4</v>
      </c>
      <c r="F5" s="113">
        <f t="shared" si="0"/>
        <v>22867024.153494995</v>
      </c>
      <c r="G5" s="113">
        <f t="shared" ref="G5:G67" si="2">(H4+F5)*($C$5/12)</f>
        <v>376330.34978534433</v>
      </c>
      <c r="H5" s="113">
        <f t="shared" si="1"/>
        <v>92407002.814761505</v>
      </c>
    </row>
    <row r="6" spans="1:8" x14ac:dyDescent="0.25">
      <c r="B6" s="115" t="s">
        <v>330</v>
      </c>
      <c r="C6" s="112">
        <f>6*12</f>
        <v>72</v>
      </c>
      <c r="E6" s="73">
        <v>5</v>
      </c>
      <c r="F6" s="113">
        <f t="shared" si="0"/>
        <v>22867024.153494995</v>
      </c>
      <c r="G6" s="113">
        <f t="shared" si="2"/>
        <v>471376.7022254304</v>
      </c>
      <c r="H6" s="113">
        <f t="shared" si="1"/>
        <v>115745403.67048194</v>
      </c>
    </row>
    <row r="7" spans="1:8" x14ac:dyDescent="0.25">
      <c r="C7" s="111"/>
      <c r="E7" s="73">
        <v>6</v>
      </c>
      <c r="F7" s="113">
        <f t="shared" si="0"/>
        <v>22867024.153494995</v>
      </c>
      <c r="G7" s="113">
        <f t="shared" si="2"/>
        <v>566811.71668548824</v>
      </c>
      <c r="H7" s="113">
        <f t="shared" si="1"/>
        <v>139179239.54066241</v>
      </c>
    </row>
    <row r="8" spans="1:8" x14ac:dyDescent="0.25">
      <c r="E8" s="73">
        <v>7</v>
      </c>
      <c r="F8" s="113">
        <f t="shared" si="0"/>
        <v>22867024.153494995</v>
      </c>
      <c r="G8" s="113">
        <f t="shared" si="2"/>
        <v>662636.98247601616</v>
      </c>
      <c r="H8" s="113">
        <f t="shared" si="1"/>
        <v>162708900.67663342</v>
      </c>
    </row>
    <row r="9" spans="1:8" x14ac:dyDescent="0.25">
      <c r="E9" s="73">
        <v>8</v>
      </c>
      <c r="F9" s="113">
        <f t="shared" si="0"/>
        <v>22867024.153494995</v>
      </c>
      <c r="G9" s="113">
        <f t="shared" si="2"/>
        <v>758854.09540649573</v>
      </c>
      <c r="H9" s="113">
        <f t="shared" si="1"/>
        <v>186334778.9255349</v>
      </c>
    </row>
    <row r="10" spans="1:8" x14ac:dyDescent="0.25">
      <c r="E10" s="73">
        <v>9</v>
      </c>
      <c r="F10" s="113">
        <f t="shared" si="0"/>
        <v>22867024.153494995</v>
      </c>
      <c r="G10" s="113">
        <f t="shared" si="2"/>
        <v>855464.65781196696</v>
      </c>
      <c r="H10" s="113">
        <f t="shared" si="1"/>
        <v>210057267.73684186</v>
      </c>
    </row>
    <row r="11" spans="1:8" x14ac:dyDescent="0.25">
      <c r="E11" s="73">
        <v>10</v>
      </c>
      <c r="F11" s="113">
        <f t="shared" si="0"/>
        <v>22867024.153494995</v>
      </c>
      <c r="G11" s="113">
        <f t="shared" si="2"/>
        <v>952470.27857971226</v>
      </c>
      <c r="H11" s="113">
        <f t="shared" si="1"/>
        <v>233876762.16891655</v>
      </c>
    </row>
    <row r="12" spans="1:8" x14ac:dyDescent="0.25">
      <c r="E12" s="73">
        <v>11</v>
      </c>
      <c r="F12" s="113">
        <f t="shared" si="0"/>
        <v>22867024.153494995</v>
      </c>
      <c r="G12" s="113">
        <f t="shared" si="2"/>
        <v>1049872.5731760506</v>
      </c>
      <c r="H12" s="113">
        <f t="shared" si="1"/>
        <v>257793658.89558759</v>
      </c>
    </row>
    <row r="13" spans="1:8" x14ac:dyDescent="0.25">
      <c r="E13" s="73">
        <v>12</v>
      </c>
      <c r="F13" s="113">
        <f t="shared" si="0"/>
        <v>22867024.153494995</v>
      </c>
      <c r="G13" s="113">
        <f t="shared" si="2"/>
        <v>1147673.1636732398</v>
      </c>
      <c r="H13" s="113">
        <f t="shared" si="1"/>
        <v>281808356.2127558</v>
      </c>
    </row>
    <row r="14" spans="1:8" x14ac:dyDescent="0.25">
      <c r="E14" s="73">
        <v>13</v>
      </c>
      <c r="F14" s="113">
        <f t="shared" si="0"/>
        <v>22867024.153494995</v>
      </c>
      <c r="G14" s="113">
        <f t="shared" si="2"/>
        <v>1245873.6787764891</v>
      </c>
      <c r="H14" s="113">
        <f t="shared" si="1"/>
        <v>305921254.04502726</v>
      </c>
    </row>
    <row r="15" spans="1:8" x14ac:dyDescent="0.25">
      <c r="E15" s="73">
        <v>14</v>
      </c>
      <c r="F15" s="113">
        <f t="shared" si="0"/>
        <v>22867024.153494995</v>
      </c>
      <c r="G15" s="113">
        <f t="shared" si="2"/>
        <v>1344475.7538510836</v>
      </c>
      <c r="H15" s="113">
        <f t="shared" si="1"/>
        <v>330132753.95237333</v>
      </c>
    </row>
    <row r="16" spans="1:8" x14ac:dyDescent="0.25">
      <c r="E16" s="73">
        <v>15</v>
      </c>
      <c r="F16" s="113">
        <f t="shared" si="0"/>
        <v>22867024.153494995</v>
      </c>
      <c r="G16" s="113">
        <f t="shared" si="2"/>
        <v>1443481.0309496175</v>
      </c>
      <c r="H16" s="113">
        <f t="shared" si="1"/>
        <v>354443259.13681793</v>
      </c>
    </row>
    <row r="17" spans="5:8" x14ac:dyDescent="0.25">
      <c r="E17" s="73">
        <v>16</v>
      </c>
      <c r="F17" s="113">
        <f t="shared" si="0"/>
        <v>22867024.153494995</v>
      </c>
      <c r="G17" s="113">
        <f t="shared" si="2"/>
        <v>1542891.1588393401</v>
      </c>
      <c r="H17" s="113">
        <f t="shared" si="1"/>
        <v>378853174.44915229</v>
      </c>
    </row>
    <row r="18" spans="5:8" x14ac:dyDescent="0.25">
      <c r="E18" s="73">
        <v>17</v>
      </c>
      <c r="F18" s="113">
        <f t="shared" si="0"/>
        <v>22867024.153494995</v>
      </c>
      <c r="G18" s="113">
        <f t="shared" si="2"/>
        <v>1642707.7930296138</v>
      </c>
      <c r="H18" s="113">
        <f t="shared" si="1"/>
        <v>403362906.39567691</v>
      </c>
    </row>
    <row r="19" spans="5:8" x14ac:dyDescent="0.25">
      <c r="E19" s="73">
        <v>18</v>
      </c>
      <c r="F19" s="113">
        <f t="shared" si="0"/>
        <v>22867024.153494995</v>
      </c>
      <c r="G19" s="113">
        <f t="shared" si="2"/>
        <v>1742932.5957994827</v>
      </c>
      <c r="H19" s="113">
        <f t="shared" si="1"/>
        <v>427972863.14497137</v>
      </c>
    </row>
    <row r="20" spans="5:8" x14ac:dyDescent="0.25">
      <c r="E20" s="73">
        <v>19</v>
      </c>
      <c r="F20" s="113">
        <f t="shared" si="0"/>
        <v>22867024.153494995</v>
      </c>
      <c r="G20" s="113">
        <f t="shared" si="2"/>
        <v>1843567.2362253559</v>
      </c>
      <c r="H20" s="113">
        <f t="shared" si="1"/>
        <v>452683454.53469169</v>
      </c>
    </row>
    <row r="21" spans="5:8" x14ac:dyDescent="0.25">
      <c r="E21" s="73">
        <v>20</v>
      </c>
      <c r="F21" s="113">
        <f t="shared" si="0"/>
        <v>22867024.153494995</v>
      </c>
      <c r="G21" s="113">
        <f t="shared" si="2"/>
        <v>1944613.3902088029</v>
      </c>
      <c r="H21" s="113">
        <f t="shared" si="1"/>
        <v>477495092.07839549</v>
      </c>
    </row>
    <row r="22" spans="5:8" x14ac:dyDescent="0.25">
      <c r="E22" s="73">
        <v>21</v>
      </c>
      <c r="F22" s="113">
        <f t="shared" si="0"/>
        <v>22867024.153494995</v>
      </c>
      <c r="G22" s="113">
        <f t="shared" si="2"/>
        <v>2046072.7405044637</v>
      </c>
      <c r="H22" s="113">
        <f t="shared" si="1"/>
        <v>502408188.97239494</v>
      </c>
    </row>
    <row r="23" spans="5:8" x14ac:dyDescent="0.25">
      <c r="E23" s="73">
        <v>22</v>
      </c>
      <c r="F23" s="113">
        <f t="shared" si="0"/>
        <v>22867024.153494995</v>
      </c>
      <c r="G23" s="113">
        <f t="shared" si="2"/>
        <v>2147946.9767480707</v>
      </c>
      <c r="H23" s="113">
        <f t="shared" si="1"/>
        <v>527423160.10263801</v>
      </c>
    </row>
    <row r="24" spans="5:8" x14ac:dyDescent="0.25">
      <c r="E24" s="73">
        <v>23</v>
      </c>
      <c r="F24" s="113">
        <f t="shared" si="0"/>
        <v>22867024.153494995</v>
      </c>
      <c r="G24" s="113">
        <f t="shared" si="2"/>
        <v>2250237.7954845876</v>
      </c>
      <c r="H24" s="113">
        <f t="shared" si="1"/>
        <v>552540422.05161762</v>
      </c>
    </row>
    <row r="25" spans="5:8" x14ac:dyDescent="0.25">
      <c r="E25" s="73">
        <v>24</v>
      </c>
      <c r="F25" s="113">
        <f t="shared" si="0"/>
        <v>22867024.153494995</v>
      </c>
      <c r="G25" s="113">
        <f t="shared" si="2"/>
        <v>2352946.9001964638</v>
      </c>
      <c r="H25" s="113">
        <f t="shared" si="1"/>
        <v>577760393.10530913</v>
      </c>
    </row>
    <row r="26" spans="5:8" x14ac:dyDescent="0.25">
      <c r="E26" s="73">
        <v>25</v>
      </c>
      <c r="F26" s="113">
        <f t="shared" si="0"/>
        <v>22867024.153494995</v>
      </c>
      <c r="G26" s="113">
        <f t="shared" si="2"/>
        <v>2456076.0013320004</v>
      </c>
      <c r="H26" s="113">
        <f t="shared" si="1"/>
        <v>603083493.26013613</v>
      </c>
    </row>
    <row r="27" spans="5:8" x14ac:dyDescent="0.25">
      <c r="E27" s="73">
        <v>26</v>
      </c>
      <c r="F27" s="113">
        <f t="shared" si="0"/>
        <v>22867024.153494995</v>
      </c>
      <c r="G27" s="113">
        <f t="shared" si="2"/>
        <v>2559626.8163338369</v>
      </c>
      <c r="H27" s="113">
        <f t="shared" si="1"/>
        <v>628510144.22996497</v>
      </c>
    </row>
    <row r="28" spans="5:8" x14ac:dyDescent="0.25">
      <c r="E28" s="73">
        <v>27</v>
      </c>
      <c r="F28" s="113">
        <f t="shared" si="0"/>
        <v>22867024.153494995</v>
      </c>
      <c r="G28" s="113">
        <f t="shared" si="2"/>
        <v>2663601.0696675517</v>
      </c>
      <c r="H28" s="113">
        <f t="shared" si="1"/>
        <v>654040769.4531275</v>
      </c>
    </row>
    <row r="29" spans="5:8" x14ac:dyDescent="0.25">
      <c r="E29" s="73">
        <v>28</v>
      </c>
      <c r="F29" s="113">
        <f t="shared" si="0"/>
        <v>22867024.153494995</v>
      </c>
      <c r="G29" s="113">
        <f t="shared" si="2"/>
        <v>2768000.4928503796</v>
      </c>
      <c r="H29" s="113">
        <f t="shared" si="1"/>
        <v>679675794.09947288</v>
      </c>
    </row>
    <row r="30" spans="5:8" x14ac:dyDescent="0.25">
      <c r="E30" s="73">
        <v>29</v>
      </c>
      <c r="F30" s="113">
        <f t="shared" si="0"/>
        <v>22867024.153494995</v>
      </c>
      <c r="G30" s="113">
        <f t="shared" si="2"/>
        <v>2872826.8244800493</v>
      </c>
      <c r="H30" s="113">
        <f t="shared" si="1"/>
        <v>705415645.07744789</v>
      </c>
    </row>
    <row r="31" spans="5:8" x14ac:dyDescent="0.25">
      <c r="E31" s="73">
        <v>30</v>
      </c>
      <c r="F31" s="113">
        <f t="shared" si="0"/>
        <v>22867024.153494995</v>
      </c>
      <c r="G31" s="113">
        <f t="shared" si="2"/>
        <v>2978081.8102637334</v>
      </c>
      <c r="H31" s="113">
        <f t="shared" si="1"/>
        <v>731260751.0412066</v>
      </c>
    </row>
    <row r="32" spans="5:8" x14ac:dyDescent="0.25">
      <c r="E32" s="73">
        <v>31</v>
      </c>
      <c r="F32" s="113">
        <f t="shared" si="0"/>
        <v>22867024.153494995</v>
      </c>
      <c r="G32" s="113">
        <f t="shared" si="2"/>
        <v>3083767.2030471242</v>
      </c>
      <c r="H32" s="113">
        <f t="shared" si="1"/>
        <v>757211542.39774871</v>
      </c>
    </row>
    <row r="33" spans="5:8" x14ac:dyDescent="0.25">
      <c r="E33" s="73">
        <v>32</v>
      </c>
      <c r="F33" s="113">
        <f t="shared" si="0"/>
        <v>22867024.153494995</v>
      </c>
      <c r="G33" s="113">
        <f t="shared" si="2"/>
        <v>3189884.7628436219</v>
      </c>
      <c r="H33" s="113">
        <f t="shared" si="1"/>
        <v>783268451.31408727</v>
      </c>
    </row>
    <row r="34" spans="5:8" x14ac:dyDescent="0.25">
      <c r="E34" s="73">
        <v>33</v>
      </c>
      <c r="F34" s="113">
        <f t="shared" si="0"/>
        <v>22867024.153494995</v>
      </c>
      <c r="G34" s="113">
        <f t="shared" si="2"/>
        <v>3296436.2568636443</v>
      </c>
      <c r="H34" s="113">
        <f t="shared" si="1"/>
        <v>809431911.72444594</v>
      </c>
    </row>
    <row r="35" spans="5:8" x14ac:dyDescent="0.25">
      <c r="E35" s="73">
        <v>34</v>
      </c>
      <c r="F35" s="113">
        <f t="shared" si="0"/>
        <v>22867024.153494995</v>
      </c>
      <c r="G35" s="113">
        <f t="shared" si="2"/>
        <v>3403423.4595440594</v>
      </c>
      <c r="H35" s="113">
        <f t="shared" si="1"/>
        <v>835702359.33748496</v>
      </c>
    </row>
    <row r="36" spans="5:8" x14ac:dyDescent="0.25">
      <c r="E36" s="73">
        <v>35</v>
      </c>
      <c r="F36" s="113">
        <f t="shared" si="0"/>
        <v>22867024.153494995</v>
      </c>
      <c r="G36" s="113">
        <f t="shared" si="2"/>
        <v>3510848.1525777318</v>
      </c>
      <c r="H36" s="113">
        <f t="shared" si="1"/>
        <v>862080231.64355767</v>
      </c>
    </row>
    <row r="37" spans="5:8" x14ac:dyDescent="0.25">
      <c r="E37" s="73">
        <v>36</v>
      </c>
      <c r="F37" s="113">
        <f t="shared" si="0"/>
        <v>22867024.153494995</v>
      </c>
      <c r="G37" s="113">
        <f t="shared" si="2"/>
        <v>3618712.1249431982</v>
      </c>
      <c r="H37" s="113">
        <f t="shared" si="1"/>
        <v>888565967.92199588</v>
      </c>
    </row>
    <row r="38" spans="5:8" x14ac:dyDescent="0.25">
      <c r="E38" s="74">
        <v>37</v>
      </c>
      <c r="F38" s="113">
        <f t="shared" si="0"/>
        <v>22867024.153494995</v>
      </c>
      <c r="G38" s="113">
        <f t="shared" si="2"/>
        <v>3727017.1729344567</v>
      </c>
      <c r="H38" s="113">
        <f t="shared" si="1"/>
        <v>915160009.24842536</v>
      </c>
    </row>
    <row r="39" spans="5:8" x14ac:dyDescent="0.25">
      <c r="E39" s="74">
        <v>38</v>
      </c>
      <c r="F39" s="113">
        <f t="shared" si="0"/>
        <v>22867024.153494995</v>
      </c>
      <c r="G39" s="113">
        <f t="shared" si="2"/>
        <v>3835765.1001908821</v>
      </c>
      <c r="H39" s="113">
        <f t="shared" si="1"/>
        <v>941862798.5021112</v>
      </c>
    </row>
    <row r="40" spans="5:8" x14ac:dyDescent="0.25">
      <c r="E40" s="74">
        <v>39</v>
      </c>
      <c r="F40" s="113">
        <f t="shared" si="0"/>
        <v>22867024.153494995</v>
      </c>
      <c r="G40" s="113">
        <f t="shared" si="2"/>
        <v>3944957.7177272611</v>
      </c>
      <c r="H40" s="113">
        <f t="shared" si="1"/>
        <v>968674780.37333345</v>
      </c>
    </row>
    <row r="41" spans="5:8" x14ac:dyDescent="0.25">
      <c r="E41" s="74">
        <v>40</v>
      </c>
      <c r="F41" s="113">
        <f t="shared" si="0"/>
        <v>22867024.153494995</v>
      </c>
      <c r="G41" s="113">
        <f t="shared" si="2"/>
        <v>4054596.8439639555</v>
      </c>
      <c r="H41" s="113">
        <f t="shared" si="1"/>
        <v>995596401.37079239</v>
      </c>
    </row>
    <row r="42" spans="5:8" x14ac:dyDescent="0.25">
      <c r="E42" s="74">
        <v>41</v>
      </c>
      <c r="F42" s="113">
        <f t="shared" si="0"/>
        <v>22867024.153494995</v>
      </c>
      <c r="G42" s="113">
        <f t="shared" si="2"/>
        <v>4164684.3047571802</v>
      </c>
      <c r="H42" s="113">
        <f t="shared" si="1"/>
        <v>1022628109.8290446</v>
      </c>
    </row>
    <row r="43" spans="5:8" x14ac:dyDescent="0.25">
      <c r="E43" s="74">
        <v>42</v>
      </c>
      <c r="F43" s="113">
        <f t="shared" si="0"/>
        <v>22867024.153494995</v>
      </c>
      <c r="G43" s="113">
        <f t="shared" si="2"/>
        <v>4275221.9334294144</v>
      </c>
      <c r="H43" s="113">
        <f t="shared" si="1"/>
        <v>1049770355.915969</v>
      </c>
    </row>
    <row r="44" spans="5:8" x14ac:dyDescent="0.25">
      <c r="E44" s="74">
        <v>43</v>
      </c>
      <c r="F44" s="113">
        <f t="shared" si="0"/>
        <v>22867024.153494995</v>
      </c>
      <c r="G44" s="113">
        <f t="shared" si="2"/>
        <v>4386211.5707999272</v>
      </c>
      <c r="H44" s="113">
        <f t="shared" si="1"/>
        <v>1077023591.640264</v>
      </c>
    </row>
    <row r="45" spans="5:8" x14ac:dyDescent="0.25">
      <c r="E45" s="74">
        <v>44</v>
      </c>
      <c r="F45" s="113">
        <f t="shared" si="0"/>
        <v>22867024.153494995</v>
      </c>
      <c r="G45" s="113">
        <f t="shared" si="2"/>
        <v>4497655.0652154395</v>
      </c>
      <c r="H45" s="113">
        <f t="shared" si="1"/>
        <v>1104388270.8589745</v>
      </c>
    </row>
    <row r="46" spans="5:8" x14ac:dyDescent="0.25">
      <c r="E46" s="74">
        <v>45</v>
      </c>
      <c r="F46" s="113">
        <f t="shared" si="0"/>
        <v>22867024.153494995</v>
      </c>
      <c r="G46" s="113">
        <f t="shared" si="2"/>
        <v>4609554.2725808993</v>
      </c>
      <c r="H46" s="113">
        <f t="shared" si="1"/>
        <v>1131864849.2850504</v>
      </c>
    </row>
    <row r="47" spans="5:8" x14ac:dyDescent="0.25">
      <c r="E47" s="74">
        <v>46</v>
      </c>
      <c r="F47" s="113">
        <f t="shared" si="0"/>
        <v>22867024.153494995</v>
      </c>
      <c r="G47" s="113">
        <f t="shared" si="2"/>
        <v>4721911.0563903917</v>
      </c>
      <c r="H47" s="113">
        <f t="shared" si="1"/>
        <v>1159453784.4949358</v>
      </c>
    </row>
    <row r="48" spans="5:8" x14ac:dyDescent="0.25">
      <c r="E48" s="74">
        <v>47</v>
      </c>
      <c r="F48" s="113">
        <f t="shared" si="0"/>
        <v>22867024.153494995</v>
      </c>
      <c r="G48" s="113">
        <f t="shared" si="2"/>
        <v>4834727.2877581744</v>
      </c>
      <c r="H48" s="113">
        <f t="shared" si="1"/>
        <v>1187155535.9361889</v>
      </c>
    </row>
    <row r="49" spans="5:8" x14ac:dyDescent="0.25">
      <c r="E49" s="74">
        <v>48</v>
      </c>
      <c r="F49" s="113">
        <f t="shared" si="0"/>
        <v>22867024.153494995</v>
      </c>
      <c r="G49" s="113">
        <f t="shared" si="2"/>
        <v>4948004.8454498332</v>
      </c>
      <c r="H49" s="113">
        <f t="shared" si="1"/>
        <v>1214970564.9351337</v>
      </c>
    </row>
    <row r="50" spans="5:8" x14ac:dyDescent="0.25">
      <c r="E50" s="73">
        <v>49</v>
      </c>
      <c r="F50" s="113">
        <f t="shared" si="0"/>
        <v>22867024.153494995</v>
      </c>
      <c r="G50" s="113">
        <f t="shared" si="2"/>
        <v>5061745.6159135718</v>
      </c>
      <c r="H50" s="113">
        <f t="shared" si="1"/>
        <v>1242899334.7045422</v>
      </c>
    </row>
    <row r="51" spans="5:8" x14ac:dyDescent="0.25">
      <c r="E51" s="73">
        <v>50</v>
      </c>
      <c r="F51" s="113">
        <f t="shared" si="0"/>
        <v>22867024.153494995</v>
      </c>
      <c r="G51" s="113">
        <f t="shared" si="2"/>
        <v>5175951.4933116296</v>
      </c>
      <c r="H51" s="113">
        <f t="shared" si="1"/>
        <v>1270942310.3513489</v>
      </c>
    </row>
    <row r="52" spans="5:8" x14ac:dyDescent="0.25">
      <c r="E52" s="73">
        <v>51</v>
      </c>
      <c r="F52" s="113">
        <f t="shared" si="0"/>
        <v>22867024.153494995</v>
      </c>
      <c r="G52" s="113">
        <f t="shared" si="2"/>
        <v>5290624.3795518223</v>
      </c>
      <c r="H52" s="113">
        <f t="shared" si="1"/>
        <v>1299099958.8843956</v>
      </c>
    </row>
    <row r="53" spans="5:8" x14ac:dyDescent="0.25">
      <c r="E53" s="73">
        <v>52</v>
      </c>
      <c r="F53" s="113">
        <f t="shared" si="0"/>
        <v>22867024.153494995</v>
      </c>
      <c r="G53" s="113">
        <f t="shared" si="2"/>
        <v>5405766.1843192158</v>
      </c>
      <c r="H53" s="113">
        <f t="shared" si="1"/>
        <v>1327372749.2222099</v>
      </c>
    </row>
    <row r="54" spans="5:8" x14ac:dyDescent="0.25">
      <c r="E54" s="73">
        <v>53</v>
      </c>
      <c r="F54" s="113">
        <f t="shared" si="0"/>
        <v>22867024.153494995</v>
      </c>
      <c r="G54" s="113">
        <f t="shared" si="2"/>
        <v>5521378.825107933</v>
      </c>
      <c r="H54" s="113">
        <f t="shared" si="1"/>
        <v>1355761152.2008128</v>
      </c>
    </row>
    <row r="55" spans="5:8" x14ac:dyDescent="0.25">
      <c r="E55" s="73">
        <v>54</v>
      </c>
      <c r="F55" s="113">
        <f t="shared" si="0"/>
        <v>22867024.153494995</v>
      </c>
      <c r="G55" s="113">
        <f t="shared" si="2"/>
        <v>5637464.2272530785</v>
      </c>
      <c r="H55" s="113">
        <f t="shared" si="1"/>
        <v>1384265640.5815609</v>
      </c>
    </row>
    <row r="56" spans="5:8" x14ac:dyDescent="0.25">
      <c r="E56" s="73">
        <v>55</v>
      </c>
      <c r="F56" s="113">
        <f t="shared" si="0"/>
        <v>22867024.153494995</v>
      </c>
      <c r="G56" s="113">
        <f t="shared" si="2"/>
        <v>5754024.3239628095</v>
      </c>
      <c r="H56" s="113">
        <f t="shared" si="1"/>
        <v>1412886689.0590186</v>
      </c>
    </row>
    <row r="57" spans="5:8" x14ac:dyDescent="0.25">
      <c r="E57" s="73">
        <v>56</v>
      </c>
      <c r="F57" s="113">
        <f t="shared" si="0"/>
        <v>22867024.153494995</v>
      </c>
      <c r="G57" s="113">
        <f t="shared" si="2"/>
        <v>5871061.0563505255</v>
      </c>
      <c r="H57" s="113">
        <f t="shared" si="1"/>
        <v>1441624774.2688642</v>
      </c>
    </row>
    <row r="58" spans="5:8" x14ac:dyDescent="0.25">
      <c r="E58" s="73">
        <v>57</v>
      </c>
      <c r="F58" s="113">
        <f t="shared" si="0"/>
        <v>22867024.153494995</v>
      </c>
      <c r="G58" s="113">
        <f t="shared" si="2"/>
        <v>5988576.3734671976</v>
      </c>
      <c r="H58" s="113">
        <f t="shared" si="1"/>
        <v>1470480374.7958264</v>
      </c>
    </row>
    <row r="59" spans="5:8" x14ac:dyDescent="0.25">
      <c r="E59" s="73">
        <v>58</v>
      </c>
      <c r="F59" s="113">
        <f t="shared" si="0"/>
        <v>22867024.153494995</v>
      </c>
      <c r="G59" s="113">
        <f t="shared" si="2"/>
        <v>6106572.2323338222</v>
      </c>
      <c r="H59" s="113">
        <f t="shared" si="1"/>
        <v>1499453971.1816552</v>
      </c>
    </row>
    <row r="60" spans="5:8" x14ac:dyDescent="0.25">
      <c r="E60" s="73">
        <v>59</v>
      </c>
      <c r="F60" s="113">
        <f t="shared" si="0"/>
        <v>22867024.153494995</v>
      </c>
      <c r="G60" s="113">
        <f t="shared" si="2"/>
        <v>6225050.5979740154</v>
      </c>
      <c r="H60" s="113">
        <f t="shared" si="1"/>
        <v>1528546045.9331241</v>
      </c>
    </row>
    <row r="61" spans="5:8" x14ac:dyDescent="0.25">
      <c r="E61" s="73">
        <v>60</v>
      </c>
      <c r="F61" s="113">
        <f t="shared" si="0"/>
        <v>22867024.153494995</v>
      </c>
      <c r="G61" s="113">
        <f t="shared" si="2"/>
        <v>6344013.4434467377</v>
      </c>
      <c r="H61" s="113">
        <f t="shared" si="1"/>
        <v>1557757083.5300658</v>
      </c>
    </row>
    <row r="62" spans="5:8" x14ac:dyDescent="0.25">
      <c r="E62" s="73">
        <v>61</v>
      </c>
      <c r="F62" s="113">
        <f t="shared" si="0"/>
        <v>22867024.153494995</v>
      </c>
      <c r="G62" s="113">
        <f t="shared" si="2"/>
        <v>6463462.7498791497</v>
      </c>
      <c r="H62" s="113">
        <f t="shared" si="1"/>
        <v>1587087570.43344</v>
      </c>
    </row>
    <row r="63" spans="5:8" x14ac:dyDescent="0.25">
      <c r="E63" s="73">
        <v>62</v>
      </c>
      <c r="F63" s="113">
        <f t="shared" si="0"/>
        <v>22867024.153494995</v>
      </c>
      <c r="G63" s="113">
        <f t="shared" si="2"/>
        <v>6583400.5064996062</v>
      </c>
      <c r="H63" s="113">
        <f t="shared" si="1"/>
        <v>1616537995.0934346</v>
      </c>
    </row>
    <row r="64" spans="5:8" x14ac:dyDescent="0.25">
      <c r="E64" s="73">
        <v>63</v>
      </c>
      <c r="F64" s="113">
        <f t="shared" si="0"/>
        <v>22867024.153494995</v>
      </c>
      <c r="G64" s="113">
        <f t="shared" si="2"/>
        <v>6703828.7106707823</v>
      </c>
      <c r="H64" s="113">
        <f t="shared" si="1"/>
        <v>1646108847.9576004</v>
      </c>
    </row>
    <row r="65" spans="5:8" x14ac:dyDescent="0.25">
      <c r="E65" s="73">
        <v>64</v>
      </c>
      <c r="F65" s="113">
        <f t="shared" si="0"/>
        <v>22867024.153494995</v>
      </c>
      <c r="G65" s="113">
        <f t="shared" si="2"/>
        <v>6824749.3679229338</v>
      </c>
      <c r="H65" s="113">
        <f t="shared" si="1"/>
        <v>1675800621.4790182</v>
      </c>
    </row>
    <row r="66" spans="5:8" x14ac:dyDescent="0.25">
      <c r="E66" s="73">
        <v>65</v>
      </c>
      <c r="F66" s="113">
        <f t="shared" si="0"/>
        <v>22867024.153494995</v>
      </c>
      <c r="G66" s="113">
        <f t="shared" si="2"/>
        <v>6946164.4919873029</v>
      </c>
      <c r="H66" s="113">
        <f t="shared" si="1"/>
        <v>1705613810.1245005</v>
      </c>
    </row>
    <row r="67" spans="5:8" x14ac:dyDescent="0.25">
      <c r="E67" s="73">
        <v>66</v>
      </c>
      <c r="F67" s="113">
        <f t="shared" ref="F67:F73" si="3">$C$3/(((1+$C$5/12)^$C$6 - 1)/($C$5/12))</f>
        <v>22867024.153494995</v>
      </c>
      <c r="G67" s="113">
        <f t="shared" si="2"/>
        <v>7068076.1048296476</v>
      </c>
      <c r="H67" s="113">
        <f t="shared" si="1"/>
        <v>1735548910.3828251</v>
      </c>
    </row>
    <row r="68" spans="5:8" x14ac:dyDescent="0.25">
      <c r="E68" s="73">
        <v>67</v>
      </c>
      <c r="F68" s="113">
        <f t="shared" si="3"/>
        <v>22867024.153494995</v>
      </c>
      <c r="G68" s="113">
        <f t="shared" ref="G68:G73" si="4">(H67+F68)*($C$5/12)</f>
        <v>7190486.2366839154</v>
      </c>
      <c r="H68" s="113">
        <f t="shared" ref="H68:H73" si="5">F68+G68+H67</f>
        <v>1765606420.7730041</v>
      </c>
    </row>
    <row r="69" spans="5:8" x14ac:dyDescent="0.25">
      <c r="E69" s="73">
        <v>68</v>
      </c>
      <c r="F69" s="113">
        <f t="shared" si="3"/>
        <v>22867024.153494995</v>
      </c>
      <c r="G69" s="113">
        <f t="shared" si="4"/>
        <v>7313396.9260860542</v>
      </c>
      <c r="H69" s="113">
        <f t="shared" si="5"/>
        <v>1795786841.8525851</v>
      </c>
    </row>
    <row r="70" spans="5:8" x14ac:dyDescent="0.25">
      <c r="E70" s="73">
        <v>69</v>
      </c>
      <c r="F70" s="113">
        <f t="shared" si="3"/>
        <v>22867024.153494995</v>
      </c>
      <c r="G70" s="113">
        <f t="shared" si="4"/>
        <v>7436810.2199079609</v>
      </c>
      <c r="H70" s="113">
        <f t="shared" si="5"/>
        <v>1826090676.2259881</v>
      </c>
    </row>
    <row r="71" spans="5:8" x14ac:dyDescent="0.25">
      <c r="E71" s="73">
        <v>70</v>
      </c>
      <c r="F71" s="113">
        <f t="shared" si="3"/>
        <v>22867024.153494995</v>
      </c>
      <c r="G71" s="113">
        <f t="shared" si="4"/>
        <v>7560728.1733915666</v>
      </c>
      <c r="H71" s="113">
        <f t="shared" si="5"/>
        <v>1856518428.5528748</v>
      </c>
    </row>
    <row r="72" spans="5:8" x14ac:dyDescent="0.25">
      <c r="E72" s="73">
        <v>71</v>
      </c>
      <c r="F72" s="113">
        <f t="shared" si="3"/>
        <v>22867024.153494995</v>
      </c>
      <c r="G72" s="113">
        <f t="shared" si="4"/>
        <v>7685152.8501830669</v>
      </c>
      <c r="H72" s="113">
        <f t="shared" si="5"/>
        <v>1887070605.5565529</v>
      </c>
    </row>
    <row r="73" spans="5:8" x14ac:dyDescent="0.25">
      <c r="E73" s="73">
        <v>72</v>
      </c>
      <c r="F73" s="113">
        <f t="shared" si="3"/>
        <v>22867024.153494995</v>
      </c>
      <c r="G73" s="113">
        <f t="shared" si="4"/>
        <v>7810086.3223672844</v>
      </c>
      <c r="H73" s="113">
        <f t="shared" si="5"/>
        <v>1917747716.0324152</v>
      </c>
    </row>
  </sheetData>
  <hyperlinks>
    <hyperlink ref="A4" r:id="rId1" xr:uid="{9761BC7B-F92B-4DEF-89E0-A536922F6B9A}"/>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354C-FE51-4595-BD3B-D1A104F4093F}">
  <dimension ref="A1:J361"/>
  <sheetViews>
    <sheetView showGridLines="0" topLeftCell="A4" workbookViewId="0">
      <selection activeCell="A6" sqref="A6"/>
    </sheetView>
  </sheetViews>
  <sheetFormatPr defaultRowHeight="13.2" x14ac:dyDescent="0.25"/>
  <cols>
    <col min="1" max="1" width="12.6640625" style="11" bestFit="1" customWidth="1"/>
    <col min="2" max="2" width="23.44140625" style="11" bestFit="1" customWidth="1"/>
    <col min="3" max="3" width="14.33203125" style="11" bestFit="1" customWidth="1"/>
    <col min="4" max="5" width="8.88671875" style="11"/>
    <col min="6" max="7" width="11.77734375" style="11" bestFit="1" customWidth="1"/>
    <col min="8" max="8" width="14.44140625" style="11" bestFit="1" customWidth="1"/>
    <col min="9" max="9" width="8.88671875" style="11"/>
    <col min="10" max="10" width="13.88671875" style="11" bestFit="1" customWidth="1"/>
    <col min="11" max="16384" width="8.88671875" style="11"/>
  </cols>
  <sheetData>
    <row r="1" spans="1:10" x14ac:dyDescent="0.25">
      <c r="B1" s="115" t="s">
        <v>334</v>
      </c>
      <c r="C1" s="113">
        <v>2700000000</v>
      </c>
      <c r="E1" s="73" t="s">
        <v>332</v>
      </c>
      <c r="F1" s="73" t="s">
        <v>98</v>
      </c>
      <c r="G1" s="73" t="s">
        <v>97</v>
      </c>
      <c r="H1" s="73" t="s">
        <v>338</v>
      </c>
    </row>
    <row r="2" spans="1:10" x14ac:dyDescent="0.25">
      <c r="B2" s="115" t="s">
        <v>335</v>
      </c>
      <c r="C2" s="113">
        <f>C1*(1+10%)^9</f>
        <v>6366458765.7000036</v>
      </c>
      <c r="E2" s="73">
        <v>1</v>
      </c>
      <c r="F2" s="113">
        <f>$C$4*($C$6/12)</f>
        <v>24139489.486612514</v>
      </c>
      <c r="G2" s="113">
        <f>$C$7-F2</f>
        <v>4028755.5741857737</v>
      </c>
      <c r="H2" s="113">
        <f>C4-G2</f>
        <v>4452492380.4158173</v>
      </c>
      <c r="J2" s="99"/>
    </row>
    <row r="3" spans="1:10" x14ac:dyDescent="0.25">
      <c r="B3" s="115" t="s">
        <v>329</v>
      </c>
      <c r="C3" s="113">
        <f>30%*C2</f>
        <v>1909937629.710001</v>
      </c>
      <c r="E3" s="73">
        <v>2</v>
      </c>
      <c r="F3" s="113">
        <f>H2*($C$6/12)</f>
        <v>24117667.060585678</v>
      </c>
      <c r="G3" s="113">
        <f>$C$7-F3</f>
        <v>4050578.0002126098</v>
      </c>
      <c r="H3" s="113">
        <f>H2-G3</f>
        <v>4448441802.4156046</v>
      </c>
    </row>
    <row r="4" spans="1:10" x14ac:dyDescent="0.25">
      <c r="B4" s="115" t="s">
        <v>337</v>
      </c>
      <c r="C4" s="117">
        <f>C2-C3</f>
        <v>4456521135.9900026</v>
      </c>
      <c r="E4" s="73">
        <v>3</v>
      </c>
      <c r="F4" s="113">
        <f t="shared" ref="F4:F67" si="0">H3*($C$6/12)</f>
        <v>24095726.429751191</v>
      </c>
      <c r="G4" s="113">
        <f t="shared" ref="G4:G67" si="1">$C$7-F4</f>
        <v>4072518.6310470961</v>
      </c>
      <c r="H4" s="113">
        <f t="shared" ref="H4:H67" si="2">H3-G4</f>
        <v>4444369283.7845573</v>
      </c>
    </row>
    <row r="5" spans="1:10" x14ac:dyDescent="0.25">
      <c r="B5" s="115" t="s">
        <v>339</v>
      </c>
      <c r="C5" s="88">
        <f>30*12</f>
        <v>360</v>
      </c>
      <c r="E5" s="73">
        <v>4</v>
      </c>
      <c r="F5" s="113">
        <f t="shared" si="0"/>
        <v>24073666.953833021</v>
      </c>
      <c r="G5" s="113">
        <f t="shared" si="1"/>
        <v>4094578.1069652662</v>
      </c>
      <c r="H5" s="113">
        <f t="shared" si="2"/>
        <v>4440274705.6775923</v>
      </c>
    </row>
    <row r="6" spans="1:10" ht="79.2" x14ac:dyDescent="0.25">
      <c r="A6" s="144" t="s">
        <v>404</v>
      </c>
      <c r="B6" s="115" t="s">
        <v>646</v>
      </c>
      <c r="C6" s="118">
        <v>6.5000000000000002E-2</v>
      </c>
      <c r="E6" s="73">
        <v>5</v>
      </c>
      <c r="F6" s="113">
        <f t="shared" si="0"/>
        <v>24051487.98908696</v>
      </c>
      <c r="G6" s="113">
        <f t="shared" si="1"/>
        <v>4116757.0717113279</v>
      </c>
      <c r="H6" s="113">
        <f t="shared" si="2"/>
        <v>4436157948.6058807</v>
      </c>
    </row>
    <row r="7" spans="1:10" x14ac:dyDescent="0.25">
      <c r="B7" s="116" t="s">
        <v>340</v>
      </c>
      <c r="C7" s="113">
        <f>C4*($C$6/12*(1+$C$6/12)^C5)/((1+$C$6/12)^C5-1)</f>
        <v>28168245.060798287</v>
      </c>
      <c r="E7" s="73">
        <v>6</v>
      </c>
      <c r="F7" s="113">
        <f t="shared" si="0"/>
        <v>24029188.888281856</v>
      </c>
      <c r="G7" s="113">
        <f t="shared" si="1"/>
        <v>4139056.1725164317</v>
      </c>
      <c r="H7" s="113">
        <f t="shared" si="2"/>
        <v>4432018892.4333639</v>
      </c>
    </row>
    <row r="8" spans="1:10" x14ac:dyDescent="0.25">
      <c r="B8" s="116" t="s">
        <v>341</v>
      </c>
      <c r="C8" s="120">
        <v>48580</v>
      </c>
      <c r="E8" s="73">
        <v>7</v>
      </c>
      <c r="F8" s="113">
        <f t="shared" si="0"/>
        <v>24006769.000680722</v>
      </c>
      <c r="G8" s="113">
        <f t="shared" si="1"/>
        <v>4161476.0601175651</v>
      </c>
      <c r="H8" s="113">
        <f t="shared" si="2"/>
        <v>4427857416.3732462</v>
      </c>
    </row>
    <row r="9" spans="1:10" x14ac:dyDescent="0.25">
      <c r="E9" s="73">
        <v>8</v>
      </c>
      <c r="F9" s="113">
        <f t="shared" si="0"/>
        <v>23984227.67202175</v>
      </c>
      <c r="G9" s="113">
        <f t="shared" si="1"/>
        <v>4184017.388776537</v>
      </c>
      <c r="H9" s="113">
        <f t="shared" si="2"/>
        <v>4423673398.9844694</v>
      </c>
    </row>
    <row r="10" spans="1:10" x14ac:dyDescent="0.25">
      <c r="E10" s="73">
        <v>9</v>
      </c>
      <c r="F10" s="113">
        <f t="shared" si="0"/>
        <v>23961564.24449921</v>
      </c>
      <c r="G10" s="113">
        <f t="shared" si="1"/>
        <v>4206680.8162990771</v>
      </c>
      <c r="H10" s="113">
        <f t="shared" si="2"/>
        <v>4419466718.16817</v>
      </c>
    </row>
    <row r="11" spans="1:10" x14ac:dyDescent="0.25">
      <c r="E11" s="73">
        <v>10</v>
      </c>
      <c r="F11" s="113">
        <f t="shared" si="0"/>
        <v>23938778.056744255</v>
      </c>
      <c r="G11" s="113">
        <f t="shared" si="1"/>
        <v>4229467.0040540323</v>
      </c>
      <c r="H11" s="113">
        <f t="shared" si="2"/>
        <v>4415237251.1641159</v>
      </c>
    </row>
    <row r="12" spans="1:10" x14ac:dyDescent="0.25">
      <c r="E12" s="73">
        <v>11</v>
      </c>
      <c r="F12" s="113">
        <f t="shared" si="0"/>
        <v>23915868.443805628</v>
      </c>
      <c r="G12" s="113">
        <f t="shared" si="1"/>
        <v>4252376.6169926599</v>
      </c>
      <c r="H12" s="113">
        <f t="shared" si="2"/>
        <v>4410984874.547123</v>
      </c>
    </row>
    <row r="13" spans="1:10" x14ac:dyDescent="0.25">
      <c r="E13" s="73">
        <v>12</v>
      </c>
      <c r="F13" s="113">
        <f t="shared" si="0"/>
        <v>23892834.737130251</v>
      </c>
      <c r="G13" s="113">
        <f t="shared" si="1"/>
        <v>4275410.3236680366</v>
      </c>
      <c r="H13" s="113">
        <f t="shared" si="2"/>
        <v>4406709464.2234545</v>
      </c>
    </row>
    <row r="14" spans="1:10" x14ac:dyDescent="0.25">
      <c r="E14" s="73">
        <v>13</v>
      </c>
      <c r="F14" s="113">
        <f t="shared" si="0"/>
        <v>23869676.264543712</v>
      </c>
      <c r="G14" s="113">
        <f t="shared" si="1"/>
        <v>4298568.7962545753</v>
      </c>
      <c r="H14" s="113">
        <f t="shared" si="2"/>
        <v>4402410895.4272003</v>
      </c>
    </row>
    <row r="15" spans="1:10" x14ac:dyDescent="0.25">
      <c r="E15" s="73">
        <v>14</v>
      </c>
      <c r="F15" s="113">
        <f t="shared" si="0"/>
        <v>23846392.350230668</v>
      </c>
      <c r="G15" s="113">
        <f t="shared" si="1"/>
        <v>4321852.7105676197</v>
      </c>
      <c r="H15" s="113">
        <f t="shared" si="2"/>
        <v>4398089042.7166328</v>
      </c>
    </row>
    <row r="16" spans="1:10" x14ac:dyDescent="0.25">
      <c r="E16" s="73">
        <v>15</v>
      </c>
      <c r="F16" s="113">
        <f t="shared" si="0"/>
        <v>23822982.314715095</v>
      </c>
      <c r="G16" s="113">
        <f t="shared" si="1"/>
        <v>4345262.7460831925</v>
      </c>
      <c r="H16" s="113">
        <f t="shared" si="2"/>
        <v>4393743779.9705496</v>
      </c>
    </row>
    <row r="17" spans="5:8" x14ac:dyDescent="0.25">
      <c r="E17" s="73">
        <v>16</v>
      </c>
      <c r="F17" s="113">
        <f t="shared" si="0"/>
        <v>23799445.474840477</v>
      </c>
      <c r="G17" s="113">
        <f t="shared" si="1"/>
        <v>4368799.5859578103</v>
      </c>
      <c r="H17" s="113">
        <f t="shared" si="2"/>
        <v>4389374980.3845921</v>
      </c>
    </row>
    <row r="18" spans="5:8" x14ac:dyDescent="0.25">
      <c r="E18" s="73">
        <v>17</v>
      </c>
      <c r="F18" s="113">
        <f t="shared" si="0"/>
        <v>23775781.143749874</v>
      </c>
      <c r="G18" s="113">
        <f t="shared" si="1"/>
        <v>4392463.9170484133</v>
      </c>
      <c r="H18" s="113">
        <f t="shared" si="2"/>
        <v>4384982516.4675436</v>
      </c>
    </row>
    <row r="19" spans="5:8" x14ac:dyDescent="0.25">
      <c r="E19" s="73">
        <v>18</v>
      </c>
      <c r="F19" s="113">
        <f t="shared" si="0"/>
        <v>23751988.630865861</v>
      </c>
      <c r="G19" s="113">
        <f t="shared" si="1"/>
        <v>4416256.4299324267</v>
      </c>
      <c r="H19" s="113">
        <f t="shared" si="2"/>
        <v>4380566260.037611</v>
      </c>
    </row>
    <row r="20" spans="5:8" x14ac:dyDescent="0.25">
      <c r="E20" s="73">
        <v>19</v>
      </c>
      <c r="F20" s="113">
        <f t="shared" si="0"/>
        <v>23728067.241870392</v>
      </c>
      <c r="G20" s="113">
        <f t="shared" si="1"/>
        <v>4440177.8189278953</v>
      </c>
      <c r="H20" s="113">
        <f t="shared" si="2"/>
        <v>4376126082.2186832</v>
      </c>
    </row>
    <row r="21" spans="5:8" x14ac:dyDescent="0.25">
      <c r="E21" s="73">
        <v>20</v>
      </c>
      <c r="F21" s="113">
        <f t="shared" si="0"/>
        <v>23704016.278684534</v>
      </c>
      <c r="G21" s="113">
        <f t="shared" si="1"/>
        <v>4464228.7821137533</v>
      </c>
      <c r="H21" s="113">
        <f t="shared" si="2"/>
        <v>4371661853.4365692</v>
      </c>
    </row>
    <row r="22" spans="5:8" x14ac:dyDescent="0.25">
      <c r="E22" s="73">
        <v>21</v>
      </c>
      <c r="F22" s="113">
        <f t="shared" si="0"/>
        <v>23679835.039448082</v>
      </c>
      <c r="G22" s="113">
        <f t="shared" si="1"/>
        <v>4488410.0213502049</v>
      </c>
      <c r="H22" s="113">
        <f t="shared" si="2"/>
        <v>4367173443.4152193</v>
      </c>
    </row>
    <row r="23" spans="5:8" x14ac:dyDescent="0.25">
      <c r="E23" s="73">
        <v>22</v>
      </c>
      <c r="F23" s="113">
        <f t="shared" si="0"/>
        <v>23655522.818499107</v>
      </c>
      <c r="G23" s="113">
        <f t="shared" si="1"/>
        <v>4512722.2422991805</v>
      </c>
      <c r="H23" s="113">
        <f t="shared" si="2"/>
        <v>4362660721.1729202</v>
      </c>
    </row>
    <row r="24" spans="5:8" x14ac:dyDescent="0.25">
      <c r="E24" s="73">
        <v>23</v>
      </c>
      <c r="F24" s="113">
        <f t="shared" si="0"/>
        <v>23631078.906353317</v>
      </c>
      <c r="G24" s="113">
        <f t="shared" si="1"/>
        <v>4537166.1544449702</v>
      </c>
      <c r="H24" s="113">
        <f t="shared" si="2"/>
        <v>4358123555.0184755</v>
      </c>
    </row>
    <row r="25" spans="5:8" x14ac:dyDescent="0.25">
      <c r="E25" s="73">
        <v>24</v>
      </c>
      <c r="F25" s="113">
        <f t="shared" si="0"/>
        <v>23606502.58968341</v>
      </c>
      <c r="G25" s="113">
        <f t="shared" si="1"/>
        <v>4561742.4711148776</v>
      </c>
      <c r="H25" s="113">
        <f t="shared" si="2"/>
        <v>4353561812.5473604</v>
      </c>
    </row>
    <row r="26" spans="5:8" x14ac:dyDescent="0.25">
      <c r="E26" s="73">
        <v>25</v>
      </c>
      <c r="F26" s="113">
        <f t="shared" si="0"/>
        <v>23581793.151298203</v>
      </c>
      <c r="G26" s="113">
        <f t="shared" si="1"/>
        <v>4586451.9095000848</v>
      </c>
      <c r="H26" s="113">
        <f t="shared" si="2"/>
        <v>4348975360.6378603</v>
      </c>
    </row>
    <row r="27" spans="5:8" x14ac:dyDescent="0.25">
      <c r="E27" s="73">
        <v>26</v>
      </c>
      <c r="F27" s="113">
        <f t="shared" si="0"/>
        <v>23556949.870121744</v>
      </c>
      <c r="G27" s="113">
        <f t="shared" si="1"/>
        <v>4611295.1906765439</v>
      </c>
      <c r="H27" s="113">
        <f t="shared" si="2"/>
        <v>4344364065.4471836</v>
      </c>
    </row>
    <row r="28" spans="5:8" x14ac:dyDescent="0.25">
      <c r="E28" s="73">
        <v>27</v>
      </c>
      <c r="F28" s="113">
        <f t="shared" si="0"/>
        <v>23531972.021172244</v>
      </c>
      <c r="G28" s="113">
        <f t="shared" si="1"/>
        <v>4636273.0396260433</v>
      </c>
      <c r="H28" s="113">
        <f t="shared" si="2"/>
        <v>4339727792.4075575</v>
      </c>
    </row>
    <row r="29" spans="5:8" x14ac:dyDescent="0.25">
      <c r="E29" s="73">
        <v>28</v>
      </c>
      <c r="F29" s="113">
        <f t="shared" si="0"/>
        <v>23506858.875540938</v>
      </c>
      <c r="G29" s="113">
        <f t="shared" si="1"/>
        <v>4661386.1852573492</v>
      </c>
      <c r="H29" s="113">
        <f t="shared" si="2"/>
        <v>4335066406.2223005</v>
      </c>
    </row>
    <row r="30" spans="5:8" x14ac:dyDescent="0.25">
      <c r="E30" s="73">
        <v>29</v>
      </c>
      <c r="F30" s="113">
        <f t="shared" si="0"/>
        <v>23481609.700370796</v>
      </c>
      <c r="G30" s="113">
        <f t="shared" si="1"/>
        <v>4686635.3604274914</v>
      </c>
      <c r="H30" s="113">
        <f t="shared" si="2"/>
        <v>4330379770.8618727</v>
      </c>
    </row>
    <row r="31" spans="5:8" x14ac:dyDescent="0.25">
      <c r="E31" s="73">
        <v>30</v>
      </c>
      <c r="F31" s="113">
        <f t="shared" si="0"/>
        <v>23456223.758835144</v>
      </c>
      <c r="G31" s="113">
        <f t="shared" si="1"/>
        <v>4712021.3019631431</v>
      </c>
      <c r="H31" s="113">
        <f t="shared" si="2"/>
        <v>4325667749.5599098</v>
      </c>
    </row>
    <row r="32" spans="5:8" x14ac:dyDescent="0.25">
      <c r="E32" s="73">
        <v>31</v>
      </c>
      <c r="F32" s="113">
        <f t="shared" si="0"/>
        <v>23430700.310116179</v>
      </c>
      <c r="G32" s="113">
        <f t="shared" si="1"/>
        <v>4737544.7506821081</v>
      </c>
      <c r="H32" s="113">
        <f t="shared" si="2"/>
        <v>4320930204.8092279</v>
      </c>
    </row>
    <row r="33" spans="5:8" x14ac:dyDescent="0.25">
      <c r="E33" s="73">
        <v>32</v>
      </c>
      <c r="F33" s="113">
        <f t="shared" si="0"/>
        <v>23405038.609383319</v>
      </c>
      <c r="G33" s="113">
        <f t="shared" si="1"/>
        <v>4763206.4514149688</v>
      </c>
      <c r="H33" s="113">
        <f t="shared" si="2"/>
        <v>4316166998.3578129</v>
      </c>
    </row>
    <row r="34" spans="5:8" x14ac:dyDescent="0.25">
      <c r="E34" s="73">
        <v>33</v>
      </c>
      <c r="F34" s="113">
        <f t="shared" si="0"/>
        <v>23379237.907771487</v>
      </c>
      <c r="G34" s="113">
        <f t="shared" si="1"/>
        <v>4789007.1530268006</v>
      </c>
      <c r="H34" s="113">
        <f t="shared" si="2"/>
        <v>4311377991.2047863</v>
      </c>
    </row>
    <row r="35" spans="5:8" x14ac:dyDescent="0.25">
      <c r="E35" s="73">
        <v>34</v>
      </c>
      <c r="F35" s="113">
        <f t="shared" si="0"/>
        <v>23353297.452359259</v>
      </c>
      <c r="G35" s="113">
        <f t="shared" si="1"/>
        <v>4814947.6084390283</v>
      </c>
      <c r="H35" s="113">
        <f t="shared" si="2"/>
        <v>4306563043.5963469</v>
      </c>
    </row>
    <row r="36" spans="5:8" x14ac:dyDescent="0.25">
      <c r="E36" s="73">
        <v>35</v>
      </c>
      <c r="F36" s="113">
        <f t="shared" si="0"/>
        <v>23327216.486146878</v>
      </c>
      <c r="G36" s="113">
        <f t="shared" si="1"/>
        <v>4841028.5746514089</v>
      </c>
      <c r="H36" s="113">
        <f t="shared" si="2"/>
        <v>4301722015.0216951</v>
      </c>
    </row>
    <row r="37" spans="5:8" x14ac:dyDescent="0.25">
      <c r="E37" s="73">
        <v>36</v>
      </c>
      <c r="F37" s="113">
        <f t="shared" si="0"/>
        <v>23300994.248034183</v>
      </c>
      <c r="G37" s="113">
        <f t="shared" si="1"/>
        <v>4867250.8127641045</v>
      </c>
      <c r="H37" s="113">
        <f t="shared" si="2"/>
        <v>4296854764.208931</v>
      </c>
    </row>
    <row r="38" spans="5:8" x14ac:dyDescent="0.25">
      <c r="E38" s="73">
        <v>37</v>
      </c>
      <c r="F38" s="113">
        <f t="shared" si="0"/>
        <v>23274629.972798377</v>
      </c>
      <c r="G38" s="113">
        <f t="shared" si="1"/>
        <v>4893615.0879999101</v>
      </c>
      <c r="H38" s="113">
        <f t="shared" si="2"/>
        <v>4291961149.1209311</v>
      </c>
    </row>
    <row r="39" spans="5:8" x14ac:dyDescent="0.25">
      <c r="E39" s="73">
        <v>38</v>
      </c>
      <c r="F39" s="113">
        <f t="shared" si="0"/>
        <v>23248122.891071711</v>
      </c>
      <c r="G39" s="113">
        <f t="shared" si="1"/>
        <v>4920122.1697265767</v>
      </c>
      <c r="H39" s="113">
        <f t="shared" si="2"/>
        <v>4287041026.9512048</v>
      </c>
    </row>
    <row r="40" spans="5:8" x14ac:dyDescent="0.25">
      <c r="E40" s="73">
        <v>39</v>
      </c>
      <c r="F40" s="113">
        <f t="shared" si="0"/>
        <v>23221472.229319025</v>
      </c>
      <c r="G40" s="113">
        <f t="shared" si="1"/>
        <v>4946772.8314792626</v>
      </c>
      <c r="H40" s="113">
        <f t="shared" si="2"/>
        <v>4282094254.1197257</v>
      </c>
    </row>
    <row r="41" spans="5:8" x14ac:dyDescent="0.25">
      <c r="E41" s="73">
        <v>40</v>
      </c>
      <c r="F41" s="113">
        <f t="shared" si="0"/>
        <v>23194677.209815182</v>
      </c>
      <c r="G41" s="113">
        <f t="shared" si="1"/>
        <v>4973567.8509831056</v>
      </c>
      <c r="H41" s="113">
        <f t="shared" si="2"/>
        <v>4277120686.2687426</v>
      </c>
    </row>
    <row r="42" spans="5:8" x14ac:dyDescent="0.25">
      <c r="E42" s="73">
        <v>41</v>
      </c>
      <c r="F42" s="113">
        <f t="shared" si="0"/>
        <v>23167737.050622355</v>
      </c>
      <c r="G42" s="113">
        <f t="shared" si="1"/>
        <v>5000508.0101759322</v>
      </c>
      <c r="H42" s="113">
        <f t="shared" si="2"/>
        <v>4272120178.2585669</v>
      </c>
    </row>
    <row r="43" spans="5:8" x14ac:dyDescent="0.25">
      <c r="E43" s="73">
        <v>42</v>
      </c>
      <c r="F43" s="113">
        <f t="shared" si="0"/>
        <v>23140650.965567239</v>
      </c>
      <c r="G43" s="113">
        <f t="shared" si="1"/>
        <v>5027594.0952310488</v>
      </c>
      <c r="H43" s="113">
        <f t="shared" si="2"/>
        <v>4267092584.1633358</v>
      </c>
    </row>
    <row r="44" spans="5:8" x14ac:dyDescent="0.25">
      <c r="E44" s="73">
        <v>43</v>
      </c>
      <c r="F44" s="113">
        <f t="shared" si="0"/>
        <v>23113418.164218068</v>
      </c>
      <c r="G44" s="113">
        <f t="shared" si="1"/>
        <v>5054826.8965802193</v>
      </c>
      <c r="H44" s="113">
        <f t="shared" si="2"/>
        <v>4262037757.2667556</v>
      </c>
    </row>
    <row r="45" spans="5:8" x14ac:dyDescent="0.25">
      <c r="E45" s="73">
        <v>44</v>
      </c>
      <c r="F45" s="113">
        <f t="shared" si="0"/>
        <v>23086037.851861592</v>
      </c>
      <c r="G45" s="113">
        <f t="shared" si="1"/>
        <v>5082207.208936695</v>
      </c>
      <c r="H45" s="113">
        <f t="shared" si="2"/>
        <v>4256955550.0578189</v>
      </c>
    </row>
    <row r="46" spans="5:8" x14ac:dyDescent="0.25">
      <c r="E46" s="73">
        <v>45</v>
      </c>
      <c r="F46" s="113">
        <f t="shared" si="0"/>
        <v>23058509.229479853</v>
      </c>
      <c r="G46" s="113">
        <f t="shared" si="1"/>
        <v>5109735.8313184343</v>
      </c>
      <c r="H46" s="113">
        <f t="shared" si="2"/>
        <v>4251845814.2265005</v>
      </c>
    </row>
    <row r="47" spans="5:8" x14ac:dyDescent="0.25">
      <c r="E47" s="73">
        <v>46</v>
      </c>
      <c r="F47" s="113">
        <f t="shared" si="0"/>
        <v>23030831.493726879</v>
      </c>
      <c r="G47" s="113">
        <f t="shared" si="1"/>
        <v>5137413.567071408</v>
      </c>
      <c r="H47" s="113">
        <f t="shared" si="2"/>
        <v>4246708400.6594291</v>
      </c>
    </row>
    <row r="48" spans="5:8" x14ac:dyDescent="0.25">
      <c r="E48" s="73">
        <v>47</v>
      </c>
      <c r="F48" s="113">
        <f t="shared" si="0"/>
        <v>23003003.836905241</v>
      </c>
      <c r="G48" s="113">
        <f t="shared" si="1"/>
        <v>5165241.2238930464</v>
      </c>
      <c r="H48" s="113">
        <f t="shared" si="2"/>
        <v>4241543159.4355359</v>
      </c>
    </row>
    <row r="49" spans="5:8" x14ac:dyDescent="0.25">
      <c r="E49" s="73">
        <v>48</v>
      </c>
      <c r="F49" s="113">
        <f t="shared" si="0"/>
        <v>22975025.446942486</v>
      </c>
      <c r="G49" s="113">
        <f t="shared" si="1"/>
        <v>5193219.6138558015</v>
      </c>
      <c r="H49" s="113">
        <f t="shared" si="2"/>
        <v>4236349939.8216801</v>
      </c>
    </row>
    <row r="50" spans="5:8" x14ac:dyDescent="0.25">
      <c r="E50" s="73">
        <v>49</v>
      </c>
      <c r="F50" s="113">
        <f t="shared" si="0"/>
        <v>22946895.507367436</v>
      </c>
      <c r="G50" s="113">
        <f t="shared" si="1"/>
        <v>5221349.5534308515</v>
      </c>
      <c r="H50" s="113">
        <f t="shared" si="2"/>
        <v>4231128590.268249</v>
      </c>
    </row>
    <row r="51" spans="5:8" x14ac:dyDescent="0.25">
      <c r="E51" s="73">
        <v>50</v>
      </c>
      <c r="F51" s="113">
        <f t="shared" si="0"/>
        <v>22918613.197286349</v>
      </c>
      <c r="G51" s="113">
        <f t="shared" si="1"/>
        <v>5249631.8635119386</v>
      </c>
      <c r="H51" s="113">
        <f t="shared" si="2"/>
        <v>4225878958.404737</v>
      </c>
    </row>
    <row r="52" spans="5:8" x14ac:dyDescent="0.25">
      <c r="E52" s="73">
        <v>51</v>
      </c>
      <c r="F52" s="113">
        <f t="shared" si="0"/>
        <v>22890177.691358995</v>
      </c>
      <c r="G52" s="113">
        <f t="shared" si="1"/>
        <v>5278067.3694392927</v>
      </c>
      <c r="H52" s="113">
        <f t="shared" si="2"/>
        <v>4220600891.0352979</v>
      </c>
    </row>
    <row r="53" spans="5:8" x14ac:dyDescent="0.25">
      <c r="E53" s="73">
        <v>52</v>
      </c>
      <c r="F53" s="113">
        <f t="shared" si="0"/>
        <v>22861588.159774531</v>
      </c>
      <c r="G53" s="113">
        <f t="shared" si="1"/>
        <v>5306656.9010237567</v>
      </c>
      <c r="H53" s="113">
        <f t="shared" si="2"/>
        <v>4215294234.134274</v>
      </c>
    </row>
    <row r="54" spans="5:8" x14ac:dyDescent="0.25">
      <c r="E54" s="73">
        <v>53</v>
      </c>
      <c r="F54" s="113">
        <f t="shared" si="0"/>
        <v>22832843.76822732</v>
      </c>
      <c r="G54" s="113">
        <f t="shared" si="1"/>
        <v>5335401.2925709672</v>
      </c>
      <c r="H54" s="113">
        <f t="shared" si="2"/>
        <v>4209958832.8417029</v>
      </c>
    </row>
    <row r="55" spans="5:8" x14ac:dyDescent="0.25">
      <c r="E55" s="73">
        <v>54</v>
      </c>
      <c r="F55" s="113">
        <f t="shared" si="0"/>
        <v>22803943.677892558</v>
      </c>
      <c r="G55" s="113">
        <f t="shared" si="1"/>
        <v>5364301.3829057291</v>
      </c>
      <c r="H55" s="113">
        <f t="shared" si="2"/>
        <v>4204594531.458797</v>
      </c>
    </row>
    <row r="56" spans="5:8" x14ac:dyDescent="0.25">
      <c r="E56" s="73">
        <v>55</v>
      </c>
      <c r="F56" s="113">
        <f t="shared" si="0"/>
        <v>22774887.045401819</v>
      </c>
      <c r="G56" s="113">
        <f t="shared" si="1"/>
        <v>5393358.0153964683</v>
      </c>
      <c r="H56" s="113">
        <f t="shared" si="2"/>
        <v>4199201173.4434004</v>
      </c>
    </row>
    <row r="57" spans="5:8" x14ac:dyDescent="0.25">
      <c r="E57" s="73">
        <v>56</v>
      </c>
      <c r="F57" s="113">
        <f t="shared" si="0"/>
        <v>22745673.02281842</v>
      </c>
      <c r="G57" s="113">
        <f t="shared" si="1"/>
        <v>5422572.0379798673</v>
      </c>
      <c r="H57" s="113">
        <f t="shared" si="2"/>
        <v>4193778601.4054203</v>
      </c>
    </row>
    <row r="58" spans="5:8" x14ac:dyDescent="0.25">
      <c r="E58" s="73">
        <v>57</v>
      </c>
      <c r="F58" s="113">
        <f t="shared" si="0"/>
        <v>22716300.757612694</v>
      </c>
      <c r="G58" s="113">
        <f t="shared" si="1"/>
        <v>5451944.3031855933</v>
      </c>
      <c r="H58" s="113">
        <f t="shared" si="2"/>
        <v>4188326657.1022348</v>
      </c>
    </row>
    <row r="59" spans="5:8" x14ac:dyDescent="0.25">
      <c r="E59" s="73">
        <v>58</v>
      </c>
      <c r="F59" s="113">
        <f t="shared" si="0"/>
        <v>22686769.392637108</v>
      </c>
      <c r="G59" s="113">
        <f t="shared" si="1"/>
        <v>5481475.6681611799</v>
      </c>
      <c r="H59" s="113">
        <f t="shared" si="2"/>
        <v>4182845181.4340734</v>
      </c>
    </row>
    <row r="60" spans="5:8" x14ac:dyDescent="0.25">
      <c r="E60" s="73">
        <v>59</v>
      </c>
      <c r="F60" s="113">
        <f t="shared" si="0"/>
        <v>22657078.066101231</v>
      </c>
      <c r="G60" s="113">
        <f t="shared" si="1"/>
        <v>5511166.9946970567</v>
      </c>
      <c r="H60" s="113">
        <f t="shared" si="2"/>
        <v>4177334014.4393764</v>
      </c>
    </row>
    <row r="61" spans="5:8" x14ac:dyDescent="0.25">
      <c r="E61" s="73">
        <v>60</v>
      </c>
      <c r="F61" s="113">
        <f t="shared" si="0"/>
        <v>22627225.911546621</v>
      </c>
      <c r="G61" s="113">
        <f t="shared" si="1"/>
        <v>5541019.1492516659</v>
      </c>
      <c r="H61" s="113">
        <f t="shared" si="2"/>
        <v>4171792995.2901249</v>
      </c>
    </row>
    <row r="62" spans="5:8" x14ac:dyDescent="0.25">
      <c r="E62" s="73">
        <v>61</v>
      </c>
      <c r="F62" s="113">
        <f t="shared" si="0"/>
        <v>22597212.057821512</v>
      </c>
      <c r="G62" s="113">
        <f t="shared" si="1"/>
        <v>5571033.0029767752</v>
      </c>
      <c r="H62" s="113">
        <f t="shared" si="2"/>
        <v>4166221962.287148</v>
      </c>
    </row>
    <row r="63" spans="5:8" x14ac:dyDescent="0.25">
      <c r="E63" s="73">
        <v>62</v>
      </c>
      <c r="F63" s="113">
        <f t="shared" si="0"/>
        <v>22567035.629055385</v>
      </c>
      <c r="G63" s="113">
        <f t="shared" si="1"/>
        <v>5601209.4317429028</v>
      </c>
      <c r="H63" s="113">
        <f t="shared" si="2"/>
        <v>4160620752.8554053</v>
      </c>
    </row>
    <row r="64" spans="5:8" x14ac:dyDescent="0.25">
      <c r="E64" s="73">
        <v>63</v>
      </c>
      <c r="F64" s="113">
        <f t="shared" si="0"/>
        <v>22536695.744633447</v>
      </c>
      <c r="G64" s="113">
        <f t="shared" si="1"/>
        <v>5631549.31616484</v>
      </c>
      <c r="H64" s="113">
        <f t="shared" si="2"/>
        <v>4154989203.5392404</v>
      </c>
    </row>
    <row r="65" spans="5:8" x14ac:dyDescent="0.25">
      <c r="E65" s="73">
        <v>64</v>
      </c>
      <c r="F65" s="113">
        <f t="shared" si="0"/>
        <v>22506191.519170888</v>
      </c>
      <c r="G65" s="113">
        <f t="shared" si="1"/>
        <v>5662053.5416273996</v>
      </c>
      <c r="H65" s="113">
        <f t="shared" si="2"/>
        <v>4149327149.997613</v>
      </c>
    </row>
    <row r="66" spans="5:8" x14ac:dyDescent="0.25">
      <c r="E66" s="73">
        <v>65</v>
      </c>
      <c r="F66" s="113">
        <f t="shared" si="0"/>
        <v>22475522.06248707</v>
      </c>
      <c r="G66" s="113">
        <f t="shared" si="1"/>
        <v>5692722.9983112179</v>
      </c>
      <c r="H66" s="113">
        <f t="shared" si="2"/>
        <v>4143634426.9993019</v>
      </c>
    </row>
    <row r="67" spans="5:8" x14ac:dyDescent="0.25">
      <c r="E67" s="73">
        <v>66</v>
      </c>
      <c r="F67" s="113">
        <f t="shared" si="0"/>
        <v>22444686.479579553</v>
      </c>
      <c r="G67" s="113">
        <f t="shared" si="1"/>
        <v>5723558.5812187344</v>
      </c>
      <c r="H67" s="113">
        <f t="shared" si="2"/>
        <v>4137910868.4180832</v>
      </c>
    </row>
    <row r="68" spans="5:8" x14ac:dyDescent="0.25">
      <c r="E68" s="73">
        <v>67</v>
      </c>
      <c r="F68" s="113">
        <f t="shared" ref="F68:F131" si="3">H67*($C$6/12)</f>
        <v>22413683.870597951</v>
      </c>
      <c r="G68" s="113">
        <f t="shared" ref="G68:G131" si="4">$C$7-F68</f>
        <v>5754561.1902003363</v>
      </c>
      <c r="H68" s="113">
        <f t="shared" ref="H68:H131" si="5">H67-G68</f>
        <v>4132156307.2278829</v>
      </c>
    </row>
    <row r="69" spans="5:8" x14ac:dyDescent="0.25">
      <c r="E69" s="73">
        <v>68</v>
      </c>
      <c r="F69" s="113">
        <f t="shared" si="3"/>
        <v>22382513.330817699</v>
      </c>
      <c r="G69" s="113">
        <f t="shared" si="4"/>
        <v>5785731.729980588</v>
      </c>
      <c r="H69" s="113">
        <f t="shared" si="5"/>
        <v>4126370575.4979024</v>
      </c>
    </row>
    <row r="70" spans="5:8" x14ac:dyDescent="0.25">
      <c r="E70" s="73">
        <v>69</v>
      </c>
      <c r="F70" s="113">
        <f t="shared" si="3"/>
        <v>22351173.95061364</v>
      </c>
      <c r="G70" s="113">
        <f t="shared" si="4"/>
        <v>5817071.1101846471</v>
      </c>
      <c r="H70" s="113">
        <f t="shared" si="5"/>
        <v>4120553504.3877177</v>
      </c>
    </row>
    <row r="71" spans="5:8" x14ac:dyDescent="0.25">
      <c r="E71" s="73">
        <v>70</v>
      </c>
      <c r="F71" s="113">
        <f t="shared" si="3"/>
        <v>22319664.815433472</v>
      </c>
      <c r="G71" s="113">
        <f t="shared" si="4"/>
        <v>5848580.245364815</v>
      </c>
      <c r="H71" s="113">
        <f t="shared" si="5"/>
        <v>4114704924.1423531</v>
      </c>
    </row>
    <row r="72" spans="5:8" x14ac:dyDescent="0.25">
      <c r="E72" s="73">
        <v>71</v>
      </c>
      <c r="F72" s="113">
        <f t="shared" si="3"/>
        <v>22287985.005771078</v>
      </c>
      <c r="G72" s="113">
        <f t="shared" si="4"/>
        <v>5880260.0550272092</v>
      </c>
      <c r="H72" s="113">
        <f t="shared" si="5"/>
        <v>4108824664.087326</v>
      </c>
    </row>
    <row r="73" spans="5:8" x14ac:dyDescent="0.25">
      <c r="E73" s="73">
        <v>72</v>
      </c>
      <c r="F73" s="113">
        <f t="shared" si="3"/>
        <v>22256133.597139683</v>
      </c>
      <c r="G73" s="113">
        <f t="shared" si="4"/>
        <v>5912111.4636586048</v>
      </c>
      <c r="H73" s="113">
        <f t="shared" si="5"/>
        <v>4102912552.6236672</v>
      </c>
    </row>
    <row r="74" spans="5:8" x14ac:dyDescent="0.25">
      <c r="E74" s="73">
        <v>73</v>
      </c>
      <c r="F74" s="113">
        <f t="shared" si="3"/>
        <v>22224109.660044864</v>
      </c>
      <c r="G74" s="113">
        <f t="shared" si="4"/>
        <v>5944135.4007534236</v>
      </c>
      <c r="H74" s="113">
        <f t="shared" si="5"/>
        <v>4096968417.2229137</v>
      </c>
    </row>
    <row r="75" spans="5:8" x14ac:dyDescent="0.25">
      <c r="E75" s="73">
        <v>74</v>
      </c>
      <c r="F75" s="113">
        <f t="shared" si="3"/>
        <v>22191912.259957451</v>
      </c>
      <c r="G75" s="113">
        <f t="shared" si="4"/>
        <v>5976332.800840836</v>
      </c>
      <c r="H75" s="113">
        <f t="shared" si="5"/>
        <v>4090992084.4220729</v>
      </c>
    </row>
    <row r="76" spans="5:8" x14ac:dyDescent="0.25">
      <c r="E76" s="73">
        <v>75</v>
      </c>
      <c r="F76" s="113">
        <f t="shared" si="3"/>
        <v>22159540.457286227</v>
      </c>
      <c r="G76" s="113">
        <f t="shared" si="4"/>
        <v>6008704.6035120599</v>
      </c>
      <c r="H76" s="113">
        <f t="shared" si="5"/>
        <v>4084983379.8185606</v>
      </c>
    </row>
    <row r="77" spans="5:8" x14ac:dyDescent="0.25">
      <c r="E77" s="73">
        <v>76</v>
      </c>
      <c r="F77" s="113">
        <f t="shared" si="3"/>
        <v>22126993.307350539</v>
      </c>
      <c r="G77" s="113">
        <f t="shared" si="4"/>
        <v>6041251.7534477487</v>
      </c>
      <c r="H77" s="113">
        <f t="shared" si="5"/>
        <v>4078942128.0651131</v>
      </c>
    </row>
    <row r="78" spans="5:8" x14ac:dyDescent="0.25">
      <c r="E78" s="73">
        <v>77</v>
      </c>
      <c r="F78" s="113">
        <f t="shared" si="3"/>
        <v>22094269.860352695</v>
      </c>
      <c r="G78" s="113">
        <f t="shared" si="4"/>
        <v>6073975.2004455924</v>
      </c>
      <c r="H78" s="113">
        <f t="shared" si="5"/>
        <v>4072868152.8646674</v>
      </c>
    </row>
    <row r="79" spans="5:8" x14ac:dyDescent="0.25">
      <c r="E79" s="73">
        <v>78</v>
      </c>
      <c r="F79" s="113">
        <f t="shared" si="3"/>
        <v>22061369.161350284</v>
      </c>
      <c r="G79" s="113">
        <f t="shared" si="4"/>
        <v>6106875.8994480036</v>
      </c>
      <c r="H79" s="113">
        <f t="shared" si="5"/>
        <v>4066761276.9652195</v>
      </c>
    </row>
    <row r="80" spans="5:8" x14ac:dyDescent="0.25">
      <c r="E80" s="73">
        <v>79</v>
      </c>
      <c r="F80" s="113">
        <f t="shared" si="3"/>
        <v>22028290.250228275</v>
      </c>
      <c r="G80" s="113">
        <f t="shared" si="4"/>
        <v>6139954.8105700128</v>
      </c>
      <c r="H80" s="113">
        <f t="shared" si="5"/>
        <v>4060621322.1546493</v>
      </c>
    </row>
    <row r="81" spans="5:8" x14ac:dyDescent="0.25">
      <c r="E81" s="73">
        <v>80</v>
      </c>
      <c r="F81" s="113">
        <f t="shared" si="3"/>
        <v>21995032.161671016</v>
      </c>
      <c r="G81" s="113">
        <f t="shared" si="4"/>
        <v>6173212.899127271</v>
      </c>
      <c r="H81" s="113">
        <f t="shared" si="5"/>
        <v>4054448109.2555218</v>
      </c>
    </row>
    <row r="82" spans="5:8" x14ac:dyDescent="0.25">
      <c r="E82" s="73">
        <v>81</v>
      </c>
      <c r="F82" s="113">
        <f t="shared" si="3"/>
        <v>21961593.925134078</v>
      </c>
      <c r="G82" s="113">
        <f t="shared" si="4"/>
        <v>6206651.1356642097</v>
      </c>
      <c r="H82" s="113">
        <f t="shared" si="5"/>
        <v>4048241458.1198578</v>
      </c>
    </row>
    <row r="83" spans="5:8" x14ac:dyDescent="0.25">
      <c r="E83" s="73">
        <v>82</v>
      </c>
      <c r="F83" s="113">
        <f t="shared" si="3"/>
        <v>21927974.564815897</v>
      </c>
      <c r="G83" s="113">
        <f t="shared" si="4"/>
        <v>6240270.4959823899</v>
      </c>
      <c r="H83" s="113">
        <f t="shared" si="5"/>
        <v>4042001187.6238756</v>
      </c>
    </row>
    <row r="84" spans="5:8" x14ac:dyDescent="0.25">
      <c r="E84" s="73">
        <v>83</v>
      </c>
      <c r="F84" s="113">
        <f t="shared" si="3"/>
        <v>21894173.099629328</v>
      </c>
      <c r="G84" s="113">
        <f t="shared" si="4"/>
        <v>6274071.9611689597</v>
      </c>
      <c r="H84" s="113">
        <f t="shared" si="5"/>
        <v>4035727115.6627069</v>
      </c>
    </row>
    <row r="85" spans="5:8" x14ac:dyDescent="0.25">
      <c r="E85" s="73">
        <v>84</v>
      </c>
      <c r="F85" s="113">
        <f t="shared" si="3"/>
        <v>21860188.543172996</v>
      </c>
      <c r="G85" s="113">
        <f t="shared" si="4"/>
        <v>6308056.5176252909</v>
      </c>
      <c r="H85" s="113">
        <f t="shared" si="5"/>
        <v>4029419059.1450815</v>
      </c>
    </row>
    <row r="86" spans="5:8" x14ac:dyDescent="0.25">
      <c r="E86" s="73">
        <v>85</v>
      </c>
      <c r="F86" s="113">
        <f t="shared" si="3"/>
        <v>21826019.903702527</v>
      </c>
      <c r="G86" s="113">
        <f t="shared" si="4"/>
        <v>6342225.1570957601</v>
      </c>
      <c r="H86" s="113">
        <f t="shared" si="5"/>
        <v>4023076833.9879856</v>
      </c>
    </row>
    <row r="87" spans="5:8" x14ac:dyDescent="0.25">
      <c r="E87" s="73">
        <v>86</v>
      </c>
      <c r="F87" s="113">
        <f t="shared" si="3"/>
        <v>21791666.184101589</v>
      </c>
      <c r="G87" s="113">
        <f t="shared" si="4"/>
        <v>6376578.8766966984</v>
      </c>
      <c r="H87" s="113">
        <f t="shared" si="5"/>
        <v>4016700255.111289</v>
      </c>
    </row>
    <row r="88" spans="5:8" x14ac:dyDescent="0.25">
      <c r="E88" s="73">
        <v>87</v>
      </c>
      <c r="F88" s="113">
        <f t="shared" si="3"/>
        <v>21757126.381852817</v>
      </c>
      <c r="G88" s="113">
        <f t="shared" si="4"/>
        <v>6411118.6789454706</v>
      </c>
      <c r="H88" s="113">
        <f t="shared" si="5"/>
        <v>4010289136.4323435</v>
      </c>
    </row>
    <row r="89" spans="5:8" x14ac:dyDescent="0.25">
      <c r="E89" s="73">
        <v>88</v>
      </c>
      <c r="F89" s="113">
        <f t="shared" si="3"/>
        <v>21722399.489008527</v>
      </c>
      <c r="G89" s="113">
        <f t="shared" si="4"/>
        <v>6445845.5717897601</v>
      </c>
      <c r="H89" s="113">
        <f t="shared" si="5"/>
        <v>4003843290.8605537</v>
      </c>
    </row>
    <row r="90" spans="5:8" x14ac:dyDescent="0.25">
      <c r="E90" s="73">
        <v>89</v>
      </c>
      <c r="F90" s="113">
        <f t="shared" si="3"/>
        <v>21687484.492161334</v>
      </c>
      <c r="G90" s="113">
        <f t="shared" si="4"/>
        <v>6480760.5686369538</v>
      </c>
      <c r="H90" s="113">
        <f t="shared" si="5"/>
        <v>3997362530.2919168</v>
      </c>
    </row>
    <row r="91" spans="5:8" x14ac:dyDescent="0.25">
      <c r="E91" s="73">
        <v>90</v>
      </c>
      <c r="F91" s="113">
        <f t="shared" si="3"/>
        <v>21652380.372414552</v>
      </c>
      <c r="G91" s="113">
        <f t="shared" si="4"/>
        <v>6515864.6883837357</v>
      </c>
      <c r="H91" s="113">
        <f t="shared" si="5"/>
        <v>3990846665.6035333</v>
      </c>
    </row>
    <row r="92" spans="5:8" x14ac:dyDescent="0.25">
      <c r="E92" s="73">
        <v>91</v>
      </c>
      <c r="F92" s="113">
        <f t="shared" si="3"/>
        <v>21617086.105352473</v>
      </c>
      <c r="G92" s="113">
        <f t="shared" si="4"/>
        <v>6551158.9554458149</v>
      </c>
      <c r="H92" s="113">
        <f t="shared" si="5"/>
        <v>3984295506.6480875</v>
      </c>
    </row>
    <row r="93" spans="5:8" x14ac:dyDescent="0.25">
      <c r="E93" s="73">
        <v>92</v>
      </c>
      <c r="F93" s="113">
        <f t="shared" si="3"/>
        <v>21581600.661010474</v>
      </c>
      <c r="G93" s="113">
        <f t="shared" si="4"/>
        <v>6586644.3997878134</v>
      </c>
      <c r="H93" s="113">
        <f t="shared" si="5"/>
        <v>3977708862.2482996</v>
      </c>
    </row>
    <row r="94" spans="5:8" x14ac:dyDescent="0.25">
      <c r="E94" s="73">
        <v>93</v>
      </c>
      <c r="F94" s="113">
        <f t="shared" si="3"/>
        <v>21545923.003844958</v>
      </c>
      <c r="G94" s="113">
        <f t="shared" si="4"/>
        <v>6622322.0569533296</v>
      </c>
      <c r="H94" s="113">
        <f t="shared" si="5"/>
        <v>3971086540.1913462</v>
      </c>
    </row>
    <row r="95" spans="5:8" x14ac:dyDescent="0.25">
      <c r="E95" s="73">
        <v>94</v>
      </c>
      <c r="F95" s="113">
        <f t="shared" si="3"/>
        <v>21510052.092703126</v>
      </c>
      <c r="G95" s="113">
        <f t="shared" si="4"/>
        <v>6658192.968095161</v>
      </c>
      <c r="H95" s="113">
        <f t="shared" si="5"/>
        <v>3964428347.2232509</v>
      </c>
    </row>
    <row r="96" spans="5:8" x14ac:dyDescent="0.25">
      <c r="E96" s="73">
        <v>95</v>
      </c>
      <c r="F96" s="113">
        <f t="shared" si="3"/>
        <v>21473986.88079261</v>
      </c>
      <c r="G96" s="113">
        <f t="shared" si="4"/>
        <v>6694258.180005677</v>
      </c>
      <c r="H96" s="113">
        <f t="shared" si="5"/>
        <v>3957734089.0432453</v>
      </c>
    </row>
    <row r="97" spans="5:8" x14ac:dyDescent="0.25">
      <c r="E97" s="73">
        <v>96</v>
      </c>
      <c r="F97" s="113">
        <f t="shared" si="3"/>
        <v>21437726.315650914</v>
      </c>
      <c r="G97" s="113">
        <f t="shared" si="4"/>
        <v>6730518.7451473735</v>
      </c>
      <c r="H97" s="113">
        <f t="shared" si="5"/>
        <v>3951003570.2980981</v>
      </c>
    </row>
    <row r="98" spans="5:8" x14ac:dyDescent="0.25">
      <c r="E98" s="73">
        <v>97</v>
      </c>
      <c r="F98" s="113">
        <f t="shared" si="3"/>
        <v>21401269.3391147</v>
      </c>
      <c r="G98" s="113">
        <f t="shared" si="4"/>
        <v>6766975.7216835879</v>
      </c>
      <c r="H98" s="113">
        <f t="shared" si="5"/>
        <v>3944236594.5764146</v>
      </c>
    </row>
    <row r="99" spans="5:8" x14ac:dyDescent="0.25">
      <c r="E99" s="73">
        <v>98</v>
      </c>
      <c r="F99" s="113">
        <f t="shared" si="3"/>
        <v>21364614.887288913</v>
      </c>
      <c r="G99" s="113">
        <f t="shared" si="4"/>
        <v>6803630.1735093743</v>
      </c>
      <c r="H99" s="113">
        <f t="shared" si="5"/>
        <v>3937432964.402905</v>
      </c>
    </row>
    <row r="100" spans="5:8" x14ac:dyDescent="0.25">
      <c r="E100" s="73">
        <v>99</v>
      </c>
      <c r="F100" s="113">
        <f t="shared" si="3"/>
        <v>21327761.890515737</v>
      </c>
      <c r="G100" s="113">
        <f t="shared" si="4"/>
        <v>6840483.1702825502</v>
      </c>
      <c r="H100" s="113">
        <f t="shared" si="5"/>
        <v>3930592481.2326226</v>
      </c>
    </row>
    <row r="101" spans="5:8" x14ac:dyDescent="0.25">
      <c r="E101" s="73">
        <v>100</v>
      </c>
      <c r="F101" s="113">
        <f t="shared" si="3"/>
        <v>21290709.273343373</v>
      </c>
      <c r="G101" s="113">
        <f t="shared" si="4"/>
        <v>6877535.7874549143</v>
      </c>
      <c r="H101" s="113">
        <f t="shared" si="5"/>
        <v>3923714945.4451675</v>
      </c>
    </row>
    <row r="102" spans="5:8" x14ac:dyDescent="0.25">
      <c r="E102" s="73">
        <v>101</v>
      </c>
      <c r="F102" s="113">
        <f t="shared" si="3"/>
        <v>21253455.954494659</v>
      </c>
      <c r="G102" s="113">
        <f t="shared" si="4"/>
        <v>6914789.1063036285</v>
      </c>
      <c r="H102" s="113">
        <f t="shared" si="5"/>
        <v>3916800156.3388638</v>
      </c>
    </row>
    <row r="103" spans="5:8" x14ac:dyDescent="0.25">
      <c r="E103" s="73">
        <v>102</v>
      </c>
      <c r="F103" s="113">
        <f t="shared" si="3"/>
        <v>21216000.846835513</v>
      </c>
      <c r="G103" s="113">
        <f t="shared" si="4"/>
        <v>6952244.2139627747</v>
      </c>
      <c r="H103" s="113">
        <f t="shared" si="5"/>
        <v>3909847912.1249013</v>
      </c>
    </row>
    <row r="104" spans="5:8" x14ac:dyDescent="0.25">
      <c r="E104" s="73">
        <v>103</v>
      </c>
      <c r="F104" s="113">
        <f t="shared" si="3"/>
        <v>21178342.857343215</v>
      </c>
      <c r="G104" s="113">
        <f t="shared" si="4"/>
        <v>6989902.2034550719</v>
      </c>
      <c r="H104" s="113">
        <f t="shared" si="5"/>
        <v>3902858009.9214463</v>
      </c>
    </row>
    <row r="105" spans="5:8" x14ac:dyDescent="0.25">
      <c r="E105" s="73">
        <v>104</v>
      </c>
      <c r="F105" s="113">
        <f t="shared" si="3"/>
        <v>21140480.8870745</v>
      </c>
      <c r="G105" s="113">
        <f t="shared" si="4"/>
        <v>7027764.1737237871</v>
      </c>
      <c r="H105" s="113">
        <f t="shared" si="5"/>
        <v>3895830245.7477226</v>
      </c>
    </row>
    <row r="106" spans="5:8" x14ac:dyDescent="0.25">
      <c r="E106" s="73">
        <v>105</v>
      </c>
      <c r="F106" s="113">
        <f t="shared" si="3"/>
        <v>21102413.8311335</v>
      </c>
      <c r="G106" s="113">
        <f t="shared" si="4"/>
        <v>7065831.2296647877</v>
      </c>
      <c r="H106" s="113">
        <f t="shared" si="5"/>
        <v>3888764414.5180578</v>
      </c>
    </row>
    <row r="107" spans="5:8" x14ac:dyDescent="0.25">
      <c r="E107" s="73">
        <v>106</v>
      </c>
      <c r="F107" s="113">
        <f t="shared" si="3"/>
        <v>21064140.578639481</v>
      </c>
      <c r="G107" s="113">
        <f t="shared" si="4"/>
        <v>7104104.4821588062</v>
      </c>
      <c r="H107" s="113">
        <f t="shared" si="5"/>
        <v>3881660310.0358992</v>
      </c>
    </row>
    <row r="108" spans="5:8" x14ac:dyDescent="0.25">
      <c r="E108" s="73">
        <v>107</v>
      </c>
      <c r="F108" s="113">
        <f t="shared" si="3"/>
        <v>21025660.012694456</v>
      </c>
      <c r="G108" s="113">
        <f t="shared" si="4"/>
        <v>7142585.0481038317</v>
      </c>
      <c r="H108" s="113">
        <f t="shared" si="5"/>
        <v>3874517724.9877954</v>
      </c>
    </row>
    <row r="109" spans="5:8" x14ac:dyDescent="0.25">
      <c r="E109" s="73">
        <v>108</v>
      </c>
      <c r="F109" s="113">
        <f t="shared" si="3"/>
        <v>20986971.010350559</v>
      </c>
      <c r="G109" s="113">
        <f t="shared" si="4"/>
        <v>7181274.0504477285</v>
      </c>
      <c r="H109" s="113">
        <f t="shared" si="5"/>
        <v>3867336450.9373474</v>
      </c>
    </row>
    <row r="110" spans="5:8" x14ac:dyDescent="0.25">
      <c r="E110" s="73">
        <v>109</v>
      </c>
      <c r="F110" s="113">
        <f t="shared" si="3"/>
        <v>20948072.442577299</v>
      </c>
      <c r="G110" s="113">
        <f t="shared" si="4"/>
        <v>7220172.6182209887</v>
      </c>
      <c r="H110" s="113">
        <f t="shared" si="5"/>
        <v>3860116278.3191266</v>
      </c>
    </row>
    <row r="111" spans="5:8" x14ac:dyDescent="0.25">
      <c r="E111" s="73">
        <v>110</v>
      </c>
      <c r="F111" s="113">
        <f t="shared" si="3"/>
        <v>20908963.174228605</v>
      </c>
      <c r="G111" s="113">
        <f t="shared" si="4"/>
        <v>7259281.8865696825</v>
      </c>
      <c r="H111" s="113">
        <f t="shared" si="5"/>
        <v>3852856996.4325571</v>
      </c>
    </row>
    <row r="112" spans="5:8" x14ac:dyDescent="0.25">
      <c r="E112" s="73">
        <v>111</v>
      </c>
      <c r="F112" s="113">
        <f t="shared" si="3"/>
        <v>20869642.064009685</v>
      </c>
      <c r="G112" s="113">
        <f t="shared" si="4"/>
        <v>7298602.9967886023</v>
      </c>
      <c r="H112" s="113">
        <f t="shared" si="5"/>
        <v>3845558393.4357686</v>
      </c>
    </row>
    <row r="113" spans="5:8" x14ac:dyDescent="0.25">
      <c r="E113" s="73">
        <v>112</v>
      </c>
      <c r="F113" s="113">
        <f t="shared" si="3"/>
        <v>20830107.964443747</v>
      </c>
      <c r="G113" s="113">
        <f t="shared" si="4"/>
        <v>7338137.0963545404</v>
      </c>
      <c r="H113" s="113">
        <f t="shared" si="5"/>
        <v>3838220256.3394141</v>
      </c>
    </row>
    <row r="114" spans="5:8" x14ac:dyDescent="0.25">
      <c r="E114" s="73">
        <v>113</v>
      </c>
      <c r="F114" s="113">
        <f t="shared" si="3"/>
        <v>20790359.721838493</v>
      </c>
      <c r="G114" s="113">
        <f t="shared" si="4"/>
        <v>7377885.3389597945</v>
      </c>
      <c r="H114" s="113">
        <f t="shared" si="5"/>
        <v>3830842371.0004544</v>
      </c>
    </row>
    <row r="115" spans="5:8" x14ac:dyDescent="0.25">
      <c r="E115" s="73">
        <v>114</v>
      </c>
      <c r="F115" s="113">
        <f t="shared" si="3"/>
        <v>20750396.176252462</v>
      </c>
      <c r="G115" s="113">
        <f t="shared" si="4"/>
        <v>7417848.8845458254</v>
      </c>
      <c r="H115" s="113">
        <f t="shared" si="5"/>
        <v>3823424522.1159086</v>
      </c>
    </row>
    <row r="116" spans="5:8" x14ac:dyDescent="0.25">
      <c r="E116" s="73">
        <v>115</v>
      </c>
      <c r="F116" s="113">
        <f t="shared" si="3"/>
        <v>20710216.161461171</v>
      </c>
      <c r="G116" s="113">
        <f t="shared" si="4"/>
        <v>7458028.8993371166</v>
      </c>
      <c r="H116" s="113">
        <f t="shared" si="5"/>
        <v>3815966493.2165713</v>
      </c>
    </row>
    <row r="117" spans="5:8" x14ac:dyDescent="0.25">
      <c r="E117" s="73">
        <v>116</v>
      </c>
      <c r="F117" s="113">
        <f t="shared" si="3"/>
        <v>20669818.504923094</v>
      </c>
      <c r="G117" s="113">
        <f t="shared" si="4"/>
        <v>7498426.5558751933</v>
      </c>
      <c r="H117" s="113">
        <f t="shared" si="5"/>
        <v>3808468066.660696</v>
      </c>
    </row>
    <row r="118" spans="5:8" x14ac:dyDescent="0.25">
      <c r="E118" s="73">
        <v>117</v>
      </c>
      <c r="F118" s="113">
        <f t="shared" si="3"/>
        <v>20629202.027745437</v>
      </c>
      <c r="G118" s="113">
        <f t="shared" si="4"/>
        <v>7539043.0330528505</v>
      </c>
      <c r="H118" s="113">
        <f t="shared" si="5"/>
        <v>3800929023.6276431</v>
      </c>
    </row>
    <row r="119" spans="5:8" x14ac:dyDescent="0.25">
      <c r="E119" s="73">
        <v>118</v>
      </c>
      <c r="F119" s="113">
        <f t="shared" si="3"/>
        <v>20588365.544649735</v>
      </c>
      <c r="G119" s="113">
        <f t="shared" si="4"/>
        <v>7579879.5161485523</v>
      </c>
      <c r="H119" s="113">
        <f t="shared" si="5"/>
        <v>3793349144.1114945</v>
      </c>
    </row>
    <row r="120" spans="5:8" x14ac:dyDescent="0.25">
      <c r="E120" s="73">
        <v>119</v>
      </c>
      <c r="F120" s="113">
        <f t="shared" si="3"/>
        <v>20547307.863937262</v>
      </c>
      <c r="G120" s="113">
        <f t="shared" si="4"/>
        <v>7620937.1968610249</v>
      </c>
      <c r="H120" s="113">
        <f t="shared" si="5"/>
        <v>3785728206.9146338</v>
      </c>
    </row>
    <row r="121" spans="5:8" x14ac:dyDescent="0.25">
      <c r="E121" s="73">
        <v>120</v>
      </c>
      <c r="F121" s="113">
        <f t="shared" si="3"/>
        <v>20506027.787454266</v>
      </c>
      <c r="G121" s="113">
        <f t="shared" si="4"/>
        <v>7662217.2733440213</v>
      </c>
      <c r="H121" s="113">
        <f t="shared" si="5"/>
        <v>3778065989.6412897</v>
      </c>
    </row>
    <row r="122" spans="5:8" x14ac:dyDescent="0.25">
      <c r="E122" s="73">
        <v>121</v>
      </c>
      <c r="F122" s="113">
        <f t="shared" si="3"/>
        <v>20464524.110556986</v>
      </c>
      <c r="G122" s="113">
        <f t="shared" si="4"/>
        <v>7703720.9502413012</v>
      </c>
      <c r="H122" s="113">
        <f t="shared" si="5"/>
        <v>3770362268.6910486</v>
      </c>
    </row>
    <row r="123" spans="5:8" x14ac:dyDescent="0.25">
      <c r="E123" s="73">
        <v>122</v>
      </c>
      <c r="F123" s="113">
        <f t="shared" si="3"/>
        <v>20422795.622076515</v>
      </c>
      <c r="G123" s="113">
        <f t="shared" si="4"/>
        <v>7745449.4387217723</v>
      </c>
      <c r="H123" s="113">
        <f t="shared" si="5"/>
        <v>3762616819.252327</v>
      </c>
    </row>
    <row r="124" spans="5:8" x14ac:dyDescent="0.25">
      <c r="E124" s="73">
        <v>123</v>
      </c>
      <c r="F124" s="113">
        <f t="shared" si="3"/>
        <v>20380841.104283437</v>
      </c>
      <c r="G124" s="113">
        <f t="shared" si="4"/>
        <v>7787403.9565148503</v>
      </c>
      <c r="H124" s="113">
        <f t="shared" si="5"/>
        <v>3754829415.2958121</v>
      </c>
    </row>
    <row r="125" spans="5:8" x14ac:dyDescent="0.25">
      <c r="E125" s="73">
        <v>124</v>
      </c>
      <c r="F125" s="113">
        <f t="shared" si="3"/>
        <v>20338659.332852315</v>
      </c>
      <c r="G125" s="113">
        <f t="shared" si="4"/>
        <v>7829585.7279459722</v>
      </c>
      <c r="H125" s="113">
        <f t="shared" si="5"/>
        <v>3746999829.5678663</v>
      </c>
    </row>
    <row r="126" spans="5:8" x14ac:dyDescent="0.25">
      <c r="E126" s="73">
        <v>125</v>
      </c>
      <c r="F126" s="113">
        <f t="shared" si="3"/>
        <v>20296249.076825943</v>
      </c>
      <c r="G126" s="113">
        <f t="shared" si="4"/>
        <v>7871995.9839723445</v>
      </c>
      <c r="H126" s="113">
        <f t="shared" si="5"/>
        <v>3739127833.5838938</v>
      </c>
    </row>
    <row r="127" spans="5:8" x14ac:dyDescent="0.25">
      <c r="E127" s="73">
        <v>126</v>
      </c>
      <c r="F127" s="113">
        <f t="shared" si="3"/>
        <v>20253609.098579425</v>
      </c>
      <c r="G127" s="113">
        <f t="shared" si="4"/>
        <v>7914635.962218862</v>
      </c>
      <c r="H127" s="113">
        <f t="shared" si="5"/>
        <v>3731213197.621675</v>
      </c>
    </row>
    <row r="128" spans="5:8" x14ac:dyDescent="0.25">
      <c r="E128" s="73">
        <v>127</v>
      </c>
      <c r="F128" s="113">
        <f t="shared" si="3"/>
        <v>20210738.153784074</v>
      </c>
      <c r="G128" s="113">
        <f t="shared" si="4"/>
        <v>7957506.9070142135</v>
      </c>
      <c r="H128" s="113">
        <f t="shared" si="5"/>
        <v>3723255690.7146606</v>
      </c>
    </row>
    <row r="129" spans="5:8" x14ac:dyDescent="0.25">
      <c r="E129" s="73">
        <v>128</v>
      </c>
      <c r="F129" s="113">
        <f t="shared" si="3"/>
        <v>20167634.99137108</v>
      </c>
      <c r="G129" s="113">
        <f t="shared" si="4"/>
        <v>8000610.0694272071</v>
      </c>
      <c r="H129" s="113">
        <f t="shared" si="5"/>
        <v>3715255080.6452336</v>
      </c>
    </row>
    <row r="130" spans="5:8" x14ac:dyDescent="0.25">
      <c r="E130" s="73">
        <v>129</v>
      </c>
      <c r="F130" s="113">
        <f t="shared" si="3"/>
        <v>20124298.353495017</v>
      </c>
      <c r="G130" s="113">
        <f t="shared" si="4"/>
        <v>8043946.7073032707</v>
      </c>
      <c r="H130" s="113">
        <f t="shared" si="5"/>
        <v>3707211133.9379306</v>
      </c>
    </row>
    <row r="131" spans="5:8" x14ac:dyDescent="0.25">
      <c r="E131" s="73">
        <v>130</v>
      </c>
      <c r="F131" s="113">
        <f t="shared" si="3"/>
        <v>20080726.975497123</v>
      </c>
      <c r="G131" s="113">
        <f t="shared" si="4"/>
        <v>8087518.0853011645</v>
      </c>
      <c r="H131" s="113">
        <f t="shared" si="5"/>
        <v>3699123615.8526292</v>
      </c>
    </row>
    <row r="132" spans="5:8" x14ac:dyDescent="0.25">
      <c r="E132" s="73">
        <v>131</v>
      </c>
      <c r="F132" s="113">
        <f t="shared" ref="F132:F195" si="6">H131*($C$6/12)</f>
        <v>20036919.585868407</v>
      </c>
      <c r="G132" s="113">
        <f t="shared" ref="G132:G195" si="7">$C$7-F132</f>
        <v>8131325.4749298804</v>
      </c>
      <c r="H132" s="113">
        <f t="shared" ref="H132:H195" si="8">H131-G132</f>
        <v>3690992290.3776994</v>
      </c>
    </row>
    <row r="133" spans="5:8" x14ac:dyDescent="0.25">
      <c r="E133" s="73">
        <v>132</v>
      </c>
      <c r="F133" s="113">
        <f t="shared" si="6"/>
        <v>19992874.906212538</v>
      </c>
      <c r="G133" s="113">
        <f t="shared" si="7"/>
        <v>8175370.1545857489</v>
      </c>
      <c r="H133" s="113">
        <f t="shared" si="8"/>
        <v>3682816920.2231135</v>
      </c>
    </row>
    <row r="134" spans="5:8" x14ac:dyDescent="0.25">
      <c r="E134" s="73">
        <v>133</v>
      </c>
      <c r="F134" s="113">
        <f t="shared" si="6"/>
        <v>19948591.651208531</v>
      </c>
      <c r="G134" s="113">
        <f t="shared" si="7"/>
        <v>8219653.4095897563</v>
      </c>
      <c r="H134" s="113">
        <f t="shared" si="8"/>
        <v>3674597266.8135238</v>
      </c>
    </row>
    <row r="135" spans="5:8" x14ac:dyDescent="0.25">
      <c r="E135" s="73">
        <v>134</v>
      </c>
      <c r="F135" s="113">
        <f t="shared" si="6"/>
        <v>19904068.528573256</v>
      </c>
      <c r="G135" s="113">
        <f t="shared" si="7"/>
        <v>8264176.5322250314</v>
      </c>
      <c r="H135" s="113">
        <f t="shared" si="8"/>
        <v>3666333090.2812986</v>
      </c>
    </row>
    <row r="136" spans="5:8" x14ac:dyDescent="0.25">
      <c r="E136" s="73">
        <v>135</v>
      </c>
      <c r="F136" s="113">
        <f t="shared" si="6"/>
        <v>19859304.2390237</v>
      </c>
      <c r="G136" s="113">
        <f t="shared" si="7"/>
        <v>8308940.821774587</v>
      </c>
      <c r="H136" s="113">
        <f t="shared" si="8"/>
        <v>3658024149.4595242</v>
      </c>
    </row>
    <row r="137" spans="5:8" x14ac:dyDescent="0.25">
      <c r="E137" s="73">
        <v>136</v>
      </c>
      <c r="F137" s="113">
        <f t="shared" si="6"/>
        <v>19814297.476239089</v>
      </c>
      <c r="G137" s="113">
        <f t="shared" si="7"/>
        <v>8353947.5845591985</v>
      </c>
      <c r="H137" s="113">
        <f t="shared" si="8"/>
        <v>3649670201.8749652</v>
      </c>
    </row>
    <row r="138" spans="5:8" x14ac:dyDescent="0.25">
      <c r="E138" s="73">
        <v>137</v>
      </c>
      <c r="F138" s="113">
        <f t="shared" si="6"/>
        <v>19769046.926822729</v>
      </c>
      <c r="G138" s="113">
        <f t="shared" si="7"/>
        <v>8399198.133975558</v>
      </c>
      <c r="H138" s="113">
        <f t="shared" si="8"/>
        <v>3641271003.7409897</v>
      </c>
    </row>
    <row r="139" spans="5:8" x14ac:dyDescent="0.25">
      <c r="E139" s="73">
        <v>138</v>
      </c>
      <c r="F139" s="113">
        <f t="shared" si="6"/>
        <v>19723551.270263694</v>
      </c>
      <c r="G139" s="113">
        <f t="shared" si="7"/>
        <v>8444693.7905345932</v>
      </c>
      <c r="H139" s="113">
        <f t="shared" si="8"/>
        <v>3632826309.9504552</v>
      </c>
    </row>
    <row r="140" spans="5:8" x14ac:dyDescent="0.25">
      <c r="E140" s="73">
        <v>139</v>
      </c>
      <c r="F140" s="113">
        <f t="shared" si="6"/>
        <v>19677809.178898301</v>
      </c>
      <c r="G140" s="113">
        <f t="shared" si="7"/>
        <v>8490435.8818999864</v>
      </c>
      <c r="H140" s="113">
        <f t="shared" si="8"/>
        <v>3624335874.0685554</v>
      </c>
    </row>
    <row r="141" spans="5:8" x14ac:dyDescent="0.25">
      <c r="E141" s="73">
        <v>140</v>
      </c>
      <c r="F141" s="113">
        <f t="shared" si="6"/>
        <v>19631819.317871343</v>
      </c>
      <c r="G141" s="113">
        <f t="shared" si="7"/>
        <v>8536425.742926944</v>
      </c>
      <c r="H141" s="113">
        <f t="shared" si="8"/>
        <v>3615799448.3256283</v>
      </c>
    </row>
    <row r="142" spans="5:8" x14ac:dyDescent="0.25">
      <c r="E142" s="73">
        <v>141</v>
      </c>
      <c r="F142" s="113">
        <f t="shared" si="6"/>
        <v>19585580.345097154</v>
      </c>
      <c r="G142" s="113">
        <f t="shared" si="7"/>
        <v>8582664.715701133</v>
      </c>
      <c r="H142" s="113">
        <f t="shared" si="8"/>
        <v>3607216783.6099272</v>
      </c>
    </row>
    <row r="143" spans="5:8" x14ac:dyDescent="0.25">
      <c r="E143" s="73">
        <v>142</v>
      </c>
      <c r="F143" s="113">
        <f t="shared" si="6"/>
        <v>19539090.911220439</v>
      </c>
      <c r="G143" s="113">
        <f t="shared" si="7"/>
        <v>8629154.1495778486</v>
      </c>
      <c r="H143" s="113">
        <f t="shared" si="8"/>
        <v>3598587629.4603496</v>
      </c>
    </row>
    <row r="144" spans="5:8" x14ac:dyDescent="0.25">
      <c r="E144" s="73">
        <v>143</v>
      </c>
      <c r="F144" s="113">
        <f t="shared" si="6"/>
        <v>19492349.659576893</v>
      </c>
      <c r="G144" s="113">
        <f t="shared" si="7"/>
        <v>8675895.4012213945</v>
      </c>
      <c r="H144" s="113">
        <f t="shared" si="8"/>
        <v>3589911734.0591283</v>
      </c>
    </row>
    <row r="145" spans="5:8" x14ac:dyDescent="0.25">
      <c r="E145" s="73">
        <v>144</v>
      </c>
      <c r="F145" s="113">
        <f t="shared" si="6"/>
        <v>19445355.226153612</v>
      </c>
      <c r="G145" s="113">
        <f t="shared" si="7"/>
        <v>8722889.8346446753</v>
      </c>
      <c r="H145" s="113">
        <f t="shared" si="8"/>
        <v>3581188844.2244835</v>
      </c>
    </row>
    <row r="146" spans="5:8" x14ac:dyDescent="0.25">
      <c r="E146" s="73">
        <v>145</v>
      </c>
      <c r="F146" s="113">
        <f t="shared" si="6"/>
        <v>19398106.239549287</v>
      </c>
      <c r="G146" s="113">
        <f t="shared" si="7"/>
        <v>8770138.8212490007</v>
      </c>
      <c r="H146" s="113">
        <f t="shared" si="8"/>
        <v>3572418705.4032345</v>
      </c>
    </row>
    <row r="147" spans="5:8" x14ac:dyDescent="0.25">
      <c r="E147" s="73">
        <v>146</v>
      </c>
      <c r="F147" s="113">
        <f t="shared" si="6"/>
        <v>19350601.320934188</v>
      </c>
      <c r="G147" s="113">
        <f t="shared" si="7"/>
        <v>8817643.7398640998</v>
      </c>
      <c r="H147" s="113">
        <f t="shared" si="8"/>
        <v>3563601061.6633706</v>
      </c>
    </row>
    <row r="148" spans="5:8" x14ac:dyDescent="0.25">
      <c r="E148" s="73">
        <v>147</v>
      </c>
      <c r="F148" s="113">
        <f t="shared" si="6"/>
        <v>19302839.084009923</v>
      </c>
      <c r="G148" s="113">
        <f t="shared" si="7"/>
        <v>8865405.9767883644</v>
      </c>
      <c r="H148" s="113">
        <f t="shared" si="8"/>
        <v>3554735655.6865821</v>
      </c>
    </row>
    <row r="149" spans="5:8" x14ac:dyDescent="0.25">
      <c r="E149" s="73">
        <v>148</v>
      </c>
      <c r="F149" s="113">
        <f t="shared" si="6"/>
        <v>19254818.134968989</v>
      </c>
      <c r="G149" s="113">
        <f t="shared" si="7"/>
        <v>8913426.9258292988</v>
      </c>
      <c r="H149" s="113">
        <f t="shared" si="8"/>
        <v>3545822228.7607527</v>
      </c>
    </row>
    <row r="150" spans="5:8" x14ac:dyDescent="0.25">
      <c r="E150" s="73">
        <v>149</v>
      </c>
      <c r="F150" s="113">
        <f t="shared" si="6"/>
        <v>19206537.072454076</v>
      </c>
      <c r="G150" s="113">
        <f t="shared" si="7"/>
        <v>8961707.9883442111</v>
      </c>
      <c r="H150" s="113">
        <f t="shared" si="8"/>
        <v>3536860520.7724085</v>
      </c>
    </row>
    <row r="151" spans="5:8" x14ac:dyDescent="0.25">
      <c r="E151" s="73">
        <v>150</v>
      </c>
      <c r="F151" s="113">
        <f t="shared" si="6"/>
        <v>19157994.487517212</v>
      </c>
      <c r="G151" s="113">
        <f t="shared" si="7"/>
        <v>9010250.5732810758</v>
      </c>
      <c r="H151" s="113">
        <f t="shared" si="8"/>
        <v>3527850270.1991272</v>
      </c>
    </row>
    <row r="152" spans="5:8" x14ac:dyDescent="0.25">
      <c r="E152" s="73">
        <v>151</v>
      </c>
      <c r="F152" s="113">
        <f t="shared" si="6"/>
        <v>19109188.963578608</v>
      </c>
      <c r="G152" s="113">
        <f t="shared" si="7"/>
        <v>9059056.0972196795</v>
      </c>
      <c r="H152" s="113">
        <f t="shared" si="8"/>
        <v>3518791214.1019077</v>
      </c>
    </row>
    <row r="153" spans="5:8" x14ac:dyDescent="0.25">
      <c r="E153" s="73">
        <v>152</v>
      </c>
      <c r="F153" s="113">
        <f t="shared" si="6"/>
        <v>19060119.076385334</v>
      </c>
      <c r="G153" s="113">
        <f t="shared" si="7"/>
        <v>9108125.9844129533</v>
      </c>
      <c r="H153" s="113">
        <f t="shared" si="8"/>
        <v>3509683088.1174946</v>
      </c>
    </row>
    <row r="154" spans="5:8" x14ac:dyDescent="0.25">
      <c r="E154" s="73">
        <v>153</v>
      </c>
      <c r="F154" s="113">
        <f t="shared" si="6"/>
        <v>19010783.393969763</v>
      </c>
      <c r="G154" s="113">
        <f t="shared" si="7"/>
        <v>9157461.6668285243</v>
      </c>
      <c r="H154" s="113">
        <f t="shared" si="8"/>
        <v>3500525626.450666</v>
      </c>
    </row>
    <row r="155" spans="5:8" x14ac:dyDescent="0.25">
      <c r="E155" s="73">
        <v>154</v>
      </c>
      <c r="F155" s="113">
        <f t="shared" si="6"/>
        <v>18961180.476607773</v>
      </c>
      <c r="G155" s="113">
        <f t="shared" si="7"/>
        <v>9207064.5841905139</v>
      </c>
      <c r="H155" s="113">
        <f t="shared" si="8"/>
        <v>3491318561.8664756</v>
      </c>
    </row>
    <row r="156" spans="5:8" x14ac:dyDescent="0.25">
      <c r="E156" s="73">
        <v>155</v>
      </c>
      <c r="F156" s="113">
        <f t="shared" si="6"/>
        <v>18911308.876776744</v>
      </c>
      <c r="G156" s="113">
        <f t="shared" si="7"/>
        <v>9256936.1840215437</v>
      </c>
      <c r="H156" s="113">
        <f t="shared" si="8"/>
        <v>3482061625.6824541</v>
      </c>
    </row>
    <row r="157" spans="5:8" x14ac:dyDescent="0.25">
      <c r="E157" s="73">
        <v>156</v>
      </c>
      <c r="F157" s="113">
        <f t="shared" si="6"/>
        <v>18861167.139113292</v>
      </c>
      <c r="G157" s="113">
        <f t="shared" si="7"/>
        <v>9307077.9216849953</v>
      </c>
      <c r="H157" s="113">
        <f t="shared" si="8"/>
        <v>3472754547.7607689</v>
      </c>
    </row>
    <row r="158" spans="5:8" x14ac:dyDescent="0.25">
      <c r="E158" s="73">
        <v>157</v>
      </c>
      <c r="F158" s="113">
        <f t="shared" si="6"/>
        <v>18810753.800370831</v>
      </c>
      <c r="G158" s="113">
        <f t="shared" si="7"/>
        <v>9357491.2604274563</v>
      </c>
      <c r="H158" s="113">
        <f t="shared" si="8"/>
        <v>3463397056.5003414</v>
      </c>
    </row>
    <row r="159" spans="5:8" x14ac:dyDescent="0.25">
      <c r="E159" s="73">
        <v>158</v>
      </c>
      <c r="F159" s="113">
        <f t="shared" si="6"/>
        <v>18760067.389376849</v>
      </c>
      <c r="G159" s="113">
        <f t="shared" si="7"/>
        <v>9408177.6714214385</v>
      </c>
      <c r="H159" s="113">
        <f t="shared" si="8"/>
        <v>3453988878.8289199</v>
      </c>
    </row>
    <row r="160" spans="5:8" x14ac:dyDescent="0.25">
      <c r="E160" s="73">
        <v>159</v>
      </c>
      <c r="F160" s="113">
        <f t="shared" si="6"/>
        <v>18709106.426989984</v>
      </c>
      <c r="G160" s="113">
        <f t="shared" si="7"/>
        <v>9459138.6338083036</v>
      </c>
      <c r="H160" s="113">
        <f t="shared" si="8"/>
        <v>3444529740.1951118</v>
      </c>
    </row>
    <row r="161" spans="5:8" x14ac:dyDescent="0.25">
      <c r="E161" s="73">
        <v>160</v>
      </c>
      <c r="F161" s="113">
        <f t="shared" si="6"/>
        <v>18657869.426056854</v>
      </c>
      <c r="G161" s="113">
        <f t="shared" si="7"/>
        <v>9510375.634741433</v>
      </c>
      <c r="H161" s="113">
        <f t="shared" si="8"/>
        <v>3435019364.5603704</v>
      </c>
    </row>
    <row r="162" spans="5:8" x14ac:dyDescent="0.25">
      <c r="E162" s="73">
        <v>161</v>
      </c>
      <c r="F162" s="113">
        <f t="shared" si="6"/>
        <v>18606354.891368672</v>
      </c>
      <c r="G162" s="113">
        <f t="shared" si="7"/>
        <v>9561890.1694296151</v>
      </c>
      <c r="H162" s="113">
        <f t="shared" si="8"/>
        <v>3425457474.3909407</v>
      </c>
    </row>
    <row r="163" spans="5:8" x14ac:dyDescent="0.25">
      <c r="E163" s="73">
        <v>162</v>
      </c>
      <c r="F163" s="113">
        <f t="shared" si="6"/>
        <v>18554561.319617596</v>
      </c>
      <c r="G163" s="113">
        <f t="shared" si="7"/>
        <v>9613683.7411806919</v>
      </c>
      <c r="H163" s="113">
        <f t="shared" si="8"/>
        <v>3415843790.6497598</v>
      </c>
    </row>
    <row r="164" spans="5:8" x14ac:dyDescent="0.25">
      <c r="E164" s="73">
        <v>163</v>
      </c>
      <c r="F164" s="113">
        <f t="shared" si="6"/>
        <v>18502487.199352868</v>
      </c>
      <c r="G164" s="113">
        <f t="shared" si="7"/>
        <v>9665757.8614454195</v>
      </c>
      <c r="H164" s="113">
        <f t="shared" si="8"/>
        <v>3406178032.7883143</v>
      </c>
    </row>
    <row r="165" spans="5:8" x14ac:dyDescent="0.25">
      <c r="E165" s="73">
        <v>164</v>
      </c>
      <c r="F165" s="113">
        <f t="shared" si="6"/>
        <v>18450131.010936704</v>
      </c>
      <c r="G165" s="113">
        <f t="shared" si="7"/>
        <v>9718114.0498615839</v>
      </c>
      <c r="H165" s="113">
        <f t="shared" si="8"/>
        <v>3396459918.7384529</v>
      </c>
    </row>
    <row r="166" spans="5:8" x14ac:dyDescent="0.25">
      <c r="E166" s="73">
        <v>165</v>
      </c>
      <c r="F166" s="113">
        <f t="shared" si="6"/>
        <v>18397491.226499952</v>
      </c>
      <c r="G166" s="113">
        <f t="shared" si="7"/>
        <v>9770753.834298335</v>
      </c>
      <c r="H166" s="113">
        <f t="shared" si="8"/>
        <v>3386689164.9041548</v>
      </c>
    </row>
    <row r="167" spans="5:8" x14ac:dyDescent="0.25">
      <c r="E167" s="73">
        <v>166</v>
      </c>
      <c r="F167" s="113">
        <f t="shared" si="6"/>
        <v>18344566.309897505</v>
      </c>
      <c r="G167" s="113">
        <f t="shared" si="7"/>
        <v>9823678.7509007826</v>
      </c>
      <c r="H167" s="113">
        <f t="shared" si="8"/>
        <v>3376865486.153254</v>
      </c>
    </row>
    <row r="168" spans="5:8" x14ac:dyDescent="0.25">
      <c r="E168" s="73">
        <v>167</v>
      </c>
      <c r="F168" s="113">
        <f t="shared" si="6"/>
        <v>18291354.716663461</v>
      </c>
      <c r="G168" s="113">
        <f t="shared" si="7"/>
        <v>9876890.3441348262</v>
      </c>
      <c r="H168" s="113">
        <f t="shared" si="8"/>
        <v>3366988595.8091192</v>
      </c>
    </row>
    <row r="169" spans="5:8" x14ac:dyDescent="0.25">
      <c r="E169" s="73">
        <v>168</v>
      </c>
      <c r="F169" s="113">
        <f t="shared" si="6"/>
        <v>18237854.893966064</v>
      </c>
      <c r="G169" s="113">
        <f t="shared" si="7"/>
        <v>9930390.1668322235</v>
      </c>
      <c r="H169" s="113">
        <f t="shared" si="8"/>
        <v>3357058205.6422868</v>
      </c>
    </row>
    <row r="170" spans="5:8" x14ac:dyDescent="0.25">
      <c r="E170" s="73">
        <v>169</v>
      </c>
      <c r="F170" s="113">
        <f t="shared" si="6"/>
        <v>18184065.280562386</v>
      </c>
      <c r="G170" s="113">
        <f t="shared" si="7"/>
        <v>9984179.7802359015</v>
      </c>
      <c r="H170" s="113">
        <f t="shared" si="8"/>
        <v>3347074025.862051</v>
      </c>
    </row>
    <row r="171" spans="5:8" x14ac:dyDescent="0.25">
      <c r="E171" s="73">
        <v>170</v>
      </c>
      <c r="F171" s="113">
        <f t="shared" si="6"/>
        <v>18129984.306752779</v>
      </c>
      <c r="G171" s="113">
        <f t="shared" si="7"/>
        <v>10038260.754045509</v>
      </c>
      <c r="H171" s="113">
        <f t="shared" si="8"/>
        <v>3337035765.1080055</v>
      </c>
    </row>
    <row r="172" spans="5:8" x14ac:dyDescent="0.25">
      <c r="E172" s="73">
        <v>171</v>
      </c>
      <c r="F172" s="113">
        <f t="shared" si="6"/>
        <v>18075610.394335032</v>
      </c>
      <c r="G172" s="113">
        <f t="shared" si="7"/>
        <v>10092634.666463256</v>
      </c>
      <c r="H172" s="113">
        <f t="shared" si="8"/>
        <v>3326943130.4415421</v>
      </c>
    </row>
    <row r="173" spans="5:8" x14ac:dyDescent="0.25">
      <c r="E173" s="73">
        <v>172</v>
      </c>
      <c r="F173" s="113">
        <f t="shared" si="6"/>
        <v>18020941.956558354</v>
      </c>
      <c r="G173" s="113">
        <f t="shared" si="7"/>
        <v>10147303.104239933</v>
      </c>
      <c r="H173" s="113">
        <f t="shared" si="8"/>
        <v>3316795827.3373022</v>
      </c>
    </row>
    <row r="174" spans="5:8" x14ac:dyDescent="0.25">
      <c r="E174" s="73">
        <v>173</v>
      </c>
      <c r="F174" s="113">
        <f t="shared" si="6"/>
        <v>17965977.398077056</v>
      </c>
      <c r="G174" s="113">
        <f t="shared" si="7"/>
        <v>10202267.662721232</v>
      </c>
      <c r="H174" s="113">
        <f t="shared" si="8"/>
        <v>3306593559.6745811</v>
      </c>
    </row>
    <row r="175" spans="5:8" x14ac:dyDescent="0.25">
      <c r="E175" s="73">
        <v>174</v>
      </c>
      <c r="F175" s="113">
        <f t="shared" si="6"/>
        <v>17910715.114903983</v>
      </c>
      <c r="G175" s="113">
        <f t="shared" si="7"/>
        <v>10257529.945894305</v>
      </c>
      <c r="H175" s="113">
        <f t="shared" si="8"/>
        <v>3296336029.7286868</v>
      </c>
    </row>
    <row r="176" spans="5:8" x14ac:dyDescent="0.25">
      <c r="E176" s="73">
        <v>175</v>
      </c>
      <c r="F176" s="113">
        <f t="shared" si="6"/>
        <v>17855153.494363721</v>
      </c>
      <c r="G176" s="113">
        <f t="shared" si="7"/>
        <v>10313091.566434566</v>
      </c>
      <c r="H176" s="113">
        <f t="shared" si="8"/>
        <v>3286022938.1622524</v>
      </c>
    </row>
    <row r="177" spans="5:8" x14ac:dyDescent="0.25">
      <c r="E177" s="73">
        <v>176</v>
      </c>
      <c r="F177" s="113">
        <f t="shared" si="6"/>
        <v>17799290.915045533</v>
      </c>
      <c r="G177" s="113">
        <f t="shared" si="7"/>
        <v>10368954.145752754</v>
      </c>
      <c r="H177" s="113">
        <f t="shared" si="8"/>
        <v>3275653984.0164995</v>
      </c>
    </row>
    <row r="178" spans="5:8" x14ac:dyDescent="0.25">
      <c r="E178" s="73">
        <v>177</v>
      </c>
      <c r="F178" s="113">
        <f t="shared" si="6"/>
        <v>17743125.74675604</v>
      </c>
      <c r="G178" s="113">
        <f t="shared" si="7"/>
        <v>10425119.314042248</v>
      </c>
      <c r="H178" s="113">
        <f t="shared" si="8"/>
        <v>3265228864.7024574</v>
      </c>
    </row>
    <row r="179" spans="5:8" x14ac:dyDescent="0.25">
      <c r="E179" s="73">
        <v>178</v>
      </c>
      <c r="F179" s="113">
        <f t="shared" si="6"/>
        <v>17686656.350471646</v>
      </c>
      <c r="G179" s="113">
        <f t="shared" si="7"/>
        <v>10481588.710326642</v>
      </c>
      <c r="H179" s="113">
        <f t="shared" si="8"/>
        <v>3254747275.9921308</v>
      </c>
    </row>
    <row r="180" spans="5:8" x14ac:dyDescent="0.25">
      <c r="E180" s="73">
        <v>179</v>
      </c>
      <c r="F180" s="113">
        <f t="shared" si="6"/>
        <v>17629881.078290708</v>
      </c>
      <c r="G180" s="113">
        <f t="shared" si="7"/>
        <v>10538363.982507579</v>
      </c>
      <c r="H180" s="113">
        <f t="shared" si="8"/>
        <v>3244208912.0096231</v>
      </c>
    </row>
    <row r="181" spans="5:8" x14ac:dyDescent="0.25">
      <c r="E181" s="73">
        <v>180</v>
      </c>
      <c r="F181" s="113">
        <f t="shared" si="6"/>
        <v>17572798.273385458</v>
      </c>
      <c r="G181" s="113">
        <f t="shared" si="7"/>
        <v>10595446.78741283</v>
      </c>
      <c r="H181" s="113">
        <f t="shared" si="8"/>
        <v>3233613465.2222104</v>
      </c>
    </row>
    <row r="182" spans="5:8" x14ac:dyDescent="0.25">
      <c r="E182" s="73">
        <v>181</v>
      </c>
      <c r="F182" s="113">
        <f t="shared" si="6"/>
        <v>17515406.269953642</v>
      </c>
      <c r="G182" s="113">
        <f t="shared" si="7"/>
        <v>10652838.790844645</v>
      </c>
      <c r="H182" s="113">
        <f t="shared" si="8"/>
        <v>3222960626.431366</v>
      </c>
    </row>
    <row r="183" spans="5:8" x14ac:dyDescent="0.25">
      <c r="E183" s="73">
        <v>182</v>
      </c>
      <c r="F183" s="113">
        <f t="shared" si="6"/>
        <v>17457703.393169899</v>
      </c>
      <c r="G183" s="113">
        <f t="shared" si="7"/>
        <v>10710541.667628389</v>
      </c>
      <c r="H183" s="113">
        <f t="shared" si="8"/>
        <v>3212250084.7637377</v>
      </c>
    </row>
    <row r="184" spans="5:8" x14ac:dyDescent="0.25">
      <c r="E184" s="73">
        <v>183</v>
      </c>
      <c r="F184" s="113">
        <f t="shared" si="6"/>
        <v>17399687.959136914</v>
      </c>
      <c r="G184" s="113">
        <f t="shared" si="7"/>
        <v>10768557.101661373</v>
      </c>
      <c r="H184" s="113">
        <f t="shared" si="8"/>
        <v>3201481527.6620765</v>
      </c>
    </row>
    <row r="185" spans="5:8" x14ac:dyDescent="0.25">
      <c r="E185" s="73">
        <v>184</v>
      </c>
      <c r="F185" s="113">
        <f t="shared" si="6"/>
        <v>17341358.27483625</v>
      </c>
      <c r="G185" s="113">
        <f t="shared" si="7"/>
        <v>10826886.785962038</v>
      </c>
      <c r="H185" s="113">
        <f t="shared" si="8"/>
        <v>3190654640.8761144</v>
      </c>
    </row>
    <row r="186" spans="5:8" x14ac:dyDescent="0.25">
      <c r="E186" s="73">
        <v>185</v>
      </c>
      <c r="F186" s="113">
        <f t="shared" si="6"/>
        <v>17282712.638078954</v>
      </c>
      <c r="G186" s="113">
        <f t="shared" si="7"/>
        <v>10885532.422719333</v>
      </c>
      <c r="H186" s="113">
        <f t="shared" si="8"/>
        <v>3179769108.4533949</v>
      </c>
    </row>
    <row r="187" spans="5:8" x14ac:dyDescent="0.25">
      <c r="E187" s="73">
        <v>186</v>
      </c>
      <c r="F187" s="113">
        <f t="shared" si="6"/>
        <v>17223749.337455891</v>
      </c>
      <c r="G187" s="113">
        <f t="shared" si="7"/>
        <v>10944495.723342396</v>
      </c>
      <c r="H187" s="113">
        <f t="shared" si="8"/>
        <v>3168824612.7300525</v>
      </c>
    </row>
    <row r="188" spans="5:8" x14ac:dyDescent="0.25">
      <c r="E188" s="73">
        <v>187</v>
      </c>
      <c r="F188" s="113">
        <f t="shared" si="6"/>
        <v>17164466.652287785</v>
      </c>
      <c r="G188" s="113">
        <f t="shared" si="7"/>
        <v>11003778.408510502</v>
      </c>
      <c r="H188" s="113">
        <f t="shared" si="8"/>
        <v>3157820834.3215418</v>
      </c>
    </row>
    <row r="189" spans="5:8" x14ac:dyDescent="0.25">
      <c r="E189" s="73">
        <v>188</v>
      </c>
      <c r="F189" s="113">
        <f t="shared" si="6"/>
        <v>17104862.852575019</v>
      </c>
      <c r="G189" s="113">
        <f t="shared" si="7"/>
        <v>11063382.208223268</v>
      </c>
      <c r="H189" s="113">
        <f t="shared" si="8"/>
        <v>3146757452.1133184</v>
      </c>
    </row>
    <row r="190" spans="5:8" x14ac:dyDescent="0.25">
      <c r="E190" s="73">
        <v>189</v>
      </c>
      <c r="F190" s="113">
        <f t="shared" si="6"/>
        <v>17044936.198947143</v>
      </c>
      <c r="G190" s="113">
        <f t="shared" si="7"/>
        <v>11123308.861851145</v>
      </c>
      <c r="H190" s="113">
        <f t="shared" si="8"/>
        <v>3135634143.2514672</v>
      </c>
    </row>
    <row r="191" spans="5:8" x14ac:dyDescent="0.25">
      <c r="E191" s="73">
        <v>190</v>
      </c>
      <c r="F191" s="113">
        <f t="shared" si="6"/>
        <v>16984684.942612115</v>
      </c>
      <c r="G191" s="113">
        <f t="shared" si="7"/>
        <v>11183560.118186172</v>
      </c>
      <c r="H191" s="113">
        <f t="shared" si="8"/>
        <v>3124450583.1332812</v>
      </c>
    </row>
    <row r="192" spans="5:8" x14ac:dyDescent="0.25">
      <c r="E192" s="73">
        <v>191</v>
      </c>
      <c r="F192" s="113">
        <f t="shared" si="6"/>
        <v>16924107.325305276</v>
      </c>
      <c r="G192" s="113">
        <f t="shared" si="7"/>
        <v>11244137.735493012</v>
      </c>
      <c r="H192" s="113">
        <f t="shared" si="8"/>
        <v>3113206445.397788</v>
      </c>
    </row>
    <row r="193" spans="5:8" x14ac:dyDescent="0.25">
      <c r="E193" s="73">
        <v>192</v>
      </c>
      <c r="F193" s="113">
        <f t="shared" si="6"/>
        <v>16863201.57923802</v>
      </c>
      <c r="G193" s="113">
        <f t="shared" si="7"/>
        <v>11305043.481560268</v>
      </c>
      <c r="H193" s="113">
        <f t="shared" si="8"/>
        <v>3101901401.9162278</v>
      </c>
    </row>
    <row r="194" spans="5:8" x14ac:dyDescent="0.25">
      <c r="E194" s="73">
        <v>193</v>
      </c>
      <c r="F194" s="113">
        <f t="shared" si="6"/>
        <v>16801965.927046236</v>
      </c>
      <c r="G194" s="113">
        <f t="shared" si="7"/>
        <v>11366279.133752052</v>
      </c>
      <c r="H194" s="113">
        <f t="shared" si="8"/>
        <v>3090535122.7824759</v>
      </c>
    </row>
    <row r="195" spans="5:8" x14ac:dyDescent="0.25">
      <c r="E195" s="73">
        <v>194</v>
      </c>
      <c r="F195" s="113">
        <f t="shared" si="6"/>
        <v>16740398.581738412</v>
      </c>
      <c r="G195" s="113">
        <f t="shared" si="7"/>
        <v>11427846.479059875</v>
      </c>
      <c r="H195" s="113">
        <f t="shared" si="8"/>
        <v>3079107276.3034163</v>
      </c>
    </row>
    <row r="196" spans="5:8" x14ac:dyDescent="0.25">
      <c r="E196" s="73">
        <v>195</v>
      </c>
      <c r="F196" s="113">
        <f t="shared" ref="F196:F259" si="9">H195*($C$6/12)</f>
        <v>16678497.746643506</v>
      </c>
      <c r="G196" s="113">
        <f t="shared" ref="G196:G259" si="10">$C$7-F196</f>
        <v>11489747.314154781</v>
      </c>
      <c r="H196" s="113">
        <f t="shared" ref="H196:H259" si="11">H195-G196</f>
        <v>3067617528.9892616</v>
      </c>
    </row>
    <row r="197" spans="5:8" x14ac:dyDescent="0.25">
      <c r="E197" s="73">
        <v>196</v>
      </c>
      <c r="F197" s="113">
        <f t="shared" si="9"/>
        <v>16616261.615358502</v>
      </c>
      <c r="G197" s="113">
        <f t="shared" si="10"/>
        <v>11551983.445439786</v>
      </c>
      <c r="H197" s="113">
        <f t="shared" si="11"/>
        <v>3056065545.5438218</v>
      </c>
    </row>
    <row r="198" spans="5:8" x14ac:dyDescent="0.25">
      <c r="E198" s="73">
        <v>197</v>
      </c>
      <c r="F198" s="113">
        <f t="shared" si="9"/>
        <v>16553688.371695703</v>
      </c>
      <c r="G198" s="113">
        <f t="shared" si="10"/>
        <v>11614556.689102584</v>
      </c>
      <c r="H198" s="113">
        <f t="shared" si="11"/>
        <v>3044450988.8547192</v>
      </c>
    </row>
    <row r="199" spans="5:8" x14ac:dyDescent="0.25">
      <c r="E199" s="73">
        <v>198</v>
      </c>
      <c r="F199" s="113">
        <f t="shared" si="9"/>
        <v>16490776.18962973</v>
      </c>
      <c r="G199" s="113">
        <f t="shared" si="10"/>
        <v>11677468.871168558</v>
      </c>
      <c r="H199" s="113">
        <f t="shared" si="11"/>
        <v>3032773519.9835505</v>
      </c>
    </row>
    <row r="200" spans="5:8" x14ac:dyDescent="0.25">
      <c r="E200" s="73">
        <v>199</v>
      </c>
      <c r="F200" s="113">
        <f t="shared" si="9"/>
        <v>16427523.233244233</v>
      </c>
      <c r="G200" s="113">
        <f t="shared" si="10"/>
        <v>11740721.827554055</v>
      </c>
      <c r="H200" s="113">
        <f t="shared" si="11"/>
        <v>3021032798.1559963</v>
      </c>
    </row>
    <row r="201" spans="5:8" x14ac:dyDescent="0.25">
      <c r="E201" s="73">
        <v>200</v>
      </c>
      <c r="F201" s="113">
        <f t="shared" si="9"/>
        <v>16363927.656678313</v>
      </c>
      <c r="G201" s="113">
        <f t="shared" si="10"/>
        <v>11804317.404119974</v>
      </c>
      <c r="H201" s="113">
        <f t="shared" si="11"/>
        <v>3009228480.7518764</v>
      </c>
    </row>
    <row r="202" spans="5:8" x14ac:dyDescent="0.25">
      <c r="E202" s="73">
        <v>201</v>
      </c>
      <c r="F202" s="113">
        <f t="shared" si="9"/>
        <v>16299987.604072664</v>
      </c>
      <c r="G202" s="113">
        <f t="shared" si="10"/>
        <v>11868257.456725623</v>
      </c>
      <c r="H202" s="113">
        <f t="shared" si="11"/>
        <v>2997360223.2951508</v>
      </c>
    </row>
    <row r="203" spans="5:8" x14ac:dyDescent="0.25">
      <c r="E203" s="73">
        <v>202</v>
      </c>
      <c r="F203" s="113">
        <f t="shared" si="9"/>
        <v>16235701.2095154</v>
      </c>
      <c r="G203" s="113">
        <f t="shared" si="10"/>
        <v>11932543.851282887</v>
      </c>
      <c r="H203" s="113">
        <f t="shared" si="11"/>
        <v>2985427679.4438677</v>
      </c>
    </row>
    <row r="204" spans="5:8" x14ac:dyDescent="0.25">
      <c r="E204" s="73">
        <v>203</v>
      </c>
      <c r="F204" s="113">
        <f t="shared" si="9"/>
        <v>16171066.596987616</v>
      </c>
      <c r="G204" s="113">
        <f t="shared" si="10"/>
        <v>11997178.463810671</v>
      </c>
      <c r="H204" s="113">
        <f t="shared" si="11"/>
        <v>2973430500.9800572</v>
      </c>
    </row>
    <row r="205" spans="5:8" x14ac:dyDescent="0.25">
      <c r="E205" s="73">
        <v>204</v>
      </c>
      <c r="F205" s="113">
        <f t="shared" si="9"/>
        <v>16106081.880308645</v>
      </c>
      <c r="G205" s="113">
        <f t="shared" si="10"/>
        <v>12062163.180489643</v>
      </c>
      <c r="H205" s="113">
        <f t="shared" si="11"/>
        <v>2961368337.7995677</v>
      </c>
    </row>
    <row r="206" spans="5:8" x14ac:dyDescent="0.25">
      <c r="E206" s="73">
        <v>205</v>
      </c>
      <c r="F206" s="113">
        <f t="shared" si="9"/>
        <v>16040745.163080992</v>
      </c>
      <c r="G206" s="113">
        <f t="shared" si="10"/>
        <v>12127499.897717295</v>
      </c>
      <c r="H206" s="113">
        <f t="shared" si="11"/>
        <v>2949240837.9018502</v>
      </c>
    </row>
    <row r="207" spans="5:8" x14ac:dyDescent="0.25">
      <c r="E207" s="73">
        <v>206</v>
      </c>
      <c r="F207" s="113">
        <f t="shared" si="9"/>
        <v>15975054.538635023</v>
      </c>
      <c r="G207" s="113">
        <f t="shared" si="10"/>
        <v>12193190.522163264</v>
      </c>
      <c r="H207" s="113">
        <f t="shared" si="11"/>
        <v>2937047647.3796868</v>
      </c>
    </row>
    <row r="208" spans="5:8" x14ac:dyDescent="0.25">
      <c r="E208" s="73">
        <v>207</v>
      </c>
      <c r="F208" s="113">
        <f t="shared" si="9"/>
        <v>15909008.089973304</v>
      </c>
      <c r="G208" s="113">
        <f t="shared" si="10"/>
        <v>12259236.970824983</v>
      </c>
      <c r="H208" s="113">
        <f t="shared" si="11"/>
        <v>2924788410.4088616</v>
      </c>
    </row>
    <row r="209" spans="5:8" x14ac:dyDescent="0.25">
      <c r="E209" s="73">
        <v>208</v>
      </c>
      <c r="F209" s="113">
        <f t="shared" si="9"/>
        <v>15842603.889714668</v>
      </c>
      <c r="G209" s="113">
        <f t="shared" si="10"/>
        <v>12325641.17108362</v>
      </c>
      <c r="H209" s="113">
        <f t="shared" si="11"/>
        <v>2912462769.2377782</v>
      </c>
    </row>
    <row r="210" spans="5:8" x14ac:dyDescent="0.25">
      <c r="E210" s="73">
        <v>209</v>
      </c>
      <c r="F210" s="113">
        <f t="shared" si="9"/>
        <v>15775840.000037966</v>
      </c>
      <c r="G210" s="113">
        <f t="shared" si="10"/>
        <v>12392405.060760321</v>
      </c>
      <c r="H210" s="113">
        <f t="shared" si="11"/>
        <v>2900070364.1770177</v>
      </c>
    </row>
    <row r="211" spans="5:8" x14ac:dyDescent="0.25">
      <c r="E211" s="73">
        <v>210</v>
      </c>
      <c r="F211" s="113">
        <f t="shared" si="9"/>
        <v>15708714.472625513</v>
      </c>
      <c r="G211" s="113">
        <f t="shared" si="10"/>
        <v>12459530.588172775</v>
      </c>
      <c r="H211" s="113">
        <f t="shared" si="11"/>
        <v>2887610833.5888448</v>
      </c>
    </row>
    <row r="212" spans="5:8" x14ac:dyDescent="0.25">
      <c r="E212" s="73">
        <v>211</v>
      </c>
      <c r="F212" s="113">
        <f t="shared" si="9"/>
        <v>15641225.348606244</v>
      </c>
      <c r="G212" s="113">
        <f t="shared" si="10"/>
        <v>12527019.712192044</v>
      </c>
      <c r="H212" s="113">
        <f t="shared" si="11"/>
        <v>2875083813.8766527</v>
      </c>
    </row>
    <row r="213" spans="5:8" x14ac:dyDescent="0.25">
      <c r="E213" s="73">
        <v>212</v>
      </c>
      <c r="F213" s="113">
        <f t="shared" si="9"/>
        <v>15573370.658498537</v>
      </c>
      <c r="G213" s="113">
        <f t="shared" si="10"/>
        <v>12594874.402299751</v>
      </c>
      <c r="H213" s="113">
        <f t="shared" si="11"/>
        <v>2862488939.4743528</v>
      </c>
    </row>
    <row r="214" spans="5:8" x14ac:dyDescent="0.25">
      <c r="E214" s="73">
        <v>213</v>
      </c>
      <c r="F214" s="113">
        <f t="shared" si="9"/>
        <v>15505148.422152745</v>
      </c>
      <c r="G214" s="113">
        <f t="shared" si="10"/>
        <v>12663096.638645543</v>
      </c>
      <c r="H214" s="113">
        <f t="shared" si="11"/>
        <v>2849825842.8357072</v>
      </c>
    </row>
    <row r="215" spans="5:8" x14ac:dyDescent="0.25">
      <c r="E215" s="73">
        <v>214</v>
      </c>
      <c r="F215" s="113">
        <f t="shared" si="9"/>
        <v>15436556.648693414</v>
      </c>
      <c r="G215" s="113">
        <f t="shared" si="10"/>
        <v>12731688.412104873</v>
      </c>
      <c r="H215" s="113">
        <f t="shared" si="11"/>
        <v>2837094154.4236021</v>
      </c>
    </row>
    <row r="216" spans="5:8" x14ac:dyDescent="0.25">
      <c r="E216" s="73">
        <v>215</v>
      </c>
      <c r="F216" s="113">
        <f t="shared" si="9"/>
        <v>15367593.336461179</v>
      </c>
      <c r="G216" s="113">
        <f t="shared" si="10"/>
        <v>12800651.724337108</v>
      </c>
      <c r="H216" s="113">
        <f t="shared" si="11"/>
        <v>2824293502.699265</v>
      </c>
    </row>
    <row r="217" spans="5:8" x14ac:dyDescent="0.25">
      <c r="E217" s="73">
        <v>216</v>
      </c>
      <c r="F217" s="113">
        <f t="shared" si="9"/>
        <v>15298256.472954353</v>
      </c>
      <c r="G217" s="113">
        <f t="shared" si="10"/>
        <v>12869988.587843934</v>
      </c>
      <c r="H217" s="113">
        <f t="shared" si="11"/>
        <v>2811423514.1114211</v>
      </c>
    </row>
    <row r="218" spans="5:8" x14ac:dyDescent="0.25">
      <c r="E218" s="73">
        <v>217</v>
      </c>
      <c r="F218" s="113">
        <f t="shared" si="9"/>
        <v>15228544.034770198</v>
      </c>
      <c r="G218" s="113">
        <f t="shared" si="10"/>
        <v>12939701.026028089</v>
      </c>
      <c r="H218" s="113">
        <f t="shared" si="11"/>
        <v>2798483813.085393</v>
      </c>
    </row>
    <row r="219" spans="5:8" x14ac:dyDescent="0.25">
      <c r="E219" s="73">
        <v>218</v>
      </c>
      <c r="F219" s="113">
        <f t="shared" si="9"/>
        <v>15158453.98754588</v>
      </c>
      <c r="G219" s="113">
        <f t="shared" si="10"/>
        <v>13009791.073252408</v>
      </c>
      <c r="H219" s="113">
        <f t="shared" si="11"/>
        <v>2785474022.0121408</v>
      </c>
    </row>
    <row r="220" spans="5:8" x14ac:dyDescent="0.25">
      <c r="E220" s="73">
        <v>219</v>
      </c>
      <c r="F220" s="113">
        <f t="shared" si="9"/>
        <v>15087984.285899097</v>
      </c>
      <c r="G220" s="113">
        <f t="shared" si="10"/>
        <v>13080260.77489919</v>
      </c>
      <c r="H220" s="113">
        <f t="shared" si="11"/>
        <v>2772393761.2372417</v>
      </c>
    </row>
    <row r="221" spans="5:8" x14ac:dyDescent="0.25">
      <c r="E221" s="73">
        <v>220</v>
      </c>
      <c r="F221" s="113">
        <f t="shared" si="9"/>
        <v>15017132.873368394</v>
      </c>
      <c r="G221" s="113">
        <f t="shared" si="10"/>
        <v>13151112.187429894</v>
      </c>
      <c r="H221" s="113">
        <f t="shared" si="11"/>
        <v>2759242649.0498118</v>
      </c>
    </row>
    <row r="222" spans="5:8" x14ac:dyDescent="0.25">
      <c r="E222" s="73">
        <v>221</v>
      </c>
      <c r="F222" s="113">
        <f t="shared" si="9"/>
        <v>14945897.682353148</v>
      </c>
      <c r="G222" s="113">
        <f t="shared" si="10"/>
        <v>13222347.378445139</v>
      </c>
      <c r="H222" s="113">
        <f t="shared" si="11"/>
        <v>2746020301.6713667</v>
      </c>
    </row>
    <row r="223" spans="5:8" x14ac:dyDescent="0.25">
      <c r="E223" s="73">
        <v>222</v>
      </c>
      <c r="F223" s="113">
        <f t="shared" si="9"/>
        <v>14874276.634053236</v>
      </c>
      <c r="G223" s="113">
        <f t="shared" si="10"/>
        <v>13293968.426745052</v>
      </c>
      <c r="H223" s="113">
        <f t="shared" si="11"/>
        <v>2732726333.2446218</v>
      </c>
    </row>
    <row r="224" spans="5:8" x14ac:dyDescent="0.25">
      <c r="E224" s="73">
        <v>223</v>
      </c>
      <c r="F224" s="113">
        <f t="shared" si="9"/>
        <v>14802267.638408368</v>
      </c>
      <c r="G224" s="113">
        <f t="shared" si="10"/>
        <v>13365977.422389919</v>
      </c>
      <c r="H224" s="113">
        <f t="shared" si="11"/>
        <v>2719360355.8222318</v>
      </c>
    </row>
    <row r="225" spans="5:8" x14ac:dyDescent="0.25">
      <c r="E225" s="73">
        <v>224</v>
      </c>
      <c r="F225" s="113">
        <f t="shared" si="9"/>
        <v>14729868.594037089</v>
      </c>
      <c r="G225" s="113">
        <f t="shared" si="10"/>
        <v>13438376.466761198</v>
      </c>
      <c r="H225" s="113">
        <f t="shared" si="11"/>
        <v>2705921979.3554707</v>
      </c>
    </row>
    <row r="226" spans="5:8" x14ac:dyDescent="0.25">
      <c r="E226" s="73">
        <v>225</v>
      </c>
      <c r="F226" s="113">
        <f t="shared" si="9"/>
        <v>14657077.388175467</v>
      </c>
      <c r="G226" s="113">
        <f t="shared" si="10"/>
        <v>13511167.67262282</v>
      </c>
      <c r="H226" s="113">
        <f t="shared" si="11"/>
        <v>2692410811.682848</v>
      </c>
    </row>
    <row r="227" spans="5:8" x14ac:dyDescent="0.25">
      <c r="E227" s="73">
        <v>226</v>
      </c>
      <c r="F227" s="113">
        <f t="shared" si="9"/>
        <v>14583891.896615427</v>
      </c>
      <c r="G227" s="113">
        <f t="shared" si="10"/>
        <v>13584353.16418286</v>
      </c>
      <c r="H227" s="113">
        <f t="shared" si="11"/>
        <v>2678826458.5186653</v>
      </c>
    </row>
    <row r="228" spans="5:8" x14ac:dyDescent="0.25">
      <c r="E228" s="73">
        <v>227</v>
      </c>
      <c r="F228" s="113">
        <f t="shared" si="9"/>
        <v>14510309.983642772</v>
      </c>
      <c r="G228" s="113">
        <f t="shared" si="10"/>
        <v>13657935.077155516</v>
      </c>
      <c r="H228" s="113">
        <f t="shared" si="11"/>
        <v>2665168523.4415097</v>
      </c>
    </row>
    <row r="229" spans="5:8" x14ac:dyDescent="0.25">
      <c r="E229" s="73">
        <v>228</v>
      </c>
      <c r="F229" s="113">
        <f t="shared" si="9"/>
        <v>14436329.501974845</v>
      </c>
      <c r="G229" s="113">
        <f t="shared" si="10"/>
        <v>13731915.558823442</v>
      </c>
      <c r="H229" s="113">
        <f t="shared" si="11"/>
        <v>2651436607.8826861</v>
      </c>
    </row>
    <row r="230" spans="5:8" x14ac:dyDescent="0.25">
      <c r="E230" s="73">
        <v>229</v>
      </c>
      <c r="F230" s="113">
        <f t="shared" si="9"/>
        <v>14361948.292697884</v>
      </c>
      <c r="G230" s="113">
        <f t="shared" si="10"/>
        <v>13806296.768100403</v>
      </c>
      <c r="H230" s="113">
        <f t="shared" si="11"/>
        <v>2637630311.1145859</v>
      </c>
    </row>
    <row r="231" spans="5:8" x14ac:dyDescent="0.25">
      <c r="E231" s="73">
        <v>230</v>
      </c>
      <c r="F231" s="113">
        <f t="shared" si="9"/>
        <v>14287164.185204007</v>
      </c>
      <c r="G231" s="113">
        <f t="shared" si="10"/>
        <v>13881080.875594281</v>
      </c>
      <c r="H231" s="113">
        <f t="shared" si="11"/>
        <v>2623749230.2389917</v>
      </c>
    </row>
    <row r="232" spans="5:8" x14ac:dyDescent="0.25">
      <c r="E232" s="73">
        <v>231</v>
      </c>
      <c r="F232" s="113">
        <f t="shared" si="9"/>
        <v>14211974.997127872</v>
      </c>
      <c r="G232" s="113">
        <f t="shared" si="10"/>
        <v>13956270.063670415</v>
      </c>
      <c r="H232" s="113">
        <f t="shared" si="11"/>
        <v>2609792960.1753211</v>
      </c>
    </row>
    <row r="233" spans="5:8" x14ac:dyDescent="0.25">
      <c r="E233" s="73">
        <v>232</v>
      </c>
      <c r="F233" s="113">
        <f t="shared" si="9"/>
        <v>14136378.53428299</v>
      </c>
      <c r="G233" s="113">
        <f t="shared" si="10"/>
        <v>14031866.526515298</v>
      </c>
      <c r="H233" s="113">
        <f t="shared" si="11"/>
        <v>2595761093.6488056</v>
      </c>
    </row>
    <row r="234" spans="5:8" x14ac:dyDescent="0.25">
      <c r="E234" s="73">
        <v>233</v>
      </c>
      <c r="F234" s="113">
        <f t="shared" si="9"/>
        <v>14060372.590597698</v>
      </c>
      <c r="G234" s="113">
        <f t="shared" si="10"/>
        <v>14107872.470200589</v>
      </c>
      <c r="H234" s="113">
        <f t="shared" si="11"/>
        <v>2581653221.1786051</v>
      </c>
    </row>
    <row r="235" spans="5:8" x14ac:dyDescent="0.25">
      <c r="E235" s="73">
        <v>234</v>
      </c>
      <c r="F235" s="113">
        <f t="shared" si="9"/>
        <v>13983954.948050778</v>
      </c>
      <c r="G235" s="113">
        <f t="shared" si="10"/>
        <v>14184290.112747509</v>
      </c>
      <c r="H235" s="113">
        <f t="shared" si="11"/>
        <v>2567468931.0658574</v>
      </c>
    </row>
    <row r="236" spans="5:8" x14ac:dyDescent="0.25">
      <c r="E236" s="73">
        <v>235</v>
      </c>
      <c r="F236" s="113">
        <f t="shared" si="9"/>
        <v>13907123.376606729</v>
      </c>
      <c r="G236" s="113">
        <f t="shared" si="10"/>
        <v>14261121.684191559</v>
      </c>
      <c r="H236" s="113">
        <f t="shared" si="11"/>
        <v>2553207809.3816657</v>
      </c>
    </row>
    <row r="237" spans="5:8" x14ac:dyDescent="0.25">
      <c r="E237" s="73">
        <v>236</v>
      </c>
      <c r="F237" s="113">
        <f t="shared" si="9"/>
        <v>13829875.634150689</v>
      </c>
      <c r="G237" s="113">
        <f t="shared" si="10"/>
        <v>14338369.426647598</v>
      </c>
      <c r="H237" s="113">
        <f t="shared" si="11"/>
        <v>2538869439.955018</v>
      </c>
    </row>
    <row r="238" spans="5:8" x14ac:dyDescent="0.25">
      <c r="E238" s="73">
        <v>237</v>
      </c>
      <c r="F238" s="113">
        <f t="shared" si="9"/>
        <v>13752209.466423014</v>
      </c>
      <c r="G238" s="113">
        <f t="shared" si="10"/>
        <v>14416035.594375273</v>
      </c>
      <c r="H238" s="113">
        <f t="shared" si="11"/>
        <v>2524453404.3606429</v>
      </c>
    </row>
    <row r="239" spans="5:8" x14ac:dyDescent="0.25">
      <c r="E239" s="73">
        <v>238</v>
      </c>
      <c r="F239" s="113">
        <f t="shared" si="9"/>
        <v>13674122.606953483</v>
      </c>
      <c r="G239" s="113">
        <f t="shared" si="10"/>
        <v>14494122.453844804</v>
      </c>
      <c r="H239" s="113">
        <f t="shared" si="11"/>
        <v>2509959281.9067979</v>
      </c>
    </row>
    <row r="240" spans="5:8" x14ac:dyDescent="0.25">
      <c r="E240" s="73">
        <v>239</v>
      </c>
      <c r="F240" s="113">
        <f t="shared" si="9"/>
        <v>13595612.776995156</v>
      </c>
      <c r="G240" s="113">
        <f t="shared" si="10"/>
        <v>14572632.283803131</v>
      </c>
      <c r="H240" s="113">
        <f t="shared" si="11"/>
        <v>2495386649.6229949</v>
      </c>
    </row>
    <row r="241" spans="5:8" x14ac:dyDescent="0.25">
      <c r="E241" s="73">
        <v>240</v>
      </c>
      <c r="F241" s="113">
        <f t="shared" si="9"/>
        <v>13516677.685457889</v>
      </c>
      <c r="G241" s="113">
        <f t="shared" si="10"/>
        <v>14651567.375340398</v>
      </c>
      <c r="H241" s="113">
        <f t="shared" si="11"/>
        <v>2480735082.2476544</v>
      </c>
    </row>
    <row r="242" spans="5:8" x14ac:dyDescent="0.25">
      <c r="E242" s="73">
        <v>241</v>
      </c>
      <c r="F242" s="113">
        <f t="shared" si="9"/>
        <v>13437315.028841462</v>
      </c>
      <c r="G242" s="113">
        <f t="shared" si="10"/>
        <v>14730930.031956825</v>
      </c>
      <c r="H242" s="113">
        <f t="shared" si="11"/>
        <v>2466004152.2156978</v>
      </c>
    </row>
    <row r="243" spans="5:8" x14ac:dyDescent="0.25">
      <c r="E243" s="73">
        <v>242</v>
      </c>
      <c r="F243" s="113">
        <f t="shared" si="9"/>
        <v>13357522.491168363</v>
      </c>
      <c r="G243" s="113">
        <f t="shared" si="10"/>
        <v>14810722.569629924</v>
      </c>
      <c r="H243" s="113">
        <f t="shared" si="11"/>
        <v>2451193429.6460676</v>
      </c>
    </row>
    <row r="244" spans="5:8" x14ac:dyDescent="0.25">
      <c r="E244" s="73">
        <v>243</v>
      </c>
      <c r="F244" s="113">
        <f t="shared" si="9"/>
        <v>13277297.7439162</v>
      </c>
      <c r="G244" s="113">
        <f t="shared" si="10"/>
        <v>14890947.316882087</v>
      </c>
      <c r="H244" s="113">
        <f t="shared" si="11"/>
        <v>2436302482.3291855</v>
      </c>
    </row>
    <row r="245" spans="5:8" x14ac:dyDescent="0.25">
      <c r="E245" s="73">
        <v>244</v>
      </c>
      <c r="F245" s="113">
        <f t="shared" si="9"/>
        <v>13196638.445949756</v>
      </c>
      <c r="G245" s="113">
        <f t="shared" si="10"/>
        <v>14971606.614848532</v>
      </c>
      <c r="H245" s="113">
        <f t="shared" si="11"/>
        <v>2421330875.7143369</v>
      </c>
    </row>
    <row r="246" spans="5:8" x14ac:dyDescent="0.25">
      <c r="E246" s="73">
        <v>245</v>
      </c>
      <c r="F246" s="113">
        <f t="shared" si="9"/>
        <v>13115542.243452659</v>
      </c>
      <c r="G246" s="113">
        <f t="shared" si="10"/>
        <v>15052702.817345629</v>
      </c>
      <c r="H246" s="113">
        <f t="shared" si="11"/>
        <v>2406278172.8969913</v>
      </c>
    </row>
    <row r="247" spans="5:8" x14ac:dyDescent="0.25">
      <c r="E247" s="73">
        <v>246</v>
      </c>
      <c r="F247" s="113">
        <f t="shared" si="9"/>
        <v>13034006.769858703</v>
      </c>
      <c r="G247" s="113">
        <f t="shared" si="10"/>
        <v>15134238.290939584</v>
      </c>
      <c r="H247" s="113">
        <f t="shared" si="11"/>
        <v>2391143934.6060514</v>
      </c>
    </row>
    <row r="248" spans="5:8" x14ac:dyDescent="0.25">
      <c r="E248" s="73">
        <v>247</v>
      </c>
      <c r="F248" s="113">
        <f t="shared" si="9"/>
        <v>12952029.64578278</v>
      </c>
      <c r="G248" s="113">
        <f t="shared" si="10"/>
        <v>15216215.415015507</v>
      </c>
      <c r="H248" s="113">
        <f t="shared" si="11"/>
        <v>2375927719.1910357</v>
      </c>
    </row>
    <row r="249" spans="5:8" x14ac:dyDescent="0.25">
      <c r="E249" s="73">
        <v>248</v>
      </c>
      <c r="F249" s="113">
        <f t="shared" si="9"/>
        <v>12869608.478951445</v>
      </c>
      <c r="G249" s="113">
        <f t="shared" si="10"/>
        <v>15298636.581846843</v>
      </c>
      <c r="H249" s="113">
        <f t="shared" si="11"/>
        <v>2360629082.609189</v>
      </c>
    </row>
    <row r="250" spans="5:8" x14ac:dyDescent="0.25">
      <c r="E250" s="73">
        <v>249</v>
      </c>
      <c r="F250" s="113">
        <f t="shared" si="9"/>
        <v>12786740.864133108</v>
      </c>
      <c r="G250" s="113">
        <f t="shared" si="10"/>
        <v>15381504.196665179</v>
      </c>
      <c r="H250" s="113">
        <f t="shared" si="11"/>
        <v>2345247578.4125237</v>
      </c>
    </row>
    <row r="251" spans="5:8" x14ac:dyDescent="0.25">
      <c r="E251" s="73">
        <v>250</v>
      </c>
      <c r="F251" s="113">
        <f t="shared" si="9"/>
        <v>12703424.383067837</v>
      </c>
      <c r="G251" s="113">
        <f t="shared" si="10"/>
        <v>15464820.67773045</v>
      </c>
      <c r="H251" s="113">
        <f t="shared" si="11"/>
        <v>2329782757.7347932</v>
      </c>
    </row>
    <row r="252" spans="5:8" x14ac:dyDescent="0.25">
      <c r="E252" s="73">
        <v>251</v>
      </c>
      <c r="F252" s="113">
        <f t="shared" si="9"/>
        <v>12619656.604396798</v>
      </c>
      <c r="G252" s="113">
        <f t="shared" si="10"/>
        <v>15548588.45640149</v>
      </c>
      <c r="H252" s="113">
        <f t="shared" si="11"/>
        <v>2314234169.2783918</v>
      </c>
    </row>
    <row r="253" spans="5:8" x14ac:dyDescent="0.25">
      <c r="E253" s="73">
        <v>252</v>
      </c>
      <c r="F253" s="113">
        <f t="shared" si="9"/>
        <v>12535435.08359129</v>
      </c>
      <c r="G253" s="113">
        <f t="shared" si="10"/>
        <v>15632809.977206998</v>
      </c>
      <c r="H253" s="113">
        <f t="shared" si="11"/>
        <v>2298601359.3011847</v>
      </c>
    </row>
    <row r="254" spans="5:8" x14ac:dyDescent="0.25">
      <c r="E254" s="73">
        <v>253</v>
      </c>
      <c r="F254" s="113">
        <f t="shared" si="9"/>
        <v>12450757.362881416</v>
      </c>
      <c r="G254" s="113">
        <f t="shared" si="10"/>
        <v>15717487.697916871</v>
      </c>
      <c r="H254" s="113">
        <f t="shared" si="11"/>
        <v>2282883871.6032677</v>
      </c>
    </row>
    <row r="255" spans="5:8" x14ac:dyDescent="0.25">
      <c r="E255" s="73">
        <v>254</v>
      </c>
      <c r="F255" s="113">
        <f t="shared" si="9"/>
        <v>12365620.971184367</v>
      </c>
      <c r="G255" s="113">
        <f t="shared" si="10"/>
        <v>15802624.08961392</v>
      </c>
      <c r="H255" s="113">
        <f t="shared" si="11"/>
        <v>2267081247.5136538</v>
      </c>
    </row>
    <row r="256" spans="5:8" x14ac:dyDescent="0.25">
      <c r="E256" s="73">
        <v>255</v>
      </c>
      <c r="F256" s="113">
        <f t="shared" si="9"/>
        <v>12280023.424032291</v>
      </c>
      <c r="G256" s="113">
        <f t="shared" si="10"/>
        <v>15888221.636765996</v>
      </c>
      <c r="H256" s="113">
        <f t="shared" si="11"/>
        <v>2251193025.8768878</v>
      </c>
    </row>
    <row r="257" spans="5:8" x14ac:dyDescent="0.25">
      <c r="E257" s="73">
        <v>256</v>
      </c>
      <c r="F257" s="113">
        <f t="shared" si="9"/>
        <v>12193962.223499808</v>
      </c>
      <c r="G257" s="113">
        <f t="shared" si="10"/>
        <v>15974282.837298479</v>
      </c>
      <c r="H257" s="113">
        <f t="shared" si="11"/>
        <v>2235218743.0395894</v>
      </c>
    </row>
    <row r="258" spans="5:8" x14ac:dyDescent="0.25">
      <c r="E258" s="73">
        <v>257</v>
      </c>
      <c r="F258" s="113">
        <f t="shared" si="9"/>
        <v>12107434.858131109</v>
      </c>
      <c r="G258" s="113">
        <f t="shared" si="10"/>
        <v>16060810.202667179</v>
      </c>
      <c r="H258" s="113">
        <f t="shared" si="11"/>
        <v>2219157932.8369222</v>
      </c>
    </row>
    <row r="259" spans="5:8" x14ac:dyDescent="0.25">
      <c r="E259" s="73">
        <v>258</v>
      </c>
      <c r="F259" s="113">
        <f t="shared" si="9"/>
        <v>12020438.802866662</v>
      </c>
      <c r="G259" s="113">
        <f t="shared" si="10"/>
        <v>16147806.257931625</v>
      </c>
      <c r="H259" s="113">
        <f t="shared" si="11"/>
        <v>2203010126.5789905</v>
      </c>
    </row>
    <row r="260" spans="5:8" x14ac:dyDescent="0.25">
      <c r="E260" s="73">
        <v>259</v>
      </c>
      <c r="F260" s="113">
        <f t="shared" ref="F260:F323" si="12">H259*($C$6/12)</f>
        <v>11932971.518969532</v>
      </c>
      <c r="G260" s="113">
        <f t="shared" ref="G260:G323" si="13">$C$7-F260</f>
        <v>16235273.541828755</v>
      </c>
      <c r="H260" s="113">
        <f t="shared" ref="H260:H323" si="14">H259-G260</f>
        <v>2186774853.0371618</v>
      </c>
    </row>
    <row r="261" spans="5:8" x14ac:dyDescent="0.25">
      <c r="E261" s="73">
        <v>260</v>
      </c>
      <c r="F261" s="113">
        <f t="shared" si="12"/>
        <v>11845030.453951294</v>
      </c>
      <c r="G261" s="113">
        <f t="shared" si="13"/>
        <v>16323214.606846994</v>
      </c>
      <c r="H261" s="113">
        <f t="shared" si="14"/>
        <v>2170451638.430315</v>
      </c>
    </row>
    <row r="262" spans="5:8" x14ac:dyDescent="0.25">
      <c r="E262" s="73">
        <v>261</v>
      </c>
      <c r="F262" s="113">
        <f t="shared" si="12"/>
        <v>11756613.04149754</v>
      </c>
      <c r="G262" s="113">
        <f t="shared" si="13"/>
        <v>16411632.019300748</v>
      </c>
      <c r="H262" s="113">
        <f t="shared" si="14"/>
        <v>2154040006.4110141</v>
      </c>
    </row>
    <row r="263" spans="5:8" x14ac:dyDescent="0.25">
      <c r="E263" s="73">
        <v>262</v>
      </c>
      <c r="F263" s="113">
        <f t="shared" si="12"/>
        <v>11667716.701392993</v>
      </c>
      <c r="G263" s="113">
        <f t="shared" si="13"/>
        <v>16500528.359405294</v>
      </c>
      <c r="H263" s="113">
        <f t="shared" si="14"/>
        <v>2137539478.0516088</v>
      </c>
    </row>
    <row r="264" spans="5:8" x14ac:dyDescent="0.25">
      <c r="E264" s="73">
        <v>263</v>
      </c>
      <c r="F264" s="113">
        <f t="shared" si="12"/>
        <v>11578338.839446215</v>
      </c>
      <c r="G264" s="113">
        <f t="shared" si="13"/>
        <v>16589906.221352072</v>
      </c>
      <c r="H264" s="113">
        <f t="shared" si="14"/>
        <v>2120949571.8302567</v>
      </c>
    </row>
    <row r="265" spans="5:8" x14ac:dyDescent="0.25">
      <c r="E265" s="73">
        <v>264</v>
      </c>
      <c r="F265" s="113">
        <f t="shared" si="12"/>
        <v>11488476.84741389</v>
      </c>
      <c r="G265" s="113">
        <f t="shared" si="13"/>
        <v>16679768.213384397</v>
      </c>
      <c r="H265" s="113">
        <f t="shared" si="14"/>
        <v>2104269803.6168723</v>
      </c>
    </row>
    <row r="266" spans="5:8" x14ac:dyDescent="0.25">
      <c r="E266" s="73">
        <v>265</v>
      </c>
      <c r="F266" s="113">
        <f t="shared" si="12"/>
        <v>11398128.102924725</v>
      </c>
      <c r="G266" s="113">
        <f t="shared" si="13"/>
        <v>16770116.957873562</v>
      </c>
      <c r="H266" s="113">
        <f t="shared" si="14"/>
        <v>2087499686.6589987</v>
      </c>
    </row>
    <row r="267" spans="5:8" x14ac:dyDescent="0.25">
      <c r="E267" s="73">
        <v>266</v>
      </c>
      <c r="F267" s="113">
        <f t="shared" si="12"/>
        <v>11307289.969402909</v>
      </c>
      <c r="G267" s="113">
        <f t="shared" si="13"/>
        <v>16860955.091395378</v>
      </c>
      <c r="H267" s="113">
        <f t="shared" si="14"/>
        <v>2070638731.5676033</v>
      </c>
    </row>
    <row r="268" spans="5:8" x14ac:dyDescent="0.25">
      <c r="E268" s="73">
        <v>267</v>
      </c>
      <c r="F268" s="113">
        <f t="shared" si="12"/>
        <v>11215959.795991186</v>
      </c>
      <c r="G268" s="113">
        <f t="shared" si="13"/>
        <v>16952285.264807101</v>
      </c>
      <c r="H268" s="113">
        <f t="shared" si="14"/>
        <v>2053686446.3027964</v>
      </c>
    </row>
    <row r="269" spans="5:8" x14ac:dyDescent="0.25">
      <c r="E269" s="73">
        <v>268</v>
      </c>
      <c r="F269" s="113">
        <f t="shared" si="12"/>
        <v>11124134.91747348</v>
      </c>
      <c r="G269" s="113">
        <f t="shared" si="13"/>
        <v>17044110.143324807</v>
      </c>
      <c r="H269" s="113">
        <f t="shared" si="14"/>
        <v>2036642336.1594715</v>
      </c>
    </row>
    <row r="270" spans="5:8" x14ac:dyDescent="0.25">
      <c r="E270" s="73">
        <v>269</v>
      </c>
      <c r="F270" s="113">
        <f t="shared" si="12"/>
        <v>11031812.654197138</v>
      </c>
      <c r="G270" s="113">
        <f t="shared" si="13"/>
        <v>17136432.40660115</v>
      </c>
      <c r="H270" s="113">
        <f t="shared" si="14"/>
        <v>2019505903.7528703</v>
      </c>
    </row>
    <row r="271" spans="5:8" x14ac:dyDescent="0.25">
      <c r="E271" s="73">
        <v>270</v>
      </c>
      <c r="F271" s="113">
        <f t="shared" si="12"/>
        <v>10938990.311994715</v>
      </c>
      <c r="G271" s="113">
        <f t="shared" si="13"/>
        <v>17229254.748803571</v>
      </c>
      <c r="H271" s="113">
        <f t="shared" si="14"/>
        <v>2002276649.0040667</v>
      </c>
    </row>
    <row r="272" spans="5:8" x14ac:dyDescent="0.25">
      <c r="E272" s="73">
        <v>271</v>
      </c>
      <c r="F272" s="113">
        <f t="shared" si="12"/>
        <v>10845665.182105362</v>
      </c>
      <c r="G272" s="113">
        <f t="shared" si="13"/>
        <v>17322579.878692925</v>
      </c>
      <c r="H272" s="113">
        <f t="shared" si="14"/>
        <v>1984954069.1253738</v>
      </c>
    </row>
    <row r="273" spans="5:8" x14ac:dyDescent="0.25">
      <c r="E273" s="73">
        <v>272</v>
      </c>
      <c r="F273" s="113">
        <f t="shared" si="12"/>
        <v>10751834.541095775</v>
      </c>
      <c r="G273" s="113">
        <f t="shared" si="13"/>
        <v>17416410.519702513</v>
      </c>
      <c r="H273" s="113">
        <f t="shared" si="14"/>
        <v>1967537658.6056714</v>
      </c>
    </row>
    <row r="274" spans="5:8" x14ac:dyDescent="0.25">
      <c r="E274" s="73">
        <v>273</v>
      </c>
      <c r="F274" s="113">
        <f t="shared" si="12"/>
        <v>10657495.650780721</v>
      </c>
      <c r="G274" s="113">
        <f t="shared" si="13"/>
        <v>17510749.410017565</v>
      </c>
      <c r="H274" s="113">
        <f t="shared" si="14"/>
        <v>1950026909.1956539</v>
      </c>
    </row>
    <row r="275" spans="5:8" x14ac:dyDescent="0.25">
      <c r="E275" s="73">
        <v>274</v>
      </c>
      <c r="F275" s="113">
        <f t="shared" si="12"/>
        <v>10562645.758143125</v>
      </c>
      <c r="G275" s="113">
        <f t="shared" si="13"/>
        <v>17605599.30265516</v>
      </c>
      <c r="H275" s="113">
        <f t="shared" si="14"/>
        <v>1932421309.8929987</v>
      </c>
    </row>
    <row r="276" spans="5:8" x14ac:dyDescent="0.25">
      <c r="E276" s="73">
        <v>275</v>
      </c>
      <c r="F276" s="113">
        <f t="shared" si="12"/>
        <v>10467282.095253743</v>
      </c>
      <c r="G276" s="113">
        <f t="shared" si="13"/>
        <v>17700962.965544544</v>
      </c>
      <c r="H276" s="113">
        <f t="shared" si="14"/>
        <v>1914720346.9274542</v>
      </c>
    </row>
    <row r="277" spans="5:8" x14ac:dyDescent="0.25">
      <c r="E277" s="73">
        <v>276</v>
      </c>
      <c r="F277" s="113">
        <f t="shared" si="12"/>
        <v>10371401.879190378</v>
      </c>
      <c r="G277" s="113">
        <f t="shared" si="13"/>
        <v>17796843.18160791</v>
      </c>
      <c r="H277" s="113">
        <f t="shared" si="14"/>
        <v>1896923503.7458463</v>
      </c>
    </row>
    <row r="278" spans="5:8" x14ac:dyDescent="0.25">
      <c r="E278" s="73">
        <v>277</v>
      </c>
      <c r="F278" s="113">
        <f t="shared" si="12"/>
        <v>10275002.311956668</v>
      </c>
      <c r="G278" s="113">
        <f t="shared" si="13"/>
        <v>17893242.748841621</v>
      </c>
      <c r="H278" s="113">
        <f t="shared" si="14"/>
        <v>1879030260.9970047</v>
      </c>
    </row>
    <row r="279" spans="5:8" x14ac:dyDescent="0.25">
      <c r="E279" s="73">
        <v>278</v>
      </c>
      <c r="F279" s="113">
        <f t="shared" si="12"/>
        <v>10178080.580400443</v>
      </c>
      <c r="G279" s="113">
        <f t="shared" si="13"/>
        <v>17990164.480397843</v>
      </c>
      <c r="H279" s="113">
        <f t="shared" si="14"/>
        <v>1861040096.5166068</v>
      </c>
    </row>
    <row r="280" spans="5:8" x14ac:dyDescent="0.25">
      <c r="E280" s="73">
        <v>279</v>
      </c>
      <c r="F280" s="113">
        <f t="shared" si="12"/>
        <v>10080633.856131621</v>
      </c>
      <c r="G280" s="113">
        <f t="shared" si="13"/>
        <v>18087611.204666667</v>
      </c>
      <c r="H280" s="113">
        <f t="shared" si="14"/>
        <v>1842952485.3119402</v>
      </c>
    </row>
    <row r="281" spans="5:8" x14ac:dyDescent="0.25">
      <c r="E281" s="73">
        <v>280</v>
      </c>
      <c r="F281" s="113">
        <f t="shared" si="12"/>
        <v>9982659.2954396773</v>
      </c>
      <c r="G281" s="113">
        <f t="shared" si="13"/>
        <v>18185585.765358612</v>
      </c>
      <c r="H281" s="113">
        <f t="shared" si="14"/>
        <v>1824766899.5465815</v>
      </c>
    </row>
    <row r="282" spans="5:8" x14ac:dyDescent="0.25">
      <c r="E282" s="73">
        <v>281</v>
      </c>
      <c r="F282" s="113">
        <f t="shared" si="12"/>
        <v>9884154.0392106511</v>
      </c>
      <c r="G282" s="113">
        <f t="shared" si="13"/>
        <v>18284091.021587636</v>
      </c>
      <c r="H282" s="113">
        <f t="shared" si="14"/>
        <v>1806482808.5249939</v>
      </c>
    </row>
    <row r="283" spans="5:8" x14ac:dyDescent="0.25">
      <c r="E283" s="73">
        <v>282</v>
      </c>
      <c r="F283" s="113">
        <f t="shared" si="12"/>
        <v>9785115.212843718</v>
      </c>
      <c r="G283" s="113">
        <f t="shared" si="13"/>
        <v>18383129.847954571</v>
      </c>
      <c r="H283" s="113">
        <f t="shared" si="14"/>
        <v>1788099678.6770394</v>
      </c>
    </row>
    <row r="284" spans="5:8" x14ac:dyDescent="0.25">
      <c r="E284" s="73">
        <v>283</v>
      </c>
      <c r="F284" s="113">
        <f t="shared" si="12"/>
        <v>9685539.9261672962</v>
      </c>
      <c r="G284" s="113">
        <f t="shared" si="13"/>
        <v>18482705.134630993</v>
      </c>
      <c r="H284" s="113">
        <f t="shared" si="14"/>
        <v>1769616973.5424085</v>
      </c>
    </row>
    <row r="285" spans="5:8" x14ac:dyDescent="0.25">
      <c r="E285" s="73">
        <v>284</v>
      </c>
      <c r="F285" s="113">
        <f t="shared" si="12"/>
        <v>9585425.2733547129</v>
      </c>
      <c r="G285" s="113">
        <f t="shared" si="13"/>
        <v>18582819.787443575</v>
      </c>
      <c r="H285" s="113">
        <f t="shared" si="14"/>
        <v>1751034153.7549648</v>
      </c>
    </row>
    <row r="286" spans="5:8" x14ac:dyDescent="0.25">
      <c r="E286" s="73">
        <v>285</v>
      </c>
      <c r="F286" s="113">
        <f t="shared" si="12"/>
        <v>9484768.332839394</v>
      </c>
      <c r="G286" s="113">
        <f t="shared" si="13"/>
        <v>18683476.727958895</v>
      </c>
      <c r="H286" s="113">
        <f t="shared" si="14"/>
        <v>1732350677.0270059</v>
      </c>
    </row>
    <row r="287" spans="5:8" x14ac:dyDescent="0.25">
      <c r="E287" s="73">
        <v>286</v>
      </c>
      <c r="F287" s="113">
        <f t="shared" si="12"/>
        <v>9383566.1672296152</v>
      </c>
      <c r="G287" s="113">
        <f t="shared" si="13"/>
        <v>18784678.893568672</v>
      </c>
      <c r="H287" s="113">
        <f t="shared" si="14"/>
        <v>1713565998.1334372</v>
      </c>
    </row>
    <row r="288" spans="5:8" x14ac:dyDescent="0.25">
      <c r="E288" s="73">
        <v>287</v>
      </c>
      <c r="F288" s="113">
        <f t="shared" si="12"/>
        <v>9281815.8232227843</v>
      </c>
      <c r="G288" s="113">
        <f t="shared" si="13"/>
        <v>18886429.237575501</v>
      </c>
      <c r="H288" s="113">
        <f t="shared" si="14"/>
        <v>1694679568.8958616</v>
      </c>
    </row>
    <row r="289" spans="5:8" x14ac:dyDescent="0.25">
      <c r="E289" s="73">
        <v>288</v>
      </c>
      <c r="F289" s="113">
        <f t="shared" si="12"/>
        <v>9179514.3315192517</v>
      </c>
      <c r="G289" s="113">
        <f t="shared" si="13"/>
        <v>18988730.729279034</v>
      </c>
      <c r="H289" s="113">
        <f t="shared" si="14"/>
        <v>1675690838.1665826</v>
      </c>
    </row>
    <row r="290" spans="5:8" x14ac:dyDescent="0.25">
      <c r="E290" s="73">
        <v>289</v>
      </c>
      <c r="F290" s="113">
        <f t="shared" si="12"/>
        <v>9076658.7067356557</v>
      </c>
      <c r="G290" s="113">
        <f t="shared" si="13"/>
        <v>19091586.354062632</v>
      </c>
      <c r="H290" s="113">
        <f t="shared" si="14"/>
        <v>1656599251.81252</v>
      </c>
    </row>
    <row r="291" spans="5:8" x14ac:dyDescent="0.25">
      <c r="E291" s="73">
        <v>290</v>
      </c>
      <c r="F291" s="113">
        <f t="shared" si="12"/>
        <v>8973245.9473178163</v>
      </c>
      <c r="G291" s="113">
        <f t="shared" si="13"/>
        <v>19194999.113480471</v>
      </c>
      <c r="H291" s="113">
        <f t="shared" si="14"/>
        <v>1637404252.6990395</v>
      </c>
    </row>
    <row r="292" spans="5:8" x14ac:dyDescent="0.25">
      <c r="E292" s="73">
        <v>291</v>
      </c>
      <c r="F292" s="113">
        <f t="shared" si="12"/>
        <v>8869273.0354531314</v>
      </c>
      <c r="G292" s="113">
        <f t="shared" si="13"/>
        <v>19298972.025345154</v>
      </c>
      <c r="H292" s="113">
        <f t="shared" si="14"/>
        <v>1618105280.6736944</v>
      </c>
    </row>
    <row r="293" spans="5:8" x14ac:dyDescent="0.25">
      <c r="E293" s="73">
        <v>292</v>
      </c>
      <c r="F293" s="113">
        <f t="shared" si="12"/>
        <v>8764736.9369825106</v>
      </c>
      <c r="G293" s="113">
        <f t="shared" si="13"/>
        <v>19403508.123815775</v>
      </c>
      <c r="H293" s="113">
        <f t="shared" si="14"/>
        <v>1598701772.5498786</v>
      </c>
    </row>
    <row r="294" spans="5:8" x14ac:dyDescent="0.25">
      <c r="E294" s="73">
        <v>293</v>
      </c>
      <c r="F294" s="113">
        <f t="shared" si="12"/>
        <v>8659634.601311842</v>
      </c>
      <c r="G294" s="113">
        <f t="shared" si="13"/>
        <v>19508610.459486447</v>
      </c>
      <c r="H294" s="113">
        <f t="shared" si="14"/>
        <v>1579193162.0903921</v>
      </c>
    </row>
    <row r="295" spans="5:8" x14ac:dyDescent="0.25">
      <c r="E295" s="73">
        <v>294</v>
      </c>
      <c r="F295" s="113">
        <f t="shared" si="12"/>
        <v>8553962.9613229576</v>
      </c>
      <c r="G295" s="113">
        <f t="shared" si="13"/>
        <v>19614282.099475332</v>
      </c>
      <c r="H295" s="113">
        <f t="shared" si="14"/>
        <v>1559578879.9909167</v>
      </c>
    </row>
    <row r="296" spans="5:8" x14ac:dyDescent="0.25">
      <c r="E296" s="73">
        <v>295</v>
      </c>
      <c r="F296" s="113">
        <f t="shared" si="12"/>
        <v>8447718.9332841318</v>
      </c>
      <c r="G296" s="113">
        <f t="shared" si="13"/>
        <v>19720526.127514154</v>
      </c>
      <c r="H296" s="113">
        <f t="shared" si="14"/>
        <v>1539858353.8634026</v>
      </c>
    </row>
    <row r="297" spans="5:8" x14ac:dyDescent="0.25">
      <c r="E297" s="73">
        <v>296</v>
      </c>
      <c r="F297" s="113">
        <f t="shared" si="12"/>
        <v>8340899.4167600982</v>
      </c>
      <c r="G297" s="113">
        <f t="shared" si="13"/>
        <v>19827345.644038189</v>
      </c>
      <c r="H297" s="113">
        <f t="shared" si="14"/>
        <v>1520031008.2193644</v>
      </c>
    </row>
    <row r="298" spans="5:8" x14ac:dyDescent="0.25">
      <c r="E298" s="73">
        <v>297</v>
      </c>
      <c r="F298" s="113">
        <f t="shared" si="12"/>
        <v>8233501.2945215572</v>
      </c>
      <c r="G298" s="113">
        <f t="shared" si="13"/>
        <v>19934743.766276732</v>
      </c>
      <c r="H298" s="113">
        <f t="shared" si="14"/>
        <v>1500096264.4530876</v>
      </c>
    </row>
    <row r="299" spans="5:8" x14ac:dyDescent="0.25">
      <c r="E299" s="73">
        <v>298</v>
      </c>
      <c r="F299" s="113">
        <f t="shared" si="12"/>
        <v>8125521.4324542247</v>
      </c>
      <c r="G299" s="113">
        <f t="shared" si="13"/>
        <v>20042723.628344063</v>
      </c>
      <c r="H299" s="113">
        <f t="shared" si="14"/>
        <v>1480053540.8247435</v>
      </c>
    </row>
    <row r="300" spans="5:8" x14ac:dyDescent="0.25">
      <c r="E300" s="73">
        <v>299</v>
      </c>
      <c r="F300" s="113">
        <f t="shared" si="12"/>
        <v>8016956.6794673605</v>
      </c>
      <c r="G300" s="113">
        <f t="shared" si="13"/>
        <v>20151288.381330926</v>
      </c>
      <c r="H300" s="113">
        <f t="shared" si="14"/>
        <v>1459902252.4434125</v>
      </c>
    </row>
    <row r="301" spans="5:8" x14ac:dyDescent="0.25">
      <c r="E301" s="73">
        <v>300</v>
      </c>
      <c r="F301" s="113">
        <f t="shared" si="12"/>
        <v>7907803.8674018178</v>
      </c>
      <c r="G301" s="113">
        <f t="shared" si="13"/>
        <v>20260441.193396471</v>
      </c>
      <c r="H301" s="113">
        <f t="shared" si="14"/>
        <v>1439641811.250016</v>
      </c>
    </row>
    <row r="302" spans="5:8" x14ac:dyDescent="0.25">
      <c r="E302" s="73">
        <v>301</v>
      </c>
      <c r="F302" s="113">
        <f t="shared" si="12"/>
        <v>7798059.8109375872</v>
      </c>
      <c r="G302" s="113">
        <f t="shared" si="13"/>
        <v>20370185.2498607</v>
      </c>
      <c r="H302" s="113">
        <f t="shared" si="14"/>
        <v>1419271626.0001552</v>
      </c>
    </row>
    <row r="303" spans="5:8" x14ac:dyDescent="0.25">
      <c r="E303" s="73">
        <v>302</v>
      </c>
      <c r="F303" s="113">
        <f t="shared" si="12"/>
        <v>7687721.3075008411</v>
      </c>
      <c r="G303" s="113">
        <f t="shared" si="13"/>
        <v>20480523.753297448</v>
      </c>
      <c r="H303" s="113">
        <f t="shared" si="14"/>
        <v>1398791102.2468576</v>
      </c>
    </row>
    <row r="304" spans="5:8" x14ac:dyDescent="0.25">
      <c r="E304" s="73">
        <v>303</v>
      </c>
      <c r="F304" s="113">
        <f t="shared" si="12"/>
        <v>7576785.1371704787</v>
      </c>
      <c r="G304" s="113">
        <f t="shared" si="13"/>
        <v>20591459.923627809</v>
      </c>
      <c r="H304" s="113">
        <f t="shared" si="14"/>
        <v>1378199642.3232298</v>
      </c>
    </row>
    <row r="305" spans="5:8" x14ac:dyDescent="0.25">
      <c r="E305" s="73">
        <v>304</v>
      </c>
      <c r="F305" s="113">
        <f t="shared" si="12"/>
        <v>7465248.0625841618</v>
      </c>
      <c r="G305" s="113">
        <f t="shared" si="13"/>
        <v>20702996.998214126</v>
      </c>
      <c r="H305" s="113">
        <f t="shared" si="14"/>
        <v>1357496645.3250155</v>
      </c>
    </row>
    <row r="306" spans="5:8" x14ac:dyDescent="0.25">
      <c r="E306" s="73">
        <v>305</v>
      </c>
      <c r="F306" s="113">
        <f t="shared" si="12"/>
        <v>7353106.8288438348</v>
      </c>
      <c r="G306" s="113">
        <f t="shared" si="13"/>
        <v>20815138.231954452</v>
      </c>
      <c r="H306" s="113">
        <f t="shared" si="14"/>
        <v>1336681507.0930612</v>
      </c>
    </row>
    <row r="307" spans="5:8" x14ac:dyDescent="0.25">
      <c r="E307" s="73">
        <v>306</v>
      </c>
      <c r="F307" s="113">
        <f t="shared" si="12"/>
        <v>7240358.1634207489</v>
      </c>
      <c r="G307" s="113">
        <f t="shared" si="13"/>
        <v>20927886.897377539</v>
      </c>
      <c r="H307" s="113">
        <f t="shared" si="14"/>
        <v>1315753620.1956837</v>
      </c>
    </row>
    <row r="308" spans="5:8" x14ac:dyDescent="0.25">
      <c r="E308" s="73">
        <v>307</v>
      </c>
      <c r="F308" s="113">
        <f t="shared" si="12"/>
        <v>7126998.7760599535</v>
      </c>
      <c r="G308" s="113">
        <f t="shared" si="13"/>
        <v>21041246.284738332</v>
      </c>
      <c r="H308" s="113">
        <f t="shared" si="14"/>
        <v>1294712373.9109454</v>
      </c>
    </row>
    <row r="309" spans="5:8" x14ac:dyDescent="0.25">
      <c r="E309" s="73">
        <v>308</v>
      </c>
      <c r="F309" s="113">
        <f t="shared" si="12"/>
        <v>7013025.3586842883</v>
      </c>
      <c r="G309" s="113">
        <f t="shared" si="13"/>
        <v>21155219.702114001</v>
      </c>
      <c r="H309" s="113">
        <f t="shared" si="14"/>
        <v>1273557154.2088313</v>
      </c>
    </row>
    <row r="310" spans="5:8" x14ac:dyDescent="0.25">
      <c r="E310" s="73">
        <v>309</v>
      </c>
      <c r="F310" s="113">
        <f t="shared" si="12"/>
        <v>6898434.5852978369</v>
      </c>
      <c r="G310" s="113">
        <f t="shared" si="13"/>
        <v>21269810.47550045</v>
      </c>
      <c r="H310" s="113">
        <f t="shared" si="14"/>
        <v>1252287343.733331</v>
      </c>
    </row>
    <row r="311" spans="5:8" x14ac:dyDescent="0.25">
      <c r="E311" s="73">
        <v>310</v>
      </c>
      <c r="F311" s="113">
        <f t="shared" si="12"/>
        <v>6783223.1118888762</v>
      </c>
      <c r="G311" s="113">
        <f t="shared" si="13"/>
        <v>21385021.948909409</v>
      </c>
      <c r="H311" s="113">
        <f t="shared" si="14"/>
        <v>1230902321.7844214</v>
      </c>
    </row>
    <row r="312" spans="5:8" x14ac:dyDescent="0.25">
      <c r="E312" s="73">
        <v>311</v>
      </c>
      <c r="F312" s="113">
        <f t="shared" si="12"/>
        <v>6667387.5763322832</v>
      </c>
      <c r="G312" s="113">
        <f t="shared" si="13"/>
        <v>21500857.484466005</v>
      </c>
      <c r="H312" s="113">
        <f t="shared" si="14"/>
        <v>1209401464.2999554</v>
      </c>
    </row>
    <row r="313" spans="5:8" x14ac:dyDescent="0.25">
      <c r="E313" s="73">
        <v>312</v>
      </c>
      <c r="F313" s="113">
        <f t="shared" si="12"/>
        <v>6550924.598291425</v>
      </c>
      <c r="G313" s="113">
        <f t="shared" si="13"/>
        <v>21617320.46250686</v>
      </c>
      <c r="H313" s="113">
        <f t="shared" si="14"/>
        <v>1187784143.8374486</v>
      </c>
    </row>
    <row r="314" spans="5:8" x14ac:dyDescent="0.25">
      <c r="E314" s="73">
        <v>313</v>
      </c>
      <c r="F314" s="113">
        <f t="shared" si="12"/>
        <v>6433830.779119513</v>
      </c>
      <c r="G314" s="113">
        <f t="shared" si="13"/>
        <v>21734414.281678773</v>
      </c>
      <c r="H314" s="113">
        <f t="shared" si="14"/>
        <v>1166049729.5557699</v>
      </c>
    </row>
    <row r="315" spans="5:8" x14ac:dyDescent="0.25">
      <c r="E315" s="73">
        <v>314</v>
      </c>
      <c r="F315" s="113">
        <f t="shared" si="12"/>
        <v>6316102.7017604206</v>
      </c>
      <c r="G315" s="113">
        <f t="shared" si="13"/>
        <v>21852142.359037869</v>
      </c>
      <c r="H315" s="113">
        <f t="shared" si="14"/>
        <v>1144197587.196732</v>
      </c>
    </row>
    <row r="316" spans="5:8" x14ac:dyDescent="0.25">
      <c r="E316" s="73">
        <v>315</v>
      </c>
      <c r="F316" s="113">
        <f t="shared" si="12"/>
        <v>6197736.9306489658</v>
      </c>
      <c r="G316" s="113">
        <f t="shared" si="13"/>
        <v>21970508.13014932</v>
      </c>
      <c r="H316" s="113">
        <f t="shared" si="14"/>
        <v>1122227079.0665827</v>
      </c>
    </row>
    <row r="317" spans="5:8" x14ac:dyDescent="0.25">
      <c r="E317" s="73">
        <v>316</v>
      </c>
      <c r="F317" s="113">
        <f t="shared" si="12"/>
        <v>6078730.011610656</v>
      </c>
      <c r="G317" s="113">
        <f t="shared" si="13"/>
        <v>22089515.04918763</v>
      </c>
      <c r="H317" s="113">
        <f t="shared" si="14"/>
        <v>1100137564.017395</v>
      </c>
    </row>
    <row r="318" spans="5:8" x14ac:dyDescent="0.25">
      <c r="E318" s="73">
        <v>317</v>
      </c>
      <c r="F318" s="113">
        <f t="shared" si="12"/>
        <v>5959078.4717608895</v>
      </c>
      <c r="G318" s="113">
        <f t="shared" si="13"/>
        <v>22209166.589037396</v>
      </c>
      <c r="H318" s="113">
        <f t="shared" si="14"/>
        <v>1077928397.4283576</v>
      </c>
    </row>
    <row r="319" spans="5:8" x14ac:dyDescent="0.25">
      <c r="E319" s="73">
        <v>318</v>
      </c>
      <c r="F319" s="113">
        <f t="shared" si="12"/>
        <v>5838778.8194036037</v>
      </c>
      <c r="G319" s="113">
        <f t="shared" si="13"/>
        <v>22329466.241394684</v>
      </c>
      <c r="H319" s="113">
        <f t="shared" si="14"/>
        <v>1055598931.186963</v>
      </c>
    </row>
    <row r="320" spans="5:8" x14ac:dyDescent="0.25">
      <c r="E320" s="73">
        <v>319</v>
      </c>
      <c r="F320" s="113">
        <f t="shared" si="12"/>
        <v>5717827.5439293832</v>
      </c>
      <c r="G320" s="113">
        <f t="shared" si="13"/>
        <v>22450417.516868904</v>
      </c>
      <c r="H320" s="113">
        <f t="shared" si="14"/>
        <v>1033148513.670094</v>
      </c>
    </row>
    <row r="321" spans="5:8" x14ac:dyDescent="0.25">
      <c r="E321" s="73">
        <v>320</v>
      </c>
      <c r="F321" s="113">
        <f t="shared" si="12"/>
        <v>5596221.1157130096</v>
      </c>
      <c r="G321" s="113">
        <f t="shared" si="13"/>
        <v>22572023.94508528</v>
      </c>
      <c r="H321" s="113">
        <f t="shared" si="14"/>
        <v>1010576489.7250087</v>
      </c>
    </row>
    <row r="322" spans="5:8" x14ac:dyDescent="0.25">
      <c r="E322" s="73">
        <v>321</v>
      </c>
      <c r="F322" s="113">
        <f t="shared" si="12"/>
        <v>5473955.9860104639</v>
      </c>
      <c r="G322" s="113">
        <f t="shared" si="13"/>
        <v>22694289.074787825</v>
      </c>
      <c r="H322" s="113">
        <f t="shared" si="14"/>
        <v>987882200.65022087</v>
      </c>
    </row>
    <row r="323" spans="5:8" x14ac:dyDescent="0.25">
      <c r="E323" s="73">
        <v>322</v>
      </c>
      <c r="F323" s="113">
        <f t="shared" si="12"/>
        <v>5351028.5868553631</v>
      </c>
      <c r="G323" s="113">
        <f t="shared" si="13"/>
        <v>22817216.473942924</v>
      </c>
      <c r="H323" s="113">
        <f t="shared" si="14"/>
        <v>965064984.176278</v>
      </c>
    </row>
    <row r="324" spans="5:8" x14ac:dyDescent="0.25">
      <c r="E324" s="73">
        <v>323</v>
      </c>
      <c r="F324" s="113">
        <f t="shared" ref="F324:F361" si="15">H323*($C$6/12)</f>
        <v>5227435.3309548395</v>
      </c>
      <c r="G324" s="113">
        <f t="shared" ref="G324:G360" si="16">$C$7-F324</f>
        <v>22940809.729843449</v>
      </c>
      <c r="H324" s="113">
        <f t="shared" ref="H324:H361" si="17">H323-G324</f>
        <v>942124174.4464345</v>
      </c>
    </row>
    <row r="325" spans="5:8" x14ac:dyDescent="0.25">
      <c r="E325" s="73">
        <v>324</v>
      </c>
      <c r="F325" s="113">
        <f t="shared" si="15"/>
        <v>5103172.6115848534</v>
      </c>
      <c r="G325" s="113">
        <f t="shared" si="16"/>
        <v>23065072.449213434</v>
      </c>
      <c r="H325" s="113">
        <f t="shared" si="17"/>
        <v>919059101.99722111</v>
      </c>
    </row>
    <row r="326" spans="5:8" x14ac:dyDescent="0.25">
      <c r="E326" s="73">
        <v>325</v>
      </c>
      <c r="F326" s="113">
        <f t="shared" si="15"/>
        <v>4978236.8024849482</v>
      </c>
      <c r="G326" s="113">
        <f t="shared" si="16"/>
        <v>23190008.258313339</v>
      </c>
      <c r="H326" s="113">
        <f t="shared" si="17"/>
        <v>895869093.73890781</v>
      </c>
    </row>
    <row r="327" spans="5:8" x14ac:dyDescent="0.25">
      <c r="E327" s="73">
        <v>326</v>
      </c>
      <c r="F327" s="113">
        <f t="shared" si="15"/>
        <v>4852624.2577524176</v>
      </c>
      <c r="G327" s="113">
        <f t="shared" si="16"/>
        <v>23315620.803045869</v>
      </c>
      <c r="H327" s="113">
        <f t="shared" si="17"/>
        <v>872553472.93586195</v>
      </c>
    </row>
    <row r="328" spans="5:8" x14ac:dyDescent="0.25">
      <c r="E328" s="73">
        <v>327</v>
      </c>
      <c r="F328" s="113">
        <f t="shared" si="15"/>
        <v>4726331.3117359187</v>
      </c>
      <c r="G328" s="113">
        <f t="shared" si="16"/>
        <v>23441913.749062367</v>
      </c>
      <c r="H328" s="113">
        <f t="shared" si="17"/>
        <v>849111559.18679953</v>
      </c>
    </row>
    <row r="329" spans="5:8" x14ac:dyDescent="0.25">
      <c r="E329" s="73">
        <v>328</v>
      </c>
      <c r="F329" s="113">
        <f t="shared" si="15"/>
        <v>4599354.2789284978</v>
      </c>
      <c r="G329" s="113">
        <f t="shared" si="16"/>
        <v>23568890.781869791</v>
      </c>
      <c r="H329" s="113">
        <f t="shared" si="17"/>
        <v>825542668.40492976</v>
      </c>
    </row>
    <row r="330" spans="5:8" x14ac:dyDescent="0.25">
      <c r="E330" s="73">
        <v>329</v>
      </c>
      <c r="F330" s="113">
        <f t="shared" si="15"/>
        <v>4471689.4538600361</v>
      </c>
      <c r="G330" s="113">
        <f t="shared" si="16"/>
        <v>23696555.60693825</v>
      </c>
      <c r="H330" s="113">
        <f t="shared" si="17"/>
        <v>801846112.79799151</v>
      </c>
    </row>
    <row r="331" spans="5:8" x14ac:dyDescent="0.25">
      <c r="E331" s="73">
        <v>330</v>
      </c>
      <c r="F331" s="113">
        <f t="shared" si="15"/>
        <v>4343333.1109891208</v>
      </c>
      <c r="G331" s="113">
        <f t="shared" si="16"/>
        <v>23824911.949809168</v>
      </c>
      <c r="H331" s="113">
        <f t="shared" si="17"/>
        <v>778021200.84818232</v>
      </c>
    </row>
    <row r="332" spans="5:8" x14ac:dyDescent="0.25">
      <c r="E332" s="73">
        <v>331</v>
      </c>
      <c r="F332" s="113">
        <f t="shared" si="15"/>
        <v>4214281.5045943214</v>
      </c>
      <c r="G332" s="113">
        <f t="shared" si="16"/>
        <v>23953963.556203965</v>
      </c>
      <c r="H332" s="113">
        <f t="shared" si="17"/>
        <v>754067237.29197836</v>
      </c>
    </row>
    <row r="333" spans="5:8" x14ac:dyDescent="0.25">
      <c r="E333" s="73">
        <v>332</v>
      </c>
      <c r="F333" s="113">
        <f t="shared" si="15"/>
        <v>4084530.8686648831</v>
      </c>
      <c r="G333" s="113">
        <f t="shared" si="16"/>
        <v>24083714.192133404</v>
      </c>
      <c r="H333" s="113">
        <f t="shared" si="17"/>
        <v>729983523.09984493</v>
      </c>
    </row>
    <row r="334" spans="5:8" x14ac:dyDescent="0.25">
      <c r="E334" s="73">
        <v>333</v>
      </c>
      <c r="F334" s="113">
        <f t="shared" si="15"/>
        <v>3954077.4167908267</v>
      </c>
      <c r="G334" s="113">
        <f t="shared" si="16"/>
        <v>24214167.644007459</v>
      </c>
      <c r="H334" s="113">
        <f t="shared" si="17"/>
        <v>705769355.45583749</v>
      </c>
    </row>
    <row r="335" spans="5:8" x14ac:dyDescent="0.25">
      <c r="E335" s="73">
        <v>334</v>
      </c>
      <c r="F335" s="113">
        <f t="shared" si="15"/>
        <v>3822917.3420524532</v>
      </c>
      <c r="G335" s="113">
        <f t="shared" si="16"/>
        <v>24345327.718745835</v>
      </c>
      <c r="H335" s="113">
        <f t="shared" si="17"/>
        <v>681424027.73709166</v>
      </c>
    </row>
    <row r="336" spans="5:8" x14ac:dyDescent="0.25">
      <c r="E336" s="73">
        <v>335</v>
      </c>
      <c r="F336" s="113">
        <f t="shared" si="15"/>
        <v>3691046.8169092466</v>
      </c>
      <c r="G336" s="113">
        <f t="shared" si="16"/>
        <v>24477198.243889041</v>
      </c>
      <c r="H336" s="113">
        <f t="shared" si="17"/>
        <v>656946829.49320257</v>
      </c>
    </row>
    <row r="337" spans="5:8" x14ac:dyDescent="0.25">
      <c r="E337" s="73">
        <v>336</v>
      </c>
      <c r="F337" s="113">
        <f t="shared" si="15"/>
        <v>3558461.9930881807</v>
      </c>
      <c r="G337" s="113">
        <f t="shared" si="16"/>
        <v>24609783.067710105</v>
      </c>
      <c r="H337" s="113">
        <f t="shared" si="17"/>
        <v>632337046.42549241</v>
      </c>
    </row>
    <row r="338" spans="5:8" x14ac:dyDescent="0.25">
      <c r="E338" s="73">
        <v>337</v>
      </c>
      <c r="F338" s="113">
        <f t="shared" si="15"/>
        <v>3425159.0014714175</v>
      </c>
      <c r="G338" s="113">
        <f t="shared" si="16"/>
        <v>24743086.059326869</v>
      </c>
      <c r="H338" s="113">
        <f t="shared" si="17"/>
        <v>607593960.36616552</v>
      </c>
    </row>
    <row r="339" spans="5:8" x14ac:dyDescent="0.25">
      <c r="E339" s="73">
        <v>338</v>
      </c>
      <c r="F339" s="113">
        <f t="shared" si="15"/>
        <v>3291133.9519833969</v>
      </c>
      <c r="G339" s="113">
        <f t="shared" si="16"/>
        <v>24877111.108814891</v>
      </c>
      <c r="H339" s="113">
        <f t="shared" si="17"/>
        <v>582716849.25735068</v>
      </c>
    </row>
    <row r="340" spans="5:8" x14ac:dyDescent="0.25">
      <c r="E340" s="73">
        <v>339</v>
      </c>
      <c r="F340" s="113">
        <f t="shared" si="15"/>
        <v>3156382.9334773165</v>
      </c>
      <c r="G340" s="113">
        <f t="shared" si="16"/>
        <v>25011862.127320971</v>
      </c>
      <c r="H340" s="113">
        <f t="shared" si="17"/>
        <v>557704987.13002968</v>
      </c>
    </row>
    <row r="341" spans="5:8" x14ac:dyDescent="0.25">
      <c r="E341" s="73">
        <v>340</v>
      </c>
      <c r="F341" s="113">
        <f t="shared" si="15"/>
        <v>3020902.0136209941</v>
      </c>
      <c r="G341" s="113">
        <f t="shared" si="16"/>
        <v>25147343.047177292</v>
      </c>
      <c r="H341" s="113">
        <f t="shared" si="17"/>
        <v>532557644.08285236</v>
      </c>
    </row>
    <row r="342" spans="5:8" x14ac:dyDescent="0.25">
      <c r="E342" s="73">
        <v>341</v>
      </c>
      <c r="F342" s="113">
        <f t="shared" si="15"/>
        <v>2884687.2387821171</v>
      </c>
      <c r="G342" s="113">
        <f t="shared" si="16"/>
        <v>25283557.822016172</v>
      </c>
      <c r="H342" s="113">
        <f t="shared" si="17"/>
        <v>507274086.26083618</v>
      </c>
    </row>
    <row r="343" spans="5:8" x14ac:dyDescent="0.25">
      <c r="E343" s="73">
        <v>342</v>
      </c>
      <c r="F343" s="113">
        <f t="shared" si="15"/>
        <v>2747734.6339128627</v>
      </c>
      <c r="G343" s="113">
        <f t="shared" si="16"/>
        <v>25420510.426885426</v>
      </c>
      <c r="H343" s="113">
        <f t="shared" si="17"/>
        <v>481853575.83395076</v>
      </c>
    </row>
    <row r="344" spans="5:8" x14ac:dyDescent="0.25">
      <c r="E344" s="73">
        <v>343</v>
      </c>
      <c r="F344" s="113">
        <f t="shared" si="15"/>
        <v>2610040.2024339</v>
      </c>
      <c r="G344" s="113">
        <f t="shared" si="16"/>
        <v>25558204.858364388</v>
      </c>
      <c r="H344" s="113">
        <f t="shared" si="17"/>
        <v>456295370.97558635</v>
      </c>
    </row>
    <row r="345" spans="5:8" x14ac:dyDescent="0.25">
      <c r="E345" s="73">
        <v>344</v>
      </c>
      <c r="F345" s="113">
        <f t="shared" si="15"/>
        <v>2471599.9261177597</v>
      </c>
      <c r="G345" s="113">
        <f t="shared" si="16"/>
        <v>25696645.134680528</v>
      </c>
      <c r="H345" s="113">
        <f t="shared" si="17"/>
        <v>430598725.84090585</v>
      </c>
    </row>
    <row r="346" spans="5:8" x14ac:dyDescent="0.25">
      <c r="E346" s="73">
        <v>345</v>
      </c>
      <c r="F346" s="113">
        <f t="shared" si="15"/>
        <v>2332409.7649715734</v>
      </c>
      <c r="G346" s="113">
        <f t="shared" si="16"/>
        <v>25835835.295826714</v>
      </c>
      <c r="H346" s="113">
        <f t="shared" si="17"/>
        <v>404762890.54507911</v>
      </c>
    </row>
    <row r="347" spans="5:8" x14ac:dyDescent="0.25">
      <c r="E347" s="73">
        <v>346</v>
      </c>
      <c r="F347" s="113">
        <f t="shared" si="15"/>
        <v>2192465.6571191787</v>
      </c>
      <c r="G347" s="113">
        <f t="shared" si="16"/>
        <v>25975779.40367911</v>
      </c>
      <c r="H347" s="113">
        <f t="shared" si="17"/>
        <v>378787111.14139998</v>
      </c>
    </row>
    <row r="348" spans="5:8" x14ac:dyDescent="0.25">
      <c r="E348" s="73">
        <v>347</v>
      </c>
      <c r="F348" s="113">
        <f t="shared" si="15"/>
        <v>2051763.5186825832</v>
      </c>
      <c r="G348" s="113">
        <f t="shared" si="16"/>
        <v>26116481.542115703</v>
      </c>
      <c r="H348" s="113">
        <f t="shared" si="17"/>
        <v>352670629.59928429</v>
      </c>
    </row>
    <row r="349" spans="5:8" x14ac:dyDescent="0.25">
      <c r="E349" s="73">
        <v>348</v>
      </c>
      <c r="F349" s="113">
        <f t="shared" si="15"/>
        <v>1910299.2436627899</v>
      </c>
      <c r="G349" s="113">
        <f t="shared" si="16"/>
        <v>26257945.817135498</v>
      </c>
      <c r="H349" s="113">
        <f t="shared" si="17"/>
        <v>326412683.78214878</v>
      </c>
    </row>
    <row r="350" spans="5:8" x14ac:dyDescent="0.25">
      <c r="E350" s="73">
        <v>349</v>
      </c>
      <c r="F350" s="113">
        <f t="shared" si="15"/>
        <v>1768068.7038199727</v>
      </c>
      <c r="G350" s="113">
        <f t="shared" si="16"/>
        <v>26400176.356978316</v>
      </c>
      <c r="H350" s="113">
        <f t="shared" si="17"/>
        <v>300012507.42517048</v>
      </c>
    </row>
    <row r="351" spans="5:8" x14ac:dyDescent="0.25">
      <c r="E351" s="73">
        <v>350</v>
      </c>
      <c r="F351" s="113">
        <f t="shared" si="15"/>
        <v>1625067.7485530069</v>
      </c>
      <c r="G351" s="113">
        <f t="shared" si="16"/>
        <v>26543177.31224528</v>
      </c>
      <c r="H351" s="113">
        <f t="shared" si="17"/>
        <v>273469330.11292517</v>
      </c>
    </row>
    <row r="352" spans="5:8" x14ac:dyDescent="0.25">
      <c r="E352" s="73">
        <v>351</v>
      </c>
      <c r="F352" s="113">
        <f t="shared" si="15"/>
        <v>1481292.2047783448</v>
      </c>
      <c r="G352" s="113">
        <f t="shared" si="16"/>
        <v>26686952.856019944</v>
      </c>
      <c r="H352" s="113">
        <f t="shared" si="17"/>
        <v>246782377.25690523</v>
      </c>
    </row>
    <row r="353" spans="5:8" x14ac:dyDescent="0.25">
      <c r="E353" s="73">
        <v>352</v>
      </c>
      <c r="F353" s="113">
        <f t="shared" si="15"/>
        <v>1336737.8768082366</v>
      </c>
      <c r="G353" s="113">
        <f t="shared" si="16"/>
        <v>26831507.18399005</v>
      </c>
      <c r="H353" s="113">
        <f t="shared" si="17"/>
        <v>219950870.07291517</v>
      </c>
    </row>
    <row r="354" spans="5:8" x14ac:dyDescent="0.25">
      <c r="E354" s="73">
        <v>353</v>
      </c>
      <c r="F354" s="113">
        <f t="shared" si="15"/>
        <v>1191400.5462282905</v>
      </c>
      <c r="G354" s="113">
        <f t="shared" si="16"/>
        <v>26976844.514569998</v>
      </c>
      <c r="H354" s="113">
        <f t="shared" si="17"/>
        <v>192974025.55834517</v>
      </c>
    </row>
    <row r="355" spans="5:8" x14ac:dyDescent="0.25">
      <c r="E355" s="73">
        <v>354</v>
      </c>
      <c r="F355" s="113">
        <f t="shared" si="15"/>
        <v>1045275.9717743697</v>
      </c>
      <c r="G355" s="113">
        <f t="shared" si="16"/>
        <v>27122969.089023918</v>
      </c>
      <c r="H355" s="113">
        <f t="shared" si="17"/>
        <v>165851056.46932125</v>
      </c>
    </row>
    <row r="356" spans="5:8" x14ac:dyDescent="0.25">
      <c r="E356" s="73">
        <v>355</v>
      </c>
      <c r="F356" s="113">
        <f t="shared" si="15"/>
        <v>898359.88920882344</v>
      </c>
      <c r="G356" s="113">
        <f t="shared" si="16"/>
        <v>27269885.171589464</v>
      </c>
      <c r="H356" s="113">
        <f t="shared" si="17"/>
        <v>138581171.29773179</v>
      </c>
    </row>
    <row r="357" spans="5:8" x14ac:dyDescent="0.25">
      <c r="E357" s="73">
        <v>356</v>
      </c>
      <c r="F357" s="113">
        <f t="shared" si="15"/>
        <v>750648.01119604718</v>
      </c>
      <c r="G357" s="113">
        <f t="shared" si="16"/>
        <v>27417597.04960224</v>
      </c>
      <c r="H357" s="113">
        <f t="shared" si="17"/>
        <v>111163574.24812955</v>
      </c>
    </row>
    <row r="358" spans="5:8" x14ac:dyDescent="0.25">
      <c r="E358" s="73">
        <v>357</v>
      </c>
      <c r="F358" s="113">
        <f t="shared" si="15"/>
        <v>602136.02717736841</v>
      </c>
      <c r="G358" s="113">
        <f t="shared" si="16"/>
        <v>27566109.03362092</v>
      </c>
      <c r="H358" s="113">
        <f t="shared" si="17"/>
        <v>83597465.214508623</v>
      </c>
    </row>
    <row r="359" spans="5:8" x14ac:dyDescent="0.25">
      <c r="E359" s="73">
        <v>358</v>
      </c>
      <c r="F359" s="113">
        <f t="shared" si="15"/>
        <v>452819.60324525507</v>
      </c>
      <c r="G359" s="113">
        <f t="shared" si="16"/>
        <v>27715425.457553033</v>
      </c>
      <c r="H359" s="113">
        <f t="shared" si="17"/>
        <v>55882039.756955594</v>
      </c>
    </row>
    <row r="360" spans="5:8" x14ac:dyDescent="0.25">
      <c r="E360" s="73">
        <v>359</v>
      </c>
      <c r="F360" s="113">
        <f t="shared" si="15"/>
        <v>302694.38201684284</v>
      </c>
      <c r="G360" s="113">
        <f t="shared" si="16"/>
        <v>27865550.678781446</v>
      </c>
      <c r="H360" s="113">
        <f t="shared" si="17"/>
        <v>28016489.078174148</v>
      </c>
    </row>
    <row r="361" spans="5:8" x14ac:dyDescent="0.25">
      <c r="E361" s="73">
        <v>360</v>
      </c>
      <c r="F361" s="113">
        <f t="shared" si="15"/>
        <v>151755.98250677664</v>
      </c>
      <c r="G361" s="113">
        <f>$C$7-F361</f>
        <v>28016489.078291509</v>
      </c>
      <c r="H361" s="113">
        <f t="shared" si="17"/>
        <v>-1.1736154556274414E-4</v>
      </c>
    </row>
  </sheetData>
  <hyperlinks>
    <hyperlink ref="A6" r:id="rId1" xr:uid="{592EC27D-4906-4C69-B5EF-47262BCEB72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978"/>
  <sheetViews>
    <sheetView showGridLines="0" topLeftCell="A189" zoomScale="70" zoomScaleNormal="70" workbookViewId="0">
      <selection activeCell="I118" sqref="I118"/>
    </sheetView>
  </sheetViews>
  <sheetFormatPr defaultColWidth="12.6640625" defaultRowHeight="15.75" customHeight="1" x14ac:dyDescent="0.25"/>
  <cols>
    <col min="1" max="1" width="17.44140625" style="86" customWidth="1"/>
    <col min="2" max="2" width="48.109375" style="11" customWidth="1"/>
    <col min="3" max="13" width="15.109375" style="11" customWidth="1"/>
    <col min="14" max="14" width="15.44140625" style="11" customWidth="1"/>
    <col min="15" max="15" width="15.109375" style="11" customWidth="1"/>
    <col min="16" max="16384" width="12.6640625" style="11"/>
  </cols>
  <sheetData>
    <row r="1" spans="1:25" ht="24.6" x14ac:dyDescent="0.25">
      <c r="A1" s="80"/>
      <c r="B1" s="348" t="s">
        <v>177</v>
      </c>
      <c r="C1" s="348"/>
      <c r="D1" s="348"/>
      <c r="E1" s="348"/>
      <c r="F1" s="348"/>
      <c r="G1" s="348"/>
      <c r="H1" s="348"/>
      <c r="I1" s="348"/>
      <c r="J1" s="348"/>
      <c r="K1" s="348"/>
      <c r="L1" s="348"/>
      <c r="M1" s="348"/>
      <c r="N1" s="348"/>
      <c r="O1" s="348"/>
      <c r="R1" s="40"/>
      <c r="S1" s="40"/>
      <c r="T1" s="40"/>
      <c r="U1" s="40"/>
      <c r="V1" s="40"/>
      <c r="W1" s="40"/>
      <c r="X1" s="40"/>
      <c r="Y1" s="40"/>
    </row>
    <row r="2" spans="1:25" ht="15.75" customHeight="1" x14ac:dyDescent="0.25">
      <c r="A2" s="81"/>
      <c r="B2" s="349"/>
      <c r="C2" s="349"/>
      <c r="D2" s="349"/>
      <c r="E2" s="349"/>
      <c r="F2" s="349"/>
      <c r="G2" s="349"/>
      <c r="H2" s="349"/>
      <c r="I2" s="349"/>
      <c r="J2" s="349"/>
      <c r="K2" s="349"/>
      <c r="L2" s="349"/>
      <c r="M2" s="349"/>
      <c r="N2" s="349"/>
      <c r="O2" s="349"/>
      <c r="R2" s="40"/>
      <c r="S2" s="40"/>
      <c r="T2" s="40"/>
      <c r="U2" s="40"/>
      <c r="V2" s="40"/>
      <c r="W2" s="40"/>
      <c r="X2" s="40"/>
      <c r="Y2" s="40"/>
    </row>
    <row r="3" spans="1:25" ht="13.2"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c r="P3" s="43"/>
      <c r="Q3" s="43"/>
      <c r="R3" s="40"/>
      <c r="S3" s="40"/>
      <c r="T3" s="40"/>
      <c r="U3" s="40"/>
      <c r="V3" s="40"/>
      <c r="W3" s="40"/>
      <c r="X3" s="40"/>
      <c r="Y3" s="40"/>
    </row>
    <row r="4" spans="1:25" ht="13.2" x14ac:dyDescent="0.25">
      <c r="A4" s="82"/>
      <c r="B4" s="44" t="s">
        <v>194</v>
      </c>
      <c r="C4" s="45">
        <f>'3.1. My Income Tax Calculation'!$P$2/12</f>
        <v>17460000</v>
      </c>
      <c r="D4" s="45">
        <f>'3.1. My Income Tax Calculation'!$P$2/12</f>
        <v>17460000</v>
      </c>
      <c r="E4" s="45">
        <f>'3.1. My Income Tax Calculation'!$P$2/12</f>
        <v>17460000</v>
      </c>
      <c r="F4" s="45">
        <f>'3.1. My Income Tax Calculation'!$P$2/12</f>
        <v>17460000</v>
      </c>
      <c r="G4" s="45">
        <f>'3.1. My Income Tax Calculation'!$P$2/12</f>
        <v>17460000</v>
      </c>
      <c r="H4" s="45">
        <f>'3.1. My Income Tax Calculation'!$P$2/12</f>
        <v>17460000</v>
      </c>
      <c r="I4" s="45">
        <f>'3.1. My Income Tax Calculation'!$P$2/12</f>
        <v>17460000</v>
      </c>
      <c r="J4" s="45">
        <f>'3.1. My Income Tax Calculation'!$P$2/12</f>
        <v>17460000</v>
      </c>
      <c r="K4" s="45">
        <f>'3.1. My Income Tax Calculation'!$P$2/12</f>
        <v>17460000</v>
      </c>
      <c r="L4" s="45">
        <f>'3.1. My Income Tax Calculation'!$P$2/12</f>
        <v>17460000</v>
      </c>
      <c r="M4" s="45">
        <f>'3.1. My Income Tax Calculation'!$P$2/12</f>
        <v>17460000</v>
      </c>
      <c r="N4" s="45">
        <f>'3.1. My Income Tax Calculation'!$P$2/12</f>
        <v>17460000</v>
      </c>
      <c r="O4" s="45" t="s">
        <v>173</v>
      </c>
      <c r="P4" s="43"/>
      <c r="Q4" s="43"/>
      <c r="R4" s="40"/>
      <c r="S4" s="40"/>
      <c r="T4" s="40"/>
      <c r="U4" s="40"/>
      <c r="V4" s="40"/>
      <c r="W4" s="40"/>
      <c r="X4" s="40"/>
      <c r="Y4" s="40"/>
    </row>
    <row r="5" spans="1:25" ht="13.2" x14ac:dyDescent="0.25">
      <c r="A5" s="82"/>
      <c r="B5" s="46" t="s">
        <v>209</v>
      </c>
      <c r="C5" s="47">
        <f>C4</f>
        <v>17460000</v>
      </c>
      <c r="D5" s="47">
        <f t="shared" ref="D5:N5" si="0">D4</f>
        <v>17460000</v>
      </c>
      <c r="E5" s="47">
        <f t="shared" si="0"/>
        <v>17460000</v>
      </c>
      <c r="F5" s="47">
        <f t="shared" si="0"/>
        <v>17460000</v>
      </c>
      <c r="G5" s="47">
        <f t="shared" si="0"/>
        <v>17460000</v>
      </c>
      <c r="H5" s="47">
        <f t="shared" si="0"/>
        <v>17460000</v>
      </c>
      <c r="I5" s="47">
        <f t="shared" si="0"/>
        <v>17460000</v>
      </c>
      <c r="J5" s="47">
        <f t="shared" si="0"/>
        <v>17460000</v>
      </c>
      <c r="K5" s="47">
        <f t="shared" si="0"/>
        <v>17460000</v>
      </c>
      <c r="L5" s="47">
        <f t="shared" si="0"/>
        <v>17460000</v>
      </c>
      <c r="M5" s="47">
        <f t="shared" si="0"/>
        <v>17460000</v>
      </c>
      <c r="N5" s="47">
        <f t="shared" si="0"/>
        <v>17460000</v>
      </c>
      <c r="O5" s="47">
        <f>SUM(C5:N5)</f>
        <v>209520000</v>
      </c>
      <c r="P5" s="43"/>
      <c r="Q5" s="43"/>
      <c r="R5" s="40"/>
      <c r="S5" s="40"/>
      <c r="T5" s="40"/>
      <c r="U5" s="40"/>
      <c r="V5" s="40"/>
      <c r="W5" s="40"/>
      <c r="X5" s="40"/>
      <c r="Y5" s="40"/>
    </row>
    <row r="6" spans="1:25" ht="13.2" x14ac:dyDescent="0.25">
      <c r="A6" s="82"/>
      <c r="B6" s="52" t="s">
        <v>78</v>
      </c>
      <c r="C6" s="53" t="s">
        <v>173</v>
      </c>
      <c r="D6" s="53" t="s">
        <v>173</v>
      </c>
      <c r="E6" s="53" t="s">
        <v>173</v>
      </c>
      <c r="F6" s="53" t="s">
        <v>173</v>
      </c>
      <c r="G6" s="53" t="s">
        <v>173</v>
      </c>
      <c r="H6" s="53" t="s">
        <v>173</v>
      </c>
      <c r="I6" s="53" t="s">
        <v>173</v>
      </c>
      <c r="J6" s="53" t="s">
        <v>173</v>
      </c>
      <c r="K6" s="53" t="s">
        <v>173</v>
      </c>
      <c r="L6" s="53" t="s">
        <v>173</v>
      </c>
      <c r="M6" s="53" t="s">
        <v>173</v>
      </c>
      <c r="N6" s="53" t="s">
        <v>173</v>
      </c>
      <c r="O6" s="91" t="s">
        <v>173</v>
      </c>
      <c r="P6" s="43"/>
      <c r="Q6" s="43"/>
      <c r="R6" s="40"/>
      <c r="S6" s="40"/>
      <c r="T6" s="40"/>
      <c r="U6" s="40"/>
      <c r="V6" s="40"/>
      <c r="W6" s="40"/>
      <c r="X6" s="40"/>
      <c r="Y6" s="40"/>
    </row>
    <row r="7" spans="1:25" ht="13.2" x14ac:dyDescent="0.25">
      <c r="A7" s="82"/>
      <c r="B7" s="48" t="s">
        <v>79</v>
      </c>
      <c r="C7" s="54" t="s">
        <v>173</v>
      </c>
      <c r="D7" s="54" t="s">
        <v>173</v>
      </c>
      <c r="E7" s="54" t="s">
        <v>173</v>
      </c>
      <c r="F7" s="54" t="s">
        <v>173</v>
      </c>
      <c r="G7" s="54" t="s">
        <v>173</v>
      </c>
      <c r="H7" s="54" t="s">
        <v>173</v>
      </c>
      <c r="I7" s="54" t="s">
        <v>173</v>
      </c>
      <c r="J7" s="54" t="s">
        <v>173</v>
      </c>
      <c r="K7" s="54" t="s">
        <v>173</v>
      </c>
      <c r="L7" s="54" t="s">
        <v>173</v>
      </c>
      <c r="M7" s="54" t="s">
        <v>173</v>
      </c>
      <c r="N7" s="54" t="s">
        <v>173</v>
      </c>
      <c r="O7" s="91" t="s">
        <v>173</v>
      </c>
      <c r="P7" s="43"/>
      <c r="Q7" s="43"/>
      <c r="R7" s="40"/>
      <c r="S7" s="40"/>
      <c r="T7" s="40"/>
      <c r="U7" s="40"/>
      <c r="V7" s="40"/>
      <c r="W7" s="40"/>
      <c r="X7" s="40"/>
      <c r="Y7" s="40"/>
    </row>
    <row r="8" spans="1:25" ht="13.2" x14ac:dyDescent="0.25">
      <c r="A8" s="83" t="s">
        <v>146</v>
      </c>
      <c r="B8" s="49" t="s">
        <v>195</v>
      </c>
      <c r="C8" s="50">
        <v>66000</v>
      </c>
      <c r="D8" s="50">
        <v>0</v>
      </c>
      <c r="E8" s="50">
        <v>0</v>
      </c>
      <c r="F8" s="50">
        <v>0</v>
      </c>
      <c r="G8" s="50">
        <v>0</v>
      </c>
      <c r="H8" s="50">
        <v>0</v>
      </c>
      <c r="I8" s="50">
        <v>0</v>
      </c>
      <c r="J8" s="50">
        <v>0</v>
      </c>
      <c r="K8" s="50">
        <v>0</v>
      </c>
      <c r="L8" s="50">
        <v>0</v>
      </c>
      <c r="M8" s="50">
        <v>0</v>
      </c>
      <c r="N8" s="50">
        <v>0</v>
      </c>
      <c r="O8" s="90">
        <f t="shared" ref="O8:O23" si="1">SUM(C8:N8)</f>
        <v>66000</v>
      </c>
      <c r="P8" s="43"/>
      <c r="Q8" s="43"/>
      <c r="R8" s="40"/>
      <c r="S8" s="40"/>
      <c r="T8" s="40"/>
      <c r="U8" s="40"/>
      <c r="V8" s="40"/>
      <c r="W8" s="40"/>
      <c r="X8" s="40"/>
      <c r="Y8" s="40"/>
    </row>
    <row r="9" spans="1:25" ht="13.2" x14ac:dyDescent="0.25">
      <c r="A9" s="82"/>
      <c r="B9" s="49" t="s">
        <v>202</v>
      </c>
      <c r="C9" s="50">
        <v>2500000</v>
      </c>
      <c r="D9" s="50">
        <v>2500000</v>
      </c>
      <c r="E9" s="50">
        <v>2500000</v>
      </c>
      <c r="F9" s="50">
        <v>2500000</v>
      </c>
      <c r="G9" s="50">
        <v>2500000</v>
      </c>
      <c r="H9" s="50">
        <v>2500000</v>
      </c>
      <c r="I9" s="50">
        <v>2500000</v>
      </c>
      <c r="J9" s="50">
        <v>2500000</v>
      </c>
      <c r="K9" s="50">
        <v>2500000</v>
      </c>
      <c r="L9" s="50">
        <v>2500000</v>
      </c>
      <c r="M9" s="50">
        <v>2500000</v>
      </c>
      <c r="N9" s="50">
        <v>2500000</v>
      </c>
      <c r="O9" s="90">
        <f t="shared" si="1"/>
        <v>30000000</v>
      </c>
      <c r="P9" s="43"/>
      <c r="Q9" s="43"/>
      <c r="R9" s="40"/>
      <c r="S9" s="40"/>
      <c r="T9" s="40"/>
      <c r="U9" s="40"/>
      <c r="V9" s="40"/>
      <c r="W9" s="40"/>
      <c r="X9" s="40"/>
      <c r="Y9" s="40"/>
    </row>
    <row r="10" spans="1:25" ht="13.2" x14ac:dyDescent="0.25">
      <c r="A10" s="82"/>
      <c r="B10" s="51" t="s">
        <v>178</v>
      </c>
      <c r="C10" s="50">
        <v>500000</v>
      </c>
      <c r="D10" s="50">
        <v>500000</v>
      </c>
      <c r="E10" s="50">
        <v>500000</v>
      </c>
      <c r="F10" s="50">
        <v>500000</v>
      </c>
      <c r="G10" s="50">
        <v>500000</v>
      </c>
      <c r="H10" s="50">
        <v>500000</v>
      </c>
      <c r="I10" s="50">
        <v>500000</v>
      </c>
      <c r="J10" s="50">
        <v>500000</v>
      </c>
      <c r="K10" s="50">
        <v>500000</v>
      </c>
      <c r="L10" s="50">
        <v>500000</v>
      </c>
      <c r="M10" s="50">
        <v>500000</v>
      </c>
      <c r="N10" s="50">
        <v>500000</v>
      </c>
      <c r="O10" s="90">
        <f t="shared" si="1"/>
        <v>6000000</v>
      </c>
      <c r="P10" s="43"/>
      <c r="Q10" s="43"/>
      <c r="R10" s="40"/>
      <c r="S10" s="40"/>
      <c r="T10" s="40"/>
      <c r="U10" s="40"/>
      <c r="V10" s="40"/>
      <c r="W10" s="40"/>
      <c r="X10" s="40"/>
      <c r="Y10" s="40"/>
    </row>
    <row r="11" spans="1:25" ht="13.2" x14ac:dyDescent="0.25">
      <c r="A11" s="84"/>
      <c r="B11" s="51" t="s">
        <v>179</v>
      </c>
      <c r="C11" s="50">
        <v>60000</v>
      </c>
      <c r="D11" s="50">
        <v>60000</v>
      </c>
      <c r="E11" s="50">
        <v>60000</v>
      </c>
      <c r="F11" s="50">
        <v>60000</v>
      </c>
      <c r="G11" s="50">
        <v>60000</v>
      </c>
      <c r="H11" s="50">
        <v>60000</v>
      </c>
      <c r="I11" s="50">
        <v>60000</v>
      </c>
      <c r="J11" s="50">
        <v>60000</v>
      </c>
      <c r="K11" s="50">
        <v>60000</v>
      </c>
      <c r="L11" s="50">
        <v>60000</v>
      </c>
      <c r="M11" s="50">
        <v>60000</v>
      </c>
      <c r="N11" s="50">
        <v>60000</v>
      </c>
      <c r="O11" s="90">
        <f t="shared" si="1"/>
        <v>720000</v>
      </c>
      <c r="P11" s="43"/>
      <c r="Q11" s="43"/>
      <c r="R11" s="40"/>
      <c r="S11" s="40"/>
      <c r="T11" s="40"/>
      <c r="U11" s="40"/>
      <c r="V11" s="40"/>
      <c r="W11" s="40"/>
      <c r="X11" s="40"/>
      <c r="Y11" s="40"/>
    </row>
    <row r="12" spans="1:25" ht="13.2" x14ac:dyDescent="0.25">
      <c r="A12" s="82"/>
      <c r="B12" s="46" t="s">
        <v>207</v>
      </c>
      <c r="C12" s="47">
        <f>SUM(C8:C11)</f>
        <v>3126000</v>
      </c>
      <c r="D12" s="47">
        <f t="shared" ref="D12:N12" si="2">SUM(D8:D11)</f>
        <v>3060000</v>
      </c>
      <c r="E12" s="47">
        <f t="shared" si="2"/>
        <v>3060000</v>
      </c>
      <c r="F12" s="47">
        <f t="shared" si="2"/>
        <v>3060000</v>
      </c>
      <c r="G12" s="47">
        <f t="shared" si="2"/>
        <v>3060000</v>
      </c>
      <c r="H12" s="47">
        <f t="shared" si="2"/>
        <v>3060000</v>
      </c>
      <c r="I12" s="47">
        <f t="shared" si="2"/>
        <v>3060000</v>
      </c>
      <c r="J12" s="47">
        <f t="shared" si="2"/>
        <v>3060000</v>
      </c>
      <c r="K12" s="47">
        <f t="shared" si="2"/>
        <v>3060000</v>
      </c>
      <c r="L12" s="47">
        <f t="shared" si="2"/>
        <v>3060000</v>
      </c>
      <c r="M12" s="47">
        <f t="shared" si="2"/>
        <v>3060000</v>
      </c>
      <c r="N12" s="47">
        <f t="shared" si="2"/>
        <v>3060000</v>
      </c>
      <c r="O12" s="47">
        <f t="shared" si="1"/>
        <v>36786000</v>
      </c>
      <c r="P12" s="43"/>
      <c r="Q12" s="43"/>
      <c r="R12" s="40"/>
      <c r="S12" s="40"/>
      <c r="T12" s="40"/>
      <c r="U12" s="40"/>
      <c r="V12" s="40"/>
      <c r="W12" s="40"/>
      <c r="X12" s="40"/>
      <c r="Y12" s="40"/>
    </row>
    <row r="13" spans="1:25" ht="13.2"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c r="P13" s="43"/>
      <c r="Q13" s="43"/>
      <c r="R13" s="40"/>
      <c r="S13" s="40"/>
      <c r="T13" s="40"/>
      <c r="U13" s="40"/>
      <c r="V13" s="40"/>
      <c r="W13" s="40"/>
      <c r="X13" s="40"/>
      <c r="Y13" s="40"/>
    </row>
    <row r="14" spans="1:25" ht="13.2" x14ac:dyDescent="0.25">
      <c r="A14" s="82" t="s">
        <v>211</v>
      </c>
      <c r="B14" s="57" t="s">
        <v>210</v>
      </c>
      <c r="C14" s="56">
        <v>331000</v>
      </c>
      <c r="D14" s="56">
        <v>399000</v>
      </c>
      <c r="E14" s="56">
        <v>368000</v>
      </c>
      <c r="F14" s="56">
        <v>344000</v>
      </c>
      <c r="G14" s="56">
        <v>316000</v>
      </c>
      <c r="H14" s="56">
        <v>396000</v>
      </c>
      <c r="I14" s="56">
        <v>462000</v>
      </c>
      <c r="J14" s="56">
        <v>443000</v>
      </c>
      <c r="K14" s="56">
        <v>342000</v>
      </c>
      <c r="L14" s="56">
        <v>351000</v>
      </c>
      <c r="M14" s="56">
        <v>334000</v>
      </c>
      <c r="N14" s="56">
        <v>361000</v>
      </c>
      <c r="O14" s="92">
        <f t="shared" si="1"/>
        <v>4447000</v>
      </c>
      <c r="P14" s="43"/>
      <c r="Q14" s="43"/>
      <c r="R14" s="40"/>
      <c r="S14" s="40"/>
      <c r="T14" s="40"/>
      <c r="U14" s="40"/>
      <c r="V14" s="40"/>
      <c r="W14" s="40"/>
      <c r="X14" s="40"/>
      <c r="Y14" s="40"/>
    </row>
    <row r="15" spans="1:25" ht="13.2" x14ac:dyDescent="0.25">
      <c r="A15" s="82" t="s">
        <v>212</v>
      </c>
      <c r="B15" s="57" t="s">
        <v>203</v>
      </c>
      <c r="C15" s="56">
        <v>1195000</v>
      </c>
      <c r="D15" s="56">
        <v>1287000</v>
      </c>
      <c r="E15" s="56">
        <v>1443000</v>
      </c>
      <c r="F15" s="56">
        <v>1094000</v>
      </c>
      <c r="G15" s="56">
        <v>1456000</v>
      </c>
      <c r="H15" s="56">
        <v>1372000</v>
      </c>
      <c r="I15" s="56">
        <v>1259000</v>
      </c>
      <c r="J15" s="56">
        <v>1497000</v>
      </c>
      <c r="K15" s="56">
        <v>1463000</v>
      </c>
      <c r="L15" s="56">
        <v>1463000</v>
      </c>
      <c r="M15" s="56">
        <v>1137000</v>
      </c>
      <c r="N15" s="56">
        <v>1402000</v>
      </c>
      <c r="O15" s="92">
        <f t="shared" si="1"/>
        <v>16068000</v>
      </c>
      <c r="P15" s="43"/>
      <c r="Q15" s="43"/>
      <c r="R15" s="40"/>
      <c r="S15" s="40"/>
      <c r="T15" s="40"/>
      <c r="U15" s="40"/>
      <c r="V15" s="40"/>
      <c r="W15" s="40"/>
      <c r="X15" s="40"/>
      <c r="Y15" s="40"/>
    </row>
    <row r="16" spans="1:25" ht="13.2" x14ac:dyDescent="0.25">
      <c r="A16" s="82" t="s">
        <v>205</v>
      </c>
      <c r="B16" s="58" t="s">
        <v>84</v>
      </c>
      <c r="C16" s="56">
        <v>1057000</v>
      </c>
      <c r="D16" s="56">
        <v>1154000</v>
      </c>
      <c r="E16" s="56">
        <v>1158000</v>
      </c>
      <c r="F16" s="56">
        <v>1196000</v>
      </c>
      <c r="G16" s="56">
        <v>1415000</v>
      </c>
      <c r="H16" s="56">
        <v>1224000</v>
      </c>
      <c r="I16" s="56">
        <v>1271000</v>
      </c>
      <c r="J16" s="56">
        <v>1463000</v>
      </c>
      <c r="K16" s="56">
        <v>1339000</v>
      </c>
      <c r="L16" s="56">
        <v>1337000</v>
      </c>
      <c r="M16" s="56">
        <v>1431000</v>
      </c>
      <c r="N16" s="56">
        <v>1149000</v>
      </c>
      <c r="O16" s="92">
        <f t="shared" si="1"/>
        <v>15194000</v>
      </c>
      <c r="P16" s="43"/>
      <c r="Q16" s="43"/>
      <c r="R16" s="40"/>
      <c r="S16" s="40"/>
      <c r="T16" s="40"/>
      <c r="U16" s="40"/>
      <c r="V16" s="40"/>
      <c r="W16" s="40"/>
      <c r="X16" s="40"/>
      <c r="Y16" s="40"/>
    </row>
    <row r="17" spans="1:25" ht="13.2" x14ac:dyDescent="0.25">
      <c r="A17" s="82" t="s">
        <v>205</v>
      </c>
      <c r="B17" s="57" t="s">
        <v>85</v>
      </c>
      <c r="C17" s="56">
        <v>1228000</v>
      </c>
      <c r="D17" s="56">
        <v>1051000</v>
      </c>
      <c r="E17" s="56">
        <v>1088000</v>
      </c>
      <c r="F17" s="56">
        <v>1105000</v>
      </c>
      <c r="G17" s="56">
        <v>1486000</v>
      </c>
      <c r="H17" s="56">
        <v>1091000</v>
      </c>
      <c r="I17" s="56">
        <v>1266000</v>
      </c>
      <c r="J17" s="56">
        <v>1002000</v>
      </c>
      <c r="K17" s="56">
        <v>1303000</v>
      </c>
      <c r="L17" s="56">
        <v>1035000</v>
      </c>
      <c r="M17" s="56">
        <v>1318000</v>
      </c>
      <c r="N17" s="56">
        <v>1255000</v>
      </c>
      <c r="O17" s="92">
        <f t="shared" si="1"/>
        <v>14228000</v>
      </c>
      <c r="P17" s="43"/>
      <c r="Q17" s="43"/>
      <c r="R17" s="40"/>
      <c r="S17" s="40"/>
      <c r="T17" s="40"/>
      <c r="U17" s="40"/>
      <c r="V17" s="40"/>
      <c r="W17" s="40"/>
      <c r="X17" s="40"/>
      <c r="Y17" s="40"/>
    </row>
    <row r="18" spans="1:25" ht="13.2" x14ac:dyDescent="0.25">
      <c r="A18" s="84" t="s">
        <v>212</v>
      </c>
      <c r="B18" s="58" t="s">
        <v>180</v>
      </c>
      <c r="C18" s="56">
        <v>1452000</v>
      </c>
      <c r="D18" s="56">
        <v>1433000</v>
      </c>
      <c r="E18" s="56">
        <v>1191000</v>
      </c>
      <c r="F18" s="56">
        <v>1315000</v>
      </c>
      <c r="G18" s="56">
        <v>1037000</v>
      </c>
      <c r="H18" s="56">
        <v>1153000</v>
      </c>
      <c r="I18" s="56">
        <v>1193000</v>
      </c>
      <c r="J18" s="56">
        <v>1414000</v>
      </c>
      <c r="K18" s="56">
        <v>1107000</v>
      </c>
      <c r="L18" s="56">
        <v>1185000</v>
      </c>
      <c r="M18" s="56">
        <v>1187000</v>
      </c>
      <c r="N18" s="56">
        <v>1157000</v>
      </c>
      <c r="O18" s="92">
        <f t="shared" si="1"/>
        <v>14824000</v>
      </c>
      <c r="P18" s="43"/>
      <c r="Q18" s="43"/>
      <c r="R18" s="40"/>
      <c r="S18" s="40"/>
      <c r="T18" s="40"/>
      <c r="U18" s="40"/>
      <c r="V18" s="40"/>
      <c r="W18" s="40"/>
      <c r="X18" s="40"/>
      <c r="Y18" s="40"/>
    </row>
    <row r="19" spans="1:25" ht="13.2" x14ac:dyDescent="0.25">
      <c r="A19" s="84" t="s">
        <v>212</v>
      </c>
      <c r="B19" s="58" t="s">
        <v>86</v>
      </c>
      <c r="C19" s="56">
        <v>1057000</v>
      </c>
      <c r="D19" s="56">
        <v>1045000</v>
      </c>
      <c r="E19" s="56">
        <v>1014000</v>
      </c>
      <c r="F19" s="56">
        <v>1323000</v>
      </c>
      <c r="G19" s="56">
        <v>1231000</v>
      </c>
      <c r="H19" s="56">
        <v>1025000</v>
      </c>
      <c r="I19" s="56">
        <v>1390000</v>
      </c>
      <c r="J19" s="56">
        <v>1334000</v>
      </c>
      <c r="K19" s="56">
        <v>1074000</v>
      </c>
      <c r="L19" s="56">
        <v>1111000</v>
      </c>
      <c r="M19" s="56">
        <v>1351000</v>
      </c>
      <c r="N19" s="56">
        <v>1422000</v>
      </c>
      <c r="O19" s="92">
        <f t="shared" si="1"/>
        <v>14377000</v>
      </c>
      <c r="P19" s="43"/>
      <c r="Q19" s="43"/>
      <c r="R19" s="40"/>
      <c r="S19" s="40"/>
      <c r="T19" s="40"/>
      <c r="U19" s="40"/>
      <c r="V19" s="40"/>
      <c r="W19" s="40"/>
      <c r="X19" s="40"/>
      <c r="Y19" s="40"/>
    </row>
    <row r="20" spans="1:25" ht="13.2" x14ac:dyDescent="0.25">
      <c r="A20" s="82"/>
      <c r="B20" s="46" t="s">
        <v>208</v>
      </c>
      <c r="C20" s="47">
        <f t="shared" ref="C20:N20" si="3">SUM(C14:C19)</f>
        <v>6320000</v>
      </c>
      <c r="D20" s="47">
        <f t="shared" si="3"/>
        <v>6369000</v>
      </c>
      <c r="E20" s="47">
        <f t="shared" si="3"/>
        <v>6262000</v>
      </c>
      <c r="F20" s="47">
        <f t="shared" si="3"/>
        <v>6377000</v>
      </c>
      <c r="G20" s="47">
        <f t="shared" si="3"/>
        <v>6941000</v>
      </c>
      <c r="H20" s="47">
        <f t="shared" si="3"/>
        <v>6261000</v>
      </c>
      <c r="I20" s="47">
        <f t="shared" si="3"/>
        <v>6841000</v>
      </c>
      <c r="J20" s="47">
        <f t="shared" si="3"/>
        <v>7153000</v>
      </c>
      <c r="K20" s="47">
        <f t="shared" si="3"/>
        <v>6628000</v>
      </c>
      <c r="L20" s="47">
        <f t="shared" si="3"/>
        <v>6482000</v>
      </c>
      <c r="M20" s="47">
        <f t="shared" si="3"/>
        <v>6758000</v>
      </c>
      <c r="N20" s="47">
        <f t="shared" si="3"/>
        <v>6746000</v>
      </c>
      <c r="O20" s="47">
        <f t="shared" si="1"/>
        <v>79138000</v>
      </c>
      <c r="P20" s="43"/>
      <c r="Q20" s="43"/>
      <c r="R20" s="40"/>
      <c r="S20" s="40"/>
      <c r="T20" s="40"/>
      <c r="U20" s="40"/>
      <c r="V20" s="40"/>
      <c r="W20" s="40"/>
      <c r="X20" s="40"/>
      <c r="Y20" s="40"/>
    </row>
    <row r="21" spans="1:25" ht="13.2" x14ac:dyDescent="0.25">
      <c r="A21" s="82"/>
      <c r="B21" s="60" t="s">
        <v>87</v>
      </c>
      <c r="C21" s="47">
        <f t="shared" ref="C21:N21" si="4">C12+C20</f>
        <v>9446000</v>
      </c>
      <c r="D21" s="47">
        <f t="shared" si="4"/>
        <v>9429000</v>
      </c>
      <c r="E21" s="47">
        <f t="shared" si="4"/>
        <v>9322000</v>
      </c>
      <c r="F21" s="47">
        <f t="shared" si="4"/>
        <v>9437000</v>
      </c>
      <c r="G21" s="47">
        <f t="shared" si="4"/>
        <v>10001000</v>
      </c>
      <c r="H21" s="47">
        <f t="shared" si="4"/>
        <v>9321000</v>
      </c>
      <c r="I21" s="47">
        <f t="shared" si="4"/>
        <v>9901000</v>
      </c>
      <c r="J21" s="47">
        <f t="shared" si="4"/>
        <v>10213000</v>
      </c>
      <c r="K21" s="47">
        <f t="shared" si="4"/>
        <v>9688000</v>
      </c>
      <c r="L21" s="47">
        <f t="shared" si="4"/>
        <v>9542000</v>
      </c>
      <c r="M21" s="47">
        <f t="shared" si="4"/>
        <v>9818000</v>
      </c>
      <c r="N21" s="47">
        <f t="shared" si="4"/>
        <v>9806000</v>
      </c>
      <c r="O21" s="47">
        <f t="shared" si="1"/>
        <v>115924000</v>
      </c>
      <c r="P21" s="43"/>
      <c r="Q21" s="43"/>
      <c r="R21" s="40"/>
      <c r="S21" s="40"/>
      <c r="T21" s="40"/>
      <c r="U21" s="40"/>
      <c r="V21" s="40"/>
      <c r="W21" s="40"/>
      <c r="X21" s="40"/>
      <c r="Y21" s="40"/>
    </row>
    <row r="22" spans="1:25" ht="13.2" x14ac:dyDescent="0.25">
      <c r="A22" s="82"/>
      <c r="B22" s="108" t="s">
        <v>204</v>
      </c>
      <c r="C22" s="109">
        <f>$O21*(3/12)/12</f>
        <v>2415083.3333333335</v>
      </c>
      <c r="D22" s="109">
        <f t="shared" ref="D22:N22" si="5">$O21*(3/12)/12</f>
        <v>2415083.3333333335</v>
      </c>
      <c r="E22" s="109">
        <f t="shared" si="5"/>
        <v>2415083.3333333335</v>
      </c>
      <c r="F22" s="109">
        <f t="shared" si="5"/>
        <v>2415083.3333333335</v>
      </c>
      <c r="G22" s="109">
        <f t="shared" si="5"/>
        <v>2415083.3333333335</v>
      </c>
      <c r="H22" s="109">
        <f t="shared" si="5"/>
        <v>2415083.3333333335</v>
      </c>
      <c r="I22" s="109">
        <f t="shared" si="5"/>
        <v>2415083.3333333335</v>
      </c>
      <c r="J22" s="109">
        <f t="shared" si="5"/>
        <v>2415083.3333333335</v>
      </c>
      <c r="K22" s="109">
        <f t="shared" si="5"/>
        <v>2415083.3333333335</v>
      </c>
      <c r="L22" s="109">
        <f t="shared" si="5"/>
        <v>2415083.3333333335</v>
      </c>
      <c r="M22" s="109">
        <f t="shared" si="5"/>
        <v>2415083.3333333335</v>
      </c>
      <c r="N22" s="109">
        <f t="shared" si="5"/>
        <v>2415083.3333333335</v>
      </c>
      <c r="O22" s="109">
        <f t="shared" si="1"/>
        <v>28980999.999999996</v>
      </c>
      <c r="P22" s="43"/>
      <c r="Q22" s="43"/>
      <c r="R22" s="40"/>
      <c r="S22" s="40"/>
      <c r="T22" s="40"/>
      <c r="U22" s="40"/>
      <c r="V22" s="40"/>
      <c r="W22" s="40"/>
      <c r="X22" s="40"/>
      <c r="Y22" s="40"/>
    </row>
    <row r="23" spans="1:25" ht="13.2" x14ac:dyDescent="0.25">
      <c r="A23" s="82"/>
      <c r="B23" s="60" t="s">
        <v>206</v>
      </c>
      <c r="C23" s="61">
        <f t="shared" ref="C23:N23" si="6">C5-C21-C22</f>
        <v>5598916.666666666</v>
      </c>
      <c r="D23" s="61">
        <f t="shared" si="6"/>
        <v>5615916.666666666</v>
      </c>
      <c r="E23" s="61">
        <f t="shared" si="6"/>
        <v>5722916.666666666</v>
      </c>
      <c r="F23" s="61">
        <f t="shared" si="6"/>
        <v>5607916.666666666</v>
      </c>
      <c r="G23" s="61">
        <f t="shared" si="6"/>
        <v>5043916.666666666</v>
      </c>
      <c r="H23" s="61">
        <f t="shared" si="6"/>
        <v>5723916.666666666</v>
      </c>
      <c r="I23" s="61">
        <f t="shared" si="6"/>
        <v>5143916.666666666</v>
      </c>
      <c r="J23" s="61">
        <f t="shared" si="6"/>
        <v>4831916.666666666</v>
      </c>
      <c r="K23" s="61">
        <f t="shared" si="6"/>
        <v>5356916.666666666</v>
      </c>
      <c r="L23" s="61">
        <f t="shared" si="6"/>
        <v>5502916.666666666</v>
      </c>
      <c r="M23" s="61">
        <f t="shared" si="6"/>
        <v>5226916.666666666</v>
      </c>
      <c r="N23" s="61">
        <f t="shared" si="6"/>
        <v>5238916.666666666</v>
      </c>
      <c r="O23" s="47">
        <f t="shared" si="1"/>
        <v>64614999.999999978</v>
      </c>
      <c r="P23" s="43"/>
      <c r="Q23" s="43"/>
      <c r="R23" s="40"/>
      <c r="S23" s="40"/>
      <c r="T23" s="40"/>
      <c r="U23" s="40"/>
      <c r="V23" s="40"/>
      <c r="W23" s="40"/>
      <c r="X23" s="40"/>
      <c r="Y23" s="40"/>
    </row>
    <row r="24" spans="1:25" ht="13.2" x14ac:dyDescent="0.25">
      <c r="A24" s="85"/>
      <c r="B24" s="40"/>
      <c r="C24" s="40"/>
      <c r="D24" s="40"/>
      <c r="E24" s="40"/>
      <c r="F24" s="40"/>
      <c r="G24" s="40"/>
      <c r="H24" s="40"/>
      <c r="I24" s="40"/>
      <c r="J24" s="40"/>
      <c r="K24" s="40"/>
      <c r="L24" s="353" t="s">
        <v>217</v>
      </c>
      <c r="M24" s="354"/>
      <c r="N24" s="350">
        <f>SUM(C23:N23)</f>
        <v>64614999.999999978</v>
      </c>
      <c r="O24" s="40"/>
      <c r="P24" s="40"/>
      <c r="Q24" s="40"/>
      <c r="R24" s="40"/>
      <c r="S24" s="40"/>
      <c r="T24" s="40"/>
      <c r="U24" s="40"/>
      <c r="V24" s="40"/>
      <c r="W24" s="40"/>
      <c r="X24" s="40"/>
      <c r="Y24" s="40"/>
    </row>
    <row r="25" spans="1:25" ht="13.2" x14ac:dyDescent="0.25">
      <c r="A25" s="85"/>
      <c r="B25" s="40"/>
      <c r="C25" s="40"/>
      <c r="D25" s="40"/>
      <c r="E25" s="40"/>
      <c r="F25" s="40"/>
      <c r="G25" s="40"/>
      <c r="H25" s="40"/>
      <c r="I25" s="40"/>
      <c r="J25" s="40"/>
      <c r="K25" s="40"/>
      <c r="L25" s="320"/>
      <c r="M25" s="355"/>
      <c r="N25" s="351"/>
      <c r="O25" s="40"/>
      <c r="P25" s="40"/>
      <c r="Q25" s="40"/>
      <c r="R25" s="40"/>
      <c r="S25" s="40"/>
      <c r="T25" s="40"/>
      <c r="U25" s="40"/>
      <c r="V25" s="40"/>
      <c r="W25" s="40"/>
      <c r="X25" s="40"/>
      <c r="Y25" s="40"/>
    </row>
    <row r="26" spans="1:25" ht="13.2" x14ac:dyDescent="0.25">
      <c r="A26" s="85"/>
      <c r="B26" s="319" t="s">
        <v>632</v>
      </c>
      <c r="C26" s="352" t="s">
        <v>228</v>
      </c>
      <c r="D26" s="352"/>
      <c r="E26" s="352"/>
      <c r="F26" s="352"/>
      <c r="G26" s="352"/>
      <c r="H26" s="352"/>
      <c r="I26" s="40"/>
      <c r="J26" s="40"/>
      <c r="K26" s="40"/>
      <c r="L26" s="40"/>
      <c r="M26" s="40"/>
      <c r="N26" s="40"/>
      <c r="O26" s="40"/>
      <c r="P26" s="40"/>
      <c r="Q26" s="40"/>
      <c r="R26" s="40"/>
      <c r="S26" s="40"/>
      <c r="T26" s="40"/>
      <c r="U26" s="40"/>
      <c r="V26" s="40"/>
      <c r="W26" s="40"/>
      <c r="X26" s="40"/>
      <c r="Y26" s="40"/>
    </row>
    <row r="27" spans="1:25" ht="13.2" x14ac:dyDescent="0.25">
      <c r="A27" s="85"/>
      <c r="B27" s="319"/>
      <c r="C27" s="352"/>
      <c r="D27" s="352"/>
      <c r="E27" s="352"/>
      <c r="F27" s="352"/>
      <c r="G27" s="352"/>
      <c r="H27" s="352"/>
      <c r="I27" s="40"/>
      <c r="J27" s="40"/>
      <c r="K27" s="40"/>
      <c r="L27" s="40"/>
      <c r="M27" s="40"/>
      <c r="N27" s="40"/>
      <c r="O27" s="40"/>
      <c r="P27" s="40"/>
      <c r="Q27" s="40"/>
      <c r="R27" s="40"/>
      <c r="S27" s="40"/>
      <c r="T27" s="40"/>
      <c r="U27" s="40"/>
      <c r="V27" s="40"/>
      <c r="W27" s="40"/>
      <c r="X27" s="40"/>
      <c r="Y27" s="40"/>
    </row>
    <row r="28" spans="1:25" ht="13.2" x14ac:dyDescent="0.25">
      <c r="A28" s="85"/>
      <c r="B28" s="319"/>
      <c r="C28" s="352"/>
      <c r="D28" s="352"/>
      <c r="E28" s="352"/>
      <c r="F28" s="352"/>
      <c r="G28" s="352"/>
      <c r="H28" s="352"/>
      <c r="I28" s="40"/>
      <c r="J28" s="40"/>
      <c r="K28" s="40"/>
      <c r="L28" s="40"/>
      <c r="M28" s="40"/>
      <c r="N28" s="40"/>
      <c r="O28" s="40"/>
      <c r="P28" s="40"/>
      <c r="Q28" s="40"/>
      <c r="R28" s="40"/>
      <c r="S28" s="40"/>
      <c r="T28" s="40"/>
      <c r="U28" s="40"/>
      <c r="V28" s="40"/>
      <c r="W28" s="40"/>
      <c r="X28" s="40"/>
      <c r="Y28" s="40"/>
    </row>
    <row r="29" spans="1:25" ht="13.2" x14ac:dyDescent="0.25">
      <c r="A29" s="85"/>
      <c r="C29" s="40"/>
      <c r="D29" s="40"/>
      <c r="E29" s="40"/>
      <c r="F29" s="40"/>
      <c r="G29" s="40"/>
      <c r="H29" s="40"/>
      <c r="I29" s="40"/>
      <c r="J29" s="40"/>
      <c r="K29" s="40"/>
      <c r="L29" s="40"/>
      <c r="M29" s="40"/>
      <c r="N29" s="40"/>
      <c r="O29" s="40"/>
      <c r="P29" s="40"/>
      <c r="Q29" s="40"/>
      <c r="R29" s="40"/>
      <c r="S29" s="40"/>
      <c r="T29" s="40"/>
      <c r="U29" s="40"/>
      <c r="V29" s="40"/>
      <c r="W29" s="40"/>
      <c r="X29" s="40"/>
      <c r="Y29" s="40"/>
    </row>
    <row r="30" spans="1:25" ht="13.2" x14ac:dyDescent="0.25">
      <c r="A30" s="85"/>
      <c r="B30" s="40"/>
      <c r="C30" s="40"/>
      <c r="D30" s="40"/>
      <c r="E30" s="40"/>
      <c r="F30" s="40"/>
      <c r="G30" s="40"/>
      <c r="H30" s="40"/>
      <c r="I30" s="40"/>
      <c r="J30" s="40"/>
      <c r="K30" s="40"/>
      <c r="L30" s="40"/>
      <c r="M30" s="40"/>
      <c r="N30" s="40"/>
      <c r="O30" s="40"/>
      <c r="P30" s="40"/>
      <c r="Q30" s="40"/>
      <c r="R30" s="40"/>
      <c r="S30" s="40"/>
      <c r="T30" s="40"/>
      <c r="U30" s="40"/>
      <c r="V30" s="40"/>
      <c r="W30" s="40"/>
      <c r="X30" s="40"/>
      <c r="Y30" s="40"/>
    </row>
    <row r="31" spans="1:25" ht="24.6" x14ac:dyDescent="0.25">
      <c r="A31" s="80"/>
      <c r="B31" s="348" t="s">
        <v>230</v>
      </c>
      <c r="C31" s="348"/>
      <c r="D31" s="348"/>
      <c r="E31" s="348"/>
      <c r="F31" s="348"/>
      <c r="G31" s="348"/>
      <c r="H31" s="348"/>
      <c r="I31" s="348"/>
      <c r="J31" s="348"/>
      <c r="K31" s="348"/>
      <c r="L31" s="348"/>
      <c r="M31" s="348"/>
      <c r="N31" s="348"/>
      <c r="O31" s="348"/>
      <c r="P31" s="40"/>
      <c r="Q31" s="40"/>
      <c r="R31" s="40"/>
      <c r="S31" s="40"/>
      <c r="T31" s="40"/>
      <c r="U31" s="40"/>
      <c r="V31" s="40"/>
      <c r="W31" s="40"/>
      <c r="X31" s="40"/>
      <c r="Y31" s="40"/>
    </row>
    <row r="32" spans="1:25" ht="24.6" x14ac:dyDescent="0.25">
      <c r="A32" s="81"/>
      <c r="B32" s="349"/>
      <c r="C32" s="349"/>
      <c r="D32" s="349"/>
      <c r="E32" s="349"/>
      <c r="F32" s="349"/>
      <c r="G32" s="349"/>
      <c r="H32" s="349"/>
      <c r="I32" s="349"/>
      <c r="J32" s="349"/>
      <c r="K32" s="349"/>
      <c r="L32" s="349"/>
      <c r="M32" s="349"/>
      <c r="N32" s="349"/>
      <c r="O32" s="349"/>
      <c r="P32" s="40"/>
      <c r="Q32" s="40"/>
      <c r="R32" s="40"/>
      <c r="S32" s="40"/>
      <c r="T32" s="40"/>
      <c r="U32" s="40"/>
      <c r="V32" s="40"/>
      <c r="W32" s="40"/>
      <c r="X32" s="40"/>
      <c r="Y32" s="40"/>
    </row>
    <row r="33" spans="1:25" ht="13.2" x14ac:dyDescent="0.25">
      <c r="A33" s="82"/>
      <c r="B33" s="41"/>
      <c r="C33" s="42" t="s">
        <v>66</v>
      </c>
      <c r="D33" s="42" t="s">
        <v>67</v>
      </c>
      <c r="E33" s="42" t="s">
        <v>68</v>
      </c>
      <c r="F33" s="42" t="s">
        <v>69</v>
      </c>
      <c r="G33" s="42" t="s">
        <v>70</v>
      </c>
      <c r="H33" s="42" t="s">
        <v>71</v>
      </c>
      <c r="I33" s="42" t="s">
        <v>72</v>
      </c>
      <c r="J33" s="42" t="s">
        <v>73</v>
      </c>
      <c r="K33" s="42" t="s">
        <v>74</v>
      </c>
      <c r="L33" s="42" t="s">
        <v>75</v>
      </c>
      <c r="M33" s="42" t="s">
        <v>76</v>
      </c>
      <c r="N33" s="42" t="s">
        <v>77</v>
      </c>
      <c r="O33" s="42" t="s">
        <v>236</v>
      </c>
      <c r="P33" s="40"/>
      <c r="Q33" s="40"/>
      <c r="R33" s="40"/>
      <c r="S33" s="40"/>
      <c r="T33" s="40"/>
      <c r="U33" s="40"/>
      <c r="V33" s="40"/>
      <c r="W33" s="40"/>
      <c r="X33" s="40"/>
      <c r="Y33" s="40"/>
    </row>
    <row r="34" spans="1:25" ht="13.2" x14ac:dyDescent="0.25">
      <c r="A34" s="82"/>
      <c r="B34" s="44" t="s">
        <v>194</v>
      </c>
      <c r="C34" s="45">
        <f>'3.1. My Income Tax Calculation'!$P$3/12</f>
        <v>22179500</v>
      </c>
      <c r="D34" s="45">
        <f>'3.1. My Income Tax Calculation'!$P$3/12</f>
        <v>22179500</v>
      </c>
      <c r="E34" s="45">
        <f>'3.1. My Income Tax Calculation'!$P$3/12</f>
        <v>22179500</v>
      </c>
      <c r="F34" s="45">
        <f>'3.1. My Income Tax Calculation'!$P$3/12</f>
        <v>22179500</v>
      </c>
      <c r="G34" s="45">
        <f>'3.1. My Income Tax Calculation'!$P$3/12</f>
        <v>22179500</v>
      </c>
      <c r="H34" s="45">
        <f>'3.1. My Income Tax Calculation'!$P$3/12</f>
        <v>22179500</v>
      </c>
      <c r="I34" s="45">
        <f>'3.1. My Income Tax Calculation'!$P$3/12</f>
        <v>22179500</v>
      </c>
      <c r="J34" s="45">
        <f>'3.1. My Income Tax Calculation'!$P$3/12</f>
        <v>22179500</v>
      </c>
      <c r="K34" s="45">
        <f>'3.1. My Income Tax Calculation'!$P$3/12</f>
        <v>22179500</v>
      </c>
      <c r="L34" s="45">
        <f>'3.1. My Income Tax Calculation'!$P$3/12</f>
        <v>22179500</v>
      </c>
      <c r="M34" s="45">
        <f>'3.1. My Income Tax Calculation'!$P$3/12</f>
        <v>22179500</v>
      </c>
      <c r="N34" s="45">
        <f>'3.1. My Income Tax Calculation'!$P$3/12</f>
        <v>22179500</v>
      </c>
      <c r="O34" s="45" t="s">
        <v>173</v>
      </c>
      <c r="P34" s="40"/>
      <c r="Q34" s="40"/>
      <c r="R34" s="40"/>
      <c r="S34" s="40"/>
      <c r="T34" s="40"/>
      <c r="U34" s="40"/>
      <c r="V34" s="40"/>
      <c r="W34" s="40"/>
      <c r="X34" s="40"/>
      <c r="Y34" s="40"/>
    </row>
    <row r="35" spans="1:25" ht="13.2" x14ac:dyDescent="0.25">
      <c r="A35" s="82"/>
      <c r="B35" s="46" t="s">
        <v>209</v>
      </c>
      <c r="C35" s="47">
        <f>C34</f>
        <v>22179500</v>
      </c>
      <c r="D35" s="47">
        <f t="shared" ref="D35:N35" si="7">D34</f>
        <v>22179500</v>
      </c>
      <c r="E35" s="47">
        <f t="shared" si="7"/>
        <v>22179500</v>
      </c>
      <c r="F35" s="47">
        <f t="shared" si="7"/>
        <v>22179500</v>
      </c>
      <c r="G35" s="47">
        <f t="shared" si="7"/>
        <v>22179500</v>
      </c>
      <c r="H35" s="47">
        <f t="shared" si="7"/>
        <v>22179500</v>
      </c>
      <c r="I35" s="47">
        <f t="shared" si="7"/>
        <v>22179500</v>
      </c>
      <c r="J35" s="47">
        <f t="shared" si="7"/>
        <v>22179500</v>
      </c>
      <c r="K35" s="47">
        <f t="shared" si="7"/>
        <v>22179500</v>
      </c>
      <c r="L35" s="47">
        <f t="shared" si="7"/>
        <v>22179500</v>
      </c>
      <c r="M35" s="47">
        <f t="shared" si="7"/>
        <v>22179500</v>
      </c>
      <c r="N35" s="47">
        <f t="shared" si="7"/>
        <v>22179500</v>
      </c>
      <c r="O35" s="47">
        <f>SUM(C35:N35)</f>
        <v>266154000</v>
      </c>
      <c r="P35" s="40"/>
      <c r="Q35" s="40"/>
      <c r="R35" s="40"/>
      <c r="S35" s="40"/>
      <c r="T35" s="40"/>
      <c r="U35" s="40"/>
      <c r="V35" s="40"/>
      <c r="W35" s="40"/>
      <c r="X35" s="40"/>
      <c r="Y35" s="40"/>
    </row>
    <row r="36" spans="1:25" ht="13.2" x14ac:dyDescent="0.25">
      <c r="A36" s="82"/>
      <c r="B36" s="52" t="s">
        <v>78</v>
      </c>
      <c r="C36" s="53" t="s">
        <v>173</v>
      </c>
      <c r="D36" s="53" t="s">
        <v>173</v>
      </c>
      <c r="E36" s="53" t="s">
        <v>173</v>
      </c>
      <c r="F36" s="53" t="s">
        <v>173</v>
      </c>
      <c r="G36" s="53" t="s">
        <v>173</v>
      </c>
      <c r="H36" s="53" t="s">
        <v>173</v>
      </c>
      <c r="I36" s="53" t="s">
        <v>173</v>
      </c>
      <c r="J36" s="53" t="s">
        <v>173</v>
      </c>
      <c r="K36" s="53" t="s">
        <v>173</v>
      </c>
      <c r="L36" s="53" t="s">
        <v>173</v>
      </c>
      <c r="M36" s="53" t="s">
        <v>173</v>
      </c>
      <c r="N36" s="53" t="s">
        <v>173</v>
      </c>
      <c r="O36" s="91" t="s">
        <v>173</v>
      </c>
      <c r="P36" s="40"/>
      <c r="Q36" s="40"/>
      <c r="R36" s="40"/>
      <c r="S36" s="40"/>
      <c r="T36" s="40"/>
      <c r="U36" s="40"/>
      <c r="V36" s="40"/>
      <c r="W36" s="40"/>
      <c r="X36" s="40"/>
      <c r="Y36" s="40"/>
    </row>
    <row r="37" spans="1:25" ht="13.2" x14ac:dyDescent="0.25">
      <c r="A37" s="82"/>
      <c r="B37" s="48" t="s">
        <v>79</v>
      </c>
      <c r="C37" s="54" t="s">
        <v>173</v>
      </c>
      <c r="D37" s="54" t="s">
        <v>173</v>
      </c>
      <c r="E37" s="54" t="s">
        <v>173</v>
      </c>
      <c r="F37" s="54" t="s">
        <v>173</v>
      </c>
      <c r="G37" s="54" t="s">
        <v>173</v>
      </c>
      <c r="H37" s="54" t="s">
        <v>173</v>
      </c>
      <c r="I37" s="54" t="s">
        <v>173</v>
      </c>
      <c r="J37" s="54" t="s">
        <v>173</v>
      </c>
      <c r="K37" s="54" t="s">
        <v>173</v>
      </c>
      <c r="L37" s="54" t="s">
        <v>173</v>
      </c>
      <c r="M37" s="54" t="s">
        <v>173</v>
      </c>
      <c r="N37" s="54" t="s">
        <v>173</v>
      </c>
      <c r="O37" s="91" t="s">
        <v>173</v>
      </c>
      <c r="P37" s="40"/>
      <c r="Q37" s="40"/>
      <c r="R37" s="40"/>
      <c r="S37" s="40"/>
      <c r="T37" s="40"/>
      <c r="U37" s="40"/>
      <c r="V37" s="40"/>
      <c r="W37" s="40"/>
      <c r="X37" s="40"/>
      <c r="Y37" s="40"/>
    </row>
    <row r="38" spans="1:25" ht="13.2" x14ac:dyDescent="0.25">
      <c r="A38" s="83"/>
      <c r="B38" s="49" t="s">
        <v>195</v>
      </c>
      <c r="C38" s="50">
        <f>C8*(1+K56)</f>
        <v>68640</v>
      </c>
      <c r="D38" s="50">
        <v>0</v>
      </c>
      <c r="E38" s="50">
        <v>0</v>
      </c>
      <c r="F38" s="50">
        <v>0</v>
      </c>
      <c r="G38" s="50">
        <v>0</v>
      </c>
      <c r="H38" s="50">
        <v>0</v>
      </c>
      <c r="I38" s="50">
        <v>0</v>
      </c>
      <c r="J38" s="50">
        <v>0</v>
      </c>
      <c r="K38" s="50">
        <v>0</v>
      </c>
      <c r="L38" s="50">
        <v>0</v>
      </c>
      <c r="M38" s="50">
        <v>0</v>
      </c>
      <c r="N38" s="50">
        <v>0</v>
      </c>
      <c r="O38" s="90">
        <f t="shared" ref="O38:O51" si="8">SUM(C38:N38)</f>
        <v>68640</v>
      </c>
      <c r="P38" s="40"/>
      <c r="Q38" s="40"/>
      <c r="R38" s="40"/>
      <c r="S38" s="40"/>
      <c r="T38" s="40"/>
      <c r="U38" s="40"/>
      <c r="V38" s="40"/>
      <c r="W38" s="40"/>
      <c r="X38" s="40"/>
      <c r="Y38" s="40"/>
    </row>
    <row r="39" spans="1:25" ht="13.2" x14ac:dyDescent="0.25">
      <c r="A39" s="82"/>
      <c r="B39" s="49" t="s">
        <v>202</v>
      </c>
      <c r="C39" s="50">
        <f t="shared" ref="C39:N39" si="9">C9*(1+$K$56)</f>
        <v>2600000</v>
      </c>
      <c r="D39" s="50">
        <f t="shared" si="9"/>
        <v>2600000</v>
      </c>
      <c r="E39" s="50">
        <f t="shared" si="9"/>
        <v>2600000</v>
      </c>
      <c r="F39" s="50">
        <f t="shared" si="9"/>
        <v>2600000</v>
      </c>
      <c r="G39" s="50">
        <f t="shared" si="9"/>
        <v>2600000</v>
      </c>
      <c r="H39" s="50">
        <f t="shared" si="9"/>
        <v>2600000</v>
      </c>
      <c r="I39" s="50">
        <f t="shared" si="9"/>
        <v>2600000</v>
      </c>
      <c r="J39" s="50">
        <f t="shared" si="9"/>
        <v>2600000</v>
      </c>
      <c r="K39" s="50">
        <f t="shared" si="9"/>
        <v>2600000</v>
      </c>
      <c r="L39" s="50">
        <f t="shared" si="9"/>
        <v>2600000</v>
      </c>
      <c r="M39" s="50">
        <f t="shared" si="9"/>
        <v>2600000</v>
      </c>
      <c r="N39" s="50">
        <f t="shared" si="9"/>
        <v>2600000</v>
      </c>
      <c r="O39" s="90">
        <f>SUM(C39:N39)</f>
        <v>31200000</v>
      </c>
      <c r="P39" s="40"/>
      <c r="Q39" s="40"/>
      <c r="R39" s="40"/>
      <c r="S39" s="40"/>
      <c r="T39" s="40"/>
      <c r="U39" s="40"/>
      <c r="V39" s="40"/>
      <c r="W39" s="40"/>
      <c r="X39" s="40"/>
      <c r="Y39" s="40"/>
    </row>
    <row r="40" spans="1:25" ht="13.2" x14ac:dyDescent="0.25">
      <c r="A40" s="82"/>
      <c r="B40" s="51" t="s">
        <v>178</v>
      </c>
      <c r="C40" s="50">
        <f t="shared" ref="C40:N40" si="10">C10*(1+$K$56)</f>
        <v>520000</v>
      </c>
      <c r="D40" s="50">
        <f t="shared" si="10"/>
        <v>520000</v>
      </c>
      <c r="E40" s="50">
        <f t="shared" si="10"/>
        <v>520000</v>
      </c>
      <c r="F40" s="50">
        <f t="shared" si="10"/>
        <v>520000</v>
      </c>
      <c r="G40" s="50">
        <f t="shared" si="10"/>
        <v>520000</v>
      </c>
      <c r="H40" s="50">
        <f t="shared" si="10"/>
        <v>520000</v>
      </c>
      <c r="I40" s="50">
        <f t="shared" si="10"/>
        <v>520000</v>
      </c>
      <c r="J40" s="50">
        <f t="shared" si="10"/>
        <v>520000</v>
      </c>
      <c r="K40" s="50">
        <f t="shared" si="10"/>
        <v>520000</v>
      </c>
      <c r="L40" s="50">
        <f t="shared" si="10"/>
        <v>520000</v>
      </c>
      <c r="M40" s="50">
        <f t="shared" si="10"/>
        <v>520000</v>
      </c>
      <c r="N40" s="50">
        <f t="shared" si="10"/>
        <v>520000</v>
      </c>
      <c r="O40" s="90">
        <f t="shared" si="8"/>
        <v>6240000</v>
      </c>
      <c r="P40" s="40"/>
      <c r="Q40" s="40"/>
      <c r="R40" s="40"/>
      <c r="S40" s="40"/>
      <c r="T40" s="40"/>
      <c r="U40" s="40"/>
      <c r="V40" s="40"/>
      <c r="W40" s="40"/>
      <c r="X40" s="40"/>
      <c r="Y40" s="40"/>
    </row>
    <row r="41" spans="1:25" ht="13.2" x14ac:dyDescent="0.25">
      <c r="A41" s="84"/>
      <c r="B41" s="51" t="s">
        <v>179</v>
      </c>
      <c r="C41" s="50">
        <f t="shared" ref="C41:N41" si="11">C11*(1+$K$56)</f>
        <v>62400</v>
      </c>
      <c r="D41" s="50">
        <f t="shared" si="11"/>
        <v>62400</v>
      </c>
      <c r="E41" s="50">
        <f t="shared" si="11"/>
        <v>62400</v>
      </c>
      <c r="F41" s="50">
        <f t="shared" si="11"/>
        <v>62400</v>
      </c>
      <c r="G41" s="50">
        <f t="shared" si="11"/>
        <v>62400</v>
      </c>
      <c r="H41" s="50">
        <f t="shared" si="11"/>
        <v>62400</v>
      </c>
      <c r="I41" s="50">
        <f t="shared" si="11"/>
        <v>62400</v>
      </c>
      <c r="J41" s="50">
        <f t="shared" si="11"/>
        <v>62400</v>
      </c>
      <c r="K41" s="50">
        <f t="shared" si="11"/>
        <v>62400</v>
      </c>
      <c r="L41" s="50">
        <f t="shared" si="11"/>
        <v>62400</v>
      </c>
      <c r="M41" s="50">
        <f t="shared" si="11"/>
        <v>62400</v>
      </c>
      <c r="N41" s="50">
        <f t="shared" si="11"/>
        <v>62400</v>
      </c>
      <c r="O41" s="90">
        <f t="shared" si="8"/>
        <v>748800</v>
      </c>
      <c r="P41" s="40"/>
      <c r="Q41" s="40"/>
      <c r="R41" s="40"/>
      <c r="S41" s="40"/>
      <c r="T41" s="40"/>
      <c r="U41" s="40"/>
      <c r="V41" s="40"/>
      <c r="W41" s="40"/>
      <c r="X41" s="40"/>
      <c r="Y41" s="40"/>
    </row>
    <row r="42" spans="1:25" ht="13.2" x14ac:dyDescent="0.25">
      <c r="A42" s="82"/>
      <c r="B42" s="46" t="s">
        <v>207</v>
      </c>
      <c r="C42" s="47">
        <f>SUM(C38:C41)</f>
        <v>3251040</v>
      </c>
      <c r="D42" s="47">
        <f t="shared" ref="D42:N42" si="12">SUM(D38:D41)</f>
        <v>3182400</v>
      </c>
      <c r="E42" s="47">
        <f t="shared" si="12"/>
        <v>3182400</v>
      </c>
      <c r="F42" s="47">
        <f t="shared" si="12"/>
        <v>3182400</v>
      </c>
      <c r="G42" s="47">
        <f t="shared" si="12"/>
        <v>3182400</v>
      </c>
      <c r="H42" s="47">
        <f t="shared" si="12"/>
        <v>3182400</v>
      </c>
      <c r="I42" s="47">
        <f t="shared" si="12"/>
        <v>3182400</v>
      </c>
      <c r="J42" s="47">
        <f t="shared" si="12"/>
        <v>3182400</v>
      </c>
      <c r="K42" s="47">
        <f t="shared" si="12"/>
        <v>3182400</v>
      </c>
      <c r="L42" s="47">
        <f t="shared" si="12"/>
        <v>3182400</v>
      </c>
      <c r="M42" s="47">
        <f t="shared" si="12"/>
        <v>3182400</v>
      </c>
      <c r="N42" s="47">
        <f t="shared" si="12"/>
        <v>3182400</v>
      </c>
      <c r="O42" s="47">
        <f t="shared" si="8"/>
        <v>38257440</v>
      </c>
      <c r="P42" s="40"/>
      <c r="Q42" s="40"/>
      <c r="R42" s="40"/>
      <c r="S42" s="40"/>
      <c r="T42" s="40"/>
      <c r="U42" s="40"/>
      <c r="V42" s="40"/>
      <c r="W42" s="40"/>
      <c r="X42" s="40"/>
      <c r="Y42" s="40"/>
    </row>
    <row r="43" spans="1:25" ht="13.2" x14ac:dyDescent="0.25">
      <c r="A43" s="82"/>
      <c r="B43" s="55" t="s">
        <v>83</v>
      </c>
      <c r="C43" s="59" t="s">
        <v>173</v>
      </c>
      <c r="D43" s="59" t="s">
        <v>173</v>
      </c>
      <c r="E43" s="59" t="s">
        <v>173</v>
      </c>
      <c r="F43" s="59" t="s">
        <v>173</v>
      </c>
      <c r="G43" s="59" t="s">
        <v>173</v>
      </c>
      <c r="H43" s="59" t="s">
        <v>173</v>
      </c>
      <c r="I43" s="59" t="s">
        <v>173</v>
      </c>
      <c r="J43" s="59" t="s">
        <v>173</v>
      </c>
      <c r="K43" s="59" t="s">
        <v>173</v>
      </c>
      <c r="L43" s="59" t="s">
        <v>173</v>
      </c>
      <c r="M43" s="59" t="s">
        <v>173</v>
      </c>
      <c r="N43" s="59" t="s">
        <v>173</v>
      </c>
      <c r="O43" s="91" t="s">
        <v>173</v>
      </c>
      <c r="P43" s="40"/>
      <c r="Q43" s="40"/>
      <c r="R43" s="40"/>
      <c r="S43" s="40"/>
      <c r="T43" s="40"/>
      <c r="U43" s="40"/>
      <c r="V43" s="40"/>
      <c r="W43" s="40"/>
      <c r="X43" s="40"/>
      <c r="Y43" s="40"/>
    </row>
    <row r="44" spans="1:25" ht="13.2" x14ac:dyDescent="0.25">
      <c r="A44" s="82"/>
      <c r="B44" s="57" t="s">
        <v>210</v>
      </c>
      <c r="C44" s="56">
        <f t="shared" ref="C44:N44" si="13">C14*(1+$K$56)</f>
        <v>344240</v>
      </c>
      <c r="D44" s="56">
        <f t="shared" si="13"/>
        <v>414960</v>
      </c>
      <c r="E44" s="56">
        <f t="shared" si="13"/>
        <v>382720</v>
      </c>
      <c r="F44" s="56">
        <f t="shared" si="13"/>
        <v>357760</v>
      </c>
      <c r="G44" s="56">
        <f t="shared" si="13"/>
        <v>328640</v>
      </c>
      <c r="H44" s="56">
        <f t="shared" si="13"/>
        <v>411840</v>
      </c>
      <c r="I44" s="56">
        <f t="shared" si="13"/>
        <v>480480</v>
      </c>
      <c r="J44" s="56">
        <f t="shared" si="13"/>
        <v>460720</v>
      </c>
      <c r="K44" s="56">
        <f t="shared" si="13"/>
        <v>355680</v>
      </c>
      <c r="L44" s="56">
        <f t="shared" si="13"/>
        <v>365040</v>
      </c>
      <c r="M44" s="56">
        <f t="shared" si="13"/>
        <v>347360</v>
      </c>
      <c r="N44" s="56">
        <f t="shared" si="13"/>
        <v>375440</v>
      </c>
      <c r="O44" s="92">
        <f t="shared" si="8"/>
        <v>4624880</v>
      </c>
      <c r="P44" s="40"/>
      <c r="Q44" s="40"/>
      <c r="R44" s="40"/>
      <c r="S44" s="40"/>
      <c r="T44" s="40"/>
      <c r="U44" s="40"/>
      <c r="V44" s="40"/>
      <c r="W44" s="40"/>
      <c r="X44" s="40"/>
      <c r="Y44" s="40"/>
    </row>
    <row r="45" spans="1:25" ht="13.2" x14ac:dyDescent="0.25">
      <c r="A45" s="82"/>
      <c r="B45" s="57" t="s">
        <v>203</v>
      </c>
      <c r="C45" s="56">
        <f t="shared" ref="C45:N45" si="14">C15*(1+$K$56)</f>
        <v>1242800</v>
      </c>
      <c r="D45" s="56">
        <f t="shared" si="14"/>
        <v>1338480</v>
      </c>
      <c r="E45" s="56">
        <f t="shared" si="14"/>
        <v>1500720</v>
      </c>
      <c r="F45" s="56">
        <f t="shared" si="14"/>
        <v>1137760</v>
      </c>
      <c r="G45" s="56">
        <f t="shared" si="14"/>
        <v>1514240</v>
      </c>
      <c r="H45" s="56">
        <f t="shared" si="14"/>
        <v>1426880</v>
      </c>
      <c r="I45" s="56">
        <f t="shared" si="14"/>
        <v>1309360</v>
      </c>
      <c r="J45" s="56">
        <f t="shared" si="14"/>
        <v>1556880</v>
      </c>
      <c r="K45" s="56">
        <f t="shared" si="14"/>
        <v>1521520</v>
      </c>
      <c r="L45" s="56">
        <f t="shared" si="14"/>
        <v>1521520</v>
      </c>
      <c r="M45" s="56">
        <f t="shared" si="14"/>
        <v>1182480</v>
      </c>
      <c r="N45" s="56">
        <f t="shared" si="14"/>
        <v>1458080</v>
      </c>
      <c r="O45" s="92">
        <f t="shared" si="8"/>
        <v>16710720</v>
      </c>
      <c r="P45" s="40"/>
      <c r="Q45" s="40"/>
      <c r="R45" s="40"/>
      <c r="S45" s="40"/>
      <c r="T45" s="40"/>
      <c r="U45" s="40"/>
      <c r="V45" s="40"/>
      <c r="W45" s="40"/>
      <c r="X45" s="40"/>
      <c r="Y45" s="40"/>
    </row>
    <row r="46" spans="1:25" ht="13.2" x14ac:dyDescent="0.25">
      <c r="A46" s="82"/>
      <c r="B46" s="58" t="s">
        <v>84</v>
      </c>
      <c r="C46" s="56">
        <f t="shared" ref="C46:N46" si="15">C16*(1+$K$56)</f>
        <v>1099280</v>
      </c>
      <c r="D46" s="56">
        <f t="shared" si="15"/>
        <v>1200160</v>
      </c>
      <c r="E46" s="56">
        <f t="shared" si="15"/>
        <v>1204320</v>
      </c>
      <c r="F46" s="56">
        <f t="shared" si="15"/>
        <v>1243840</v>
      </c>
      <c r="G46" s="56">
        <f t="shared" si="15"/>
        <v>1471600</v>
      </c>
      <c r="H46" s="56">
        <f t="shared" si="15"/>
        <v>1272960</v>
      </c>
      <c r="I46" s="56">
        <f t="shared" si="15"/>
        <v>1321840</v>
      </c>
      <c r="J46" s="56">
        <f t="shared" si="15"/>
        <v>1521520</v>
      </c>
      <c r="K46" s="56">
        <f t="shared" si="15"/>
        <v>1392560</v>
      </c>
      <c r="L46" s="56">
        <f t="shared" si="15"/>
        <v>1390480</v>
      </c>
      <c r="M46" s="56">
        <f t="shared" si="15"/>
        <v>1488240</v>
      </c>
      <c r="N46" s="56">
        <f t="shared" si="15"/>
        <v>1194960</v>
      </c>
      <c r="O46" s="92">
        <f t="shared" si="8"/>
        <v>15801760</v>
      </c>
      <c r="P46" s="40"/>
      <c r="Q46" s="40"/>
      <c r="R46" s="40"/>
      <c r="S46" s="40"/>
      <c r="T46" s="40"/>
      <c r="U46" s="40"/>
      <c r="V46" s="40"/>
      <c r="W46" s="40"/>
      <c r="X46" s="40"/>
      <c r="Y46" s="40"/>
    </row>
    <row r="47" spans="1:25" ht="13.2" x14ac:dyDescent="0.25">
      <c r="A47" s="82"/>
      <c r="B47" s="57" t="s">
        <v>85</v>
      </c>
      <c r="C47" s="56">
        <f t="shared" ref="C47:N47" si="16">C17*(1+$K$56)</f>
        <v>1277120</v>
      </c>
      <c r="D47" s="56">
        <f t="shared" si="16"/>
        <v>1093040</v>
      </c>
      <c r="E47" s="56">
        <f t="shared" si="16"/>
        <v>1131520</v>
      </c>
      <c r="F47" s="56">
        <f t="shared" si="16"/>
        <v>1149200</v>
      </c>
      <c r="G47" s="56">
        <f t="shared" si="16"/>
        <v>1545440</v>
      </c>
      <c r="H47" s="56">
        <f t="shared" si="16"/>
        <v>1134640</v>
      </c>
      <c r="I47" s="56">
        <f t="shared" si="16"/>
        <v>1316640</v>
      </c>
      <c r="J47" s="56">
        <f t="shared" si="16"/>
        <v>1042080</v>
      </c>
      <c r="K47" s="56">
        <f t="shared" si="16"/>
        <v>1355120</v>
      </c>
      <c r="L47" s="56">
        <f t="shared" si="16"/>
        <v>1076400</v>
      </c>
      <c r="M47" s="56">
        <f t="shared" si="16"/>
        <v>1370720</v>
      </c>
      <c r="N47" s="56">
        <f t="shared" si="16"/>
        <v>1305200</v>
      </c>
      <c r="O47" s="92">
        <f t="shared" si="8"/>
        <v>14797120</v>
      </c>
      <c r="P47" s="40"/>
      <c r="Q47" s="40"/>
      <c r="R47" s="40"/>
      <c r="S47" s="40"/>
      <c r="T47" s="40"/>
      <c r="U47" s="40"/>
      <c r="V47" s="40"/>
      <c r="W47" s="40"/>
      <c r="X47" s="40"/>
      <c r="Y47" s="40"/>
    </row>
    <row r="48" spans="1:25" ht="13.2" x14ac:dyDescent="0.25">
      <c r="A48" s="84"/>
      <c r="B48" s="58" t="s">
        <v>180</v>
      </c>
      <c r="C48" s="56">
        <f t="shared" ref="C48:N48" si="17">C18*(1+$K$56)</f>
        <v>1510080</v>
      </c>
      <c r="D48" s="56">
        <f t="shared" si="17"/>
        <v>1490320</v>
      </c>
      <c r="E48" s="56">
        <f t="shared" si="17"/>
        <v>1238640</v>
      </c>
      <c r="F48" s="56">
        <f t="shared" si="17"/>
        <v>1367600</v>
      </c>
      <c r="G48" s="56">
        <f t="shared" si="17"/>
        <v>1078480</v>
      </c>
      <c r="H48" s="56">
        <f t="shared" si="17"/>
        <v>1199120</v>
      </c>
      <c r="I48" s="56">
        <f t="shared" si="17"/>
        <v>1240720</v>
      </c>
      <c r="J48" s="56">
        <f t="shared" si="17"/>
        <v>1470560</v>
      </c>
      <c r="K48" s="56">
        <f t="shared" si="17"/>
        <v>1151280</v>
      </c>
      <c r="L48" s="56">
        <f t="shared" si="17"/>
        <v>1232400</v>
      </c>
      <c r="M48" s="56">
        <f t="shared" si="17"/>
        <v>1234480</v>
      </c>
      <c r="N48" s="56">
        <f t="shared" si="17"/>
        <v>1203280</v>
      </c>
      <c r="O48" s="92">
        <f t="shared" si="8"/>
        <v>15416960</v>
      </c>
      <c r="P48" s="40"/>
      <c r="Q48" s="40"/>
      <c r="R48" s="40"/>
      <c r="S48" s="40"/>
      <c r="T48" s="40"/>
      <c r="U48" s="40"/>
      <c r="V48" s="40"/>
      <c r="W48" s="40"/>
      <c r="X48" s="40"/>
      <c r="Y48" s="40"/>
    </row>
    <row r="49" spans="1:25" ht="13.2" x14ac:dyDescent="0.25">
      <c r="A49" s="84"/>
      <c r="B49" s="58" t="s">
        <v>86</v>
      </c>
      <c r="C49" s="56">
        <f t="shared" ref="C49:N49" si="18">C19*(1+$K$56)</f>
        <v>1099280</v>
      </c>
      <c r="D49" s="56">
        <f t="shared" si="18"/>
        <v>1086800</v>
      </c>
      <c r="E49" s="56">
        <f t="shared" si="18"/>
        <v>1054560</v>
      </c>
      <c r="F49" s="56">
        <f t="shared" si="18"/>
        <v>1375920</v>
      </c>
      <c r="G49" s="56">
        <f t="shared" si="18"/>
        <v>1280240</v>
      </c>
      <c r="H49" s="56">
        <f t="shared" si="18"/>
        <v>1066000</v>
      </c>
      <c r="I49" s="56">
        <f t="shared" si="18"/>
        <v>1445600</v>
      </c>
      <c r="J49" s="56">
        <f t="shared" si="18"/>
        <v>1387360</v>
      </c>
      <c r="K49" s="56">
        <f t="shared" si="18"/>
        <v>1116960</v>
      </c>
      <c r="L49" s="56">
        <f t="shared" si="18"/>
        <v>1155440</v>
      </c>
      <c r="M49" s="56">
        <f t="shared" si="18"/>
        <v>1405040</v>
      </c>
      <c r="N49" s="56">
        <f t="shared" si="18"/>
        <v>1478880</v>
      </c>
      <c r="O49" s="92">
        <f t="shared" si="8"/>
        <v>14952080</v>
      </c>
      <c r="P49" s="40"/>
      <c r="Q49" s="40"/>
      <c r="R49" s="40"/>
      <c r="S49" s="40"/>
      <c r="T49" s="40"/>
      <c r="U49" s="40"/>
      <c r="V49" s="40"/>
      <c r="W49" s="40"/>
      <c r="X49" s="40"/>
      <c r="Y49" s="40"/>
    </row>
    <row r="50" spans="1:25" ht="13.2" x14ac:dyDescent="0.25">
      <c r="A50" s="82"/>
      <c r="B50" s="46" t="s">
        <v>208</v>
      </c>
      <c r="C50" s="47">
        <f t="shared" ref="C50:N50" si="19">SUM(C44:C49)</f>
        <v>6572800</v>
      </c>
      <c r="D50" s="47">
        <f t="shared" si="19"/>
        <v>6623760</v>
      </c>
      <c r="E50" s="47">
        <f t="shared" si="19"/>
        <v>6512480</v>
      </c>
      <c r="F50" s="47">
        <f t="shared" si="19"/>
        <v>6632080</v>
      </c>
      <c r="G50" s="47">
        <f t="shared" si="19"/>
        <v>7218640</v>
      </c>
      <c r="H50" s="47">
        <f t="shared" si="19"/>
        <v>6511440</v>
      </c>
      <c r="I50" s="47">
        <f t="shared" si="19"/>
        <v>7114640</v>
      </c>
      <c r="J50" s="47">
        <f t="shared" si="19"/>
        <v>7439120</v>
      </c>
      <c r="K50" s="47">
        <f t="shared" si="19"/>
        <v>6893120</v>
      </c>
      <c r="L50" s="47">
        <f t="shared" si="19"/>
        <v>6741280</v>
      </c>
      <c r="M50" s="47">
        <f t="shared" si="19"/>
        <v>7028320</v>
      </c>
      <c r="N50" s="47">
        <f t="shared" si="19"/>
        <v>7015840</v>
      </c>
      <c r="O50" s="47">
        <f t="shared" si="8"/>
        <v>82303520</v>
      </c>
      <c r="P50" s="40"/>
      <c r="Q50" s="40"/>
      <c r="R50" s="40"/>
      <c r="S50" s="40"/>
      <c r="T50" s="40"/>
      <c r="U50" s="40"/>
      <c r="V50" s="40"/>
      <c r="W50" s="40"/>
      <c r="X50" s="40"/>
      <c r="Y50" s="40"/>
    </row>
    <row r="51" spans="1:25" ht="13.2" x14ac:dyDescent="0.25">
      <c r="A51" s="82"/>
      <c r="B51" s="60" t="s">
        <v>87</v>
      </c>
      <c r="C51" s="47">
        <f t="shared" ref="C51:N51" si="20">C42+C50</f>
        <v>9823840</v>
      </c>
      <c r="D51" s="47">
        <f t="shared" si="20"/>
        <v>9806160</v>
      </c>
      <c r="E51" s="47">
        <f t="shared" si="20"/>
        <v>9694880</v>
      </c>
      <c r="F51" s="47">
        <f t="shared" si="20"/>
        <v>9814480</v>
      </c>
      <c r="G51" s="47">
        <f t="shared" si="20"/>
        <v>10401040</v>
      </c>
      <c r="H51" s="47">
        <f t="shared" si="20"/>
        <v>9693840</v>
      </c>
      <c r="I51" s="47">
        <f t="shared" si="20"/>
        <v>10297040</v>
      </c>
      <c r="J51" s="47">
        <f t="shared" si="20"/>
        <v>10621520</v>
      </c>
      <c r="K51" s="47">
        <f t="shared" si="20"/>
        <v>10075520</v>
      </c>
      <c r="L51" s="47">
        <f t="shared" si="20"/>
        <v>9923680</v>
      </c>
      <c r="M51" s="47">
        <f t="shared" si="20"/>
        <v>10210720</v>
      </c>
      <c r="N51" s="47">
        <f t="shared" si="20"/>
        <v>10198240</v>
      </c>
      <c r="O51" s="47">
        <f t="shared" si="8"/>
        <v>120560960</v>
      </c>
      <c r="P51" s="40"/>
      <c r="Q51" s="40"/>
      <c r="R51" s="40"/>
      <c r="S51" s="40"/>
      <c r="T51" s="40"/>
      <c r="U51" s="40"/>
      <c r="V51" s="40"/>
      <c r="W51" s="40"/>
      <c r="X51" s="40"/>
      <c r="Y51" s="40"/>
    </row>
    <row r="52" spans="1:25" ht="13.2" x14ac:dyDescent="0.25">
      <c r="A52" s="82"/>
      <c r="B52" s="108" t="s">
        <v>204</v>
      </c>
      <c r="C52" s="109">
        <f>$O51*(3/12)/12</f>
        <v>2511686.6666666665</v>
      </c>
      <c r="D52" s="109">
        <f t="shared" ref="D52" si="21">$O51*(3/12)/12</f>
        <v>2511686.6666666665</v>
      </c>
      <c r="E52" s="109">
        <f t="shared" ref="E52" si="22">$O51*(3/12)/12</f>
        <v>2511686.6666666665</v>
      </c>
      <c r="F52" s="109">
        <f t="shared" ref="F52" si="23">$O51*(3/12)/12</f>
        <v>2511686.6666666665</v>
      </c>
      <c r="G52" s="109">
        <f t="shared" ref="G52" si="24">$O51*(3/12)/12</f>
        <v>2511686.6666666665</v>
      </c>
      <c r="H52" s="109">
        <f t="shared" ref="H52" si="25">$O51*(3/12)/12</f>
        <v>2511686.6666666665</v>
      </c>
      <c r="I52" s="109">
        <f t="shared" ref="I52" si="26">$O51*(3/12)/12</f>
        <v>2511686.6666666665</v>
      </c>
      <c r="J52" s="109">
        <f t="shared" ref="J52" si="27">$O51*(3/12)/12</f>
        <v>2511686.6666666665</v>
      </c>
      <c r="K52" s="109">
        <f t="shared" ref="K52" si="28">$O51*(3/12)/12</f>
        <v>2511686.6666666665</v>
      </c>
      <c r="L52" s="109">
        <f t="shared" ref="L52" si="29">$O51*(3/12)/12</f>
        <v>2511686.6666666665</v>
      </c>
      <c r="M52" s="109">
        <f t="shared" ref="M52" si="30">$O51*(3/12)/12</f>
        <v>2511686.6666666665</v>
      </c>
      <c r="N52" s="109">
        <f t="shared" ref="N52" si="31">$O51*(3/12)/12</f>
        <v>2511686.6666666665</v>
      </c>
      <c r="O52" s="109">
        <f t="shared" ref="O52" si="32">SUM(C52:N52)</f>
        <v>30140240.000000004</v>
      </c>
      <c r="P52" s="43"/>
      <c r="Q52" s="43"/>
      <c r="R52" s="40"/>
      <c r="S52" s="40"/>
      <c r="T52" s="40"/>
      <c r="U52" s="40"/>
      <c r="V52" s="40"/>
      <c r="W52" s="40"/>
      <c r="X52" s="40"/>
      <c r="Y52" s="40"/>
    </row>
    <row r="53" spans="1:25" ht="13.2" x14ac:dyDescent="0.25">
      <c r="A53" s="82"/>
      <c r="B53" s="60" t="s">
        <v>206</v>
      </c>
      <c r="C53" s="61">
        <f t="shared" ref="C53:N53" si="33">C35-C51-C52</f>
        <v>9843973.333333334</v>
      </c>
      <c r="D53" s="61">
        <f t="shared" si="33"/>
        <v>9861653.333333334</v>
      </c>
      <c r="E53" s="61">
        <f t="shared" si="33"/>
        <v>9972933.333333334</v>
      </c>
      <c r="F53" s="61">
        <f t="shared" si="33"/>
        <v>9853333.333333334</v>
      </c>
      <c r="G53" s="61">
        <f t="shared" si="33"/>
        <v>9266773.333333334</v>
      </c>
      <c r="H53" s="61">
        <f t="shared" si="33"/>
        <v>9973973.333333334</v>
      </c>
      <c r="I53" s="61">
        <f t="shared" si="33"/>
        <v>9370773.333333334</v>
      </c>
      <c r="J53" s="61">
        <f t="shared" si="33"/>
        <v>9046293.333333334</v>
      </c>
      <c r="K53" s="61">
        <f t="shared" si="33"/>
        <v>9592293.333333334</v>
      </c>
      <c r="L53" s="61">
        <f t="shared" si="33"/>
        <v>9744133.333333334</v>
      </c>
      <c r="M53" s="61">
        <f t="shared" si="33"/>
        <v>9457093.333333334</v>
      </c>
      <c r="N53" s="61">
        <f t="shared" si="33"/>
        <v>9469573.333333334</v>
      </c>
      <c r="O53" s="47">
        <f t="shared" ref="O53" si="34">SUM(C53:N53)</f>
        <v>115452799.99999999</v>
      </c>
      <c r="P53" s="43"/>
      <c r="Q53" s="43"/>
      <c r="R53" s="40"/>
      <c r="S53" s="40"/>
      <c r="T53" s="40"/>
      <c r="U53" s="40"/>
      <c r="V53" s="40"/>
      <c r="W53" s="40"/>
      <c r="X53" s="40"/>
      <c r="Y53" s="40"/>
    </row>
    <row r="54" spans="1:25" ht="13.2" x14ac:dyDescent="0.25">
      <c r="A54" s="85"/>
      <c r="B54" s="40"/>
      <c r="C54" s="40"/>
      <c r="D54" s="40"/>
      <c r="E54" s="40"/>
      <c r="F54" s="40"/>
      <c r="G54" s="40"/>
      <c r="H54" s="40"/>
      <c r="I54" s="40"/>
      <c r="J54" s="40"/>
      <c r="K54" s="40"/>
      <c r="L54" s="353" t="s">
        <v>217</v>
      </c>
      <c r="M54" s="354"/>
      <c r="N54" s="356">
        <f>SUM(C53:N53)+N24</f>
        <v>180067799.99999997</v>
      </c>
      <c r="O54" s="40"/>
      <c r="P54" s="40"/>
      <c r="Q54" s="40"/>
      <c r="R54" s="40"/>
      <c r="S54" s="40"/>
      <c r="T54" s="40"/>
      <c r="U54" s="40"/>
      <c r="V54" s="40"/>
      <c r="W54" s="40"/>
      <c r="X54" s="40"/>
      <c r="Y54" s="40"/>
    </row>
    <row r="55" spans="1:25" ht="13.2" x14ac:dyDescent="0.25">
      <c r="A55" s="85"/>
      <c r="B55" s="40"/>
      <c r="C55" s="7"/>
      <c r="D55" s="40"/>
      <c r="E55" s="40"/>
      <c r="F55" s="40"/>
      <c r="G55" s="40"/>
      <c r="H55" s="40"/>
      <c r="I55" s="40"/>
      <c r="J55" s="40"/>
      <c r="K55" s="40"/>
      <c r="L55" s="320"/>
      <c r="M55" s="355"/>
      <c r="N55" s="357"/>
      <c r="O55" s="40"/>
      <c r="P55" s="40"/>
      <c r="Q55" s="40"/>
      <c r="R55" s="40"/>
      <c r="S55" s="40"/>
      <c r="T55" s="40"/>
      <c r="U55" s="40"/>
      <c r="V55" s="40"/>
      <c r="W55" s="40"/>
      <c r="X55" s="40"/>
      <c r="Y55" s="40"/>
    </row>
    <row r="56" spans="1:25" ht="13.2" x14ac:dyDescent="0.25">
      <c r="A56" s="85"/>
      <c r="B56" s="319" t="s">
        <v>632</v>
      </c>
      <c r="C56" s="352" t="s">
        <v>173</v>
      </c>
      <c r="D56" s="352"/>
      <c r="E56" s="352"/>
      <c r="F56" s="352"/>
      <c r="G56" s="352"/>
      <c r="H56" s="352"/>
      <c r="I56" s="40"/>
      <c r="J56" s="358" t="s">
        <v>231</v>
      </c>
      <c r="K56" s="359">
        <v>0.04</v>
      </c>
      <c r="L56" s="40"/>
      <c r="M56" s="40"/>
      <c r="N56" s="40"/>
      <c r="O56" s="361"/>
      <c r="P56" s="40"/>
      <c r="Q56" s="40"/>
      <c r="R56" s="40"/>
      <c r="S56" s="40"/>
      <c r="T56" s="40"/>
      <c r="U56" s="40"/>
      <c r="V56" s="40"/>
      <c r="W56" s="40"/>
      <c r="X56" s="40"/>
      <c r="Y56" s="40"/>
    </row>
    <row r="57" spans="1:25" ht="13.2" x14ac:dyDescent="0.25">
      <c r="A57" s="85"/>
      <c r="B57" s="319"/>
      <c r="C57" s="352"/>
      <c r="D57" s="352"/>
      <c r="E57" s="352"/>
      <c r="F57" s="352"/>
      <c r="G57" s="352"/>
      <c r="H57" s="352"/>
      <c r="I57" s="40"/>
      <c r="J57" s="358"/>
      <c r="K57" s="360"/>
      <c r="L57" s="40"/>
      <c r="M57" s="40"/>
      <c r="N57" s="40"/>
      <c r="O57" s="362"/>
      <c r="P57" s="40"/>
      <c r="Q57" s="40"/>
      <c r="R57" s="40"/>
      <c r="S57" s="40"/>
      <c r="T57" s="40"/>
      <c r="U57" s="40"/>
      <c r="V57" s="40"/>
      <c r="W57" s="40"/>
      <c r="X57" s="40"/>
      <c r="Y57" s="40"/>
    </row>
    <row r="58" spans="1:25" ht="13.2" x14ac:dyDescent="0.25">
      <c r="A58" s="85"/>
      <c r="B58" s="319"/>
      <c r="C58" s="352"/>
      <c r="D58" s="352"/>
      <c r="E58" s="352"/>
      <c r="F58" s="352"/>
      <c r="G58" s="352"/>
      <c r="H58" s="352"/>
      <c r="J58" s="40"/>
      <c r="K58" s="40"/>
      <c r="L58" s="40"/>
      <c r="M58" s="40"/>
      <c r="N58" s="40"/>
      <c r="O58" s="40"/>
      <c r="P58" s="40"/>
      <c r="Q58" s="40"/>
      <c r="R58" s="40"/>
      <c r="S58" s="40"/>
      <c r="T58" s="40"/>
      <c r="U58" s="40"/>
      <c r="V58" s="40"/>
      <c r="W58" s="40"/>
      <c r="X58" s="40"/>
      <c r="Y58" s="40"/>
    </row>
    <row r="59" spans="1:25" ht="13.2" x14ac:dyDescent="0.25">
      <c r="A59" s="85"/>
      <c r="B59" s="40"/>
      <c r="C59" s="40"/>
      <c r="D59" s="40"/>
      <c r="E59" s="40"/>
      <c r="F59" s="40"/>
      <c r="G59" s="40"/>
      <c r="H59" s="40"/>
      <c r="I59" s="40"/>
      <c r="J59" s="40"/>
      <c r="K59" s="40"/>
      <c r="L59" s="40"/>
      <c r="M59" s="40"/>
      <c r="N59" s="40"/>
      <c r="O59" s="40"/>
      <c r="P59" s="40"/>
      <c r="Q59" s="40"/>
      <c r="R59" s="40"/>
      <c r="S59" s="40"/>
      <c r="T59" s="40"/>
      <c r="U59" s="40"/>
      <c r="V59" s="40"/>
      <c r="W59" s="40"/>
      <c r="X59" s="40"/>
      <c r="Y59" s="40"/>
    </row>
    <row r="60" spans="1:25" ht="13.2" x14ac:dyDescent="0.25">
      <c r="A60" s="85"/>
      <c r="B60" s="40"/>
      <c r="C60" s="40"/>
      <c r="D60" s="40"/>
      <c r="E60" s="40"/>
      <c r="F60" s="40"/>
      <c r="G60" s="40"/>
      <c r="H60" s="40"/>
      <c r="I60" s="40"/>
      <c r="J60" s="40"/>
      <c r="K60" s="40"/>
      <c r="L60" s="40"/>
      <c r="M60" s="40"/>
      <c r="N60" s="40"/>
      <c r="O60" s="40"/>
      <c r="P60" s="40"/>
      <c r="Q60" s="40"/>
      <c r="R60" s="40"/>
      <c r="S60" s="40"/>
      <c r="T60" s="40"/>
      <c r="U60" s="40"/>
      <c r="V60" s="40"/>
      <c r="W60" s="40"/>
      <c r="X60" s="40"/>
      <c r="Y60" s="40"/>
    </row>
    <row r="61" spans="1:25" ht="24.6" x14ac:dyDescent="0.25">
      <c r="A61" s="80"/>
      <c r="B61" s="348" t="s">
        <v>232</v>
      </c>
      <c r="C61" s="348"/>
      <c r="D61" s="348"/>
      <c r="E61" s="348"/>
      <c r="F61" s="348"/>
      <c r="G61" s="348"/>
      <c r="H61" s="348"/>
      <c r="I61" s="348"/>
      <c r="J61" s="348"/>
      <c r="K61" s="348"/>
      <c r="L61" s="348"/>
      <c r="M61" s="348"/>
      <c r="N61" s="348"/>
      <c r="O61" s="348"/>
      <c r="P61" s="40"/>
      <c r="Q61" s="40"/>
      <c r="R61" s="40"/>
      <c r="S61" s="40"/>
      <c r="T61" s="40"/>
      <c r="U61" s="40"/>
      <c r="V61" s="40"/>
      <c r="W61" s="40"/>
      <c r="X61" s="40"/>
      <c r="Y61" s="40"/>
    </row>
    <row r="62" spans="1:25" ht="24.6" x14ac:dyDescent="0.25">
      <c r="A62" s="81"/>
      <c r="B62" s="349"/>
      <c r="C62" s="349"/>
      <c r="D62" s="349"/>
      <c r="E62" s="349"/>
      <c r="F62" s="349"/>
      <c r="G62" s="349"/>
      <c r="H62" s="349"/>
      <c r="I62" s="349"/>
      <c r="J62" s="349"/>
      <c r="K62" s="349"/>
      <c r="L62" s="349"/>
      <c r="M62" s="349"/>
      <c r="N62" s="349"/>
      <c r="O62" s="349"/>
      <c r="P62" s="40"/>
      <c r="Q62" s="40"/>
      <c r="R62" s="40"/>
      <c r="S62" s="40"/>
      <c r="T62" s="40"/>
      <c r="U62" s="40"/>
      <c r="V62" s="40"/>
      <c r="W62" s="40"/>
      <c r="X62" s="40"/>
      <c r="Y62" s="40"/>
    </row>
    <row r="63" spans="1:25" ht="13.2" x14ac:dyDescent="0.25">
      <c r="A63" s="82"/>
      <c r="B63" s="41"/>
      <c r="C63" s="42" t="s">
        <v>66</v>
      </c>
      <c r="D63" s="42" t="s">
        <v>67</v>
      </c>
      <c r="E63" s="42" t="s">
        <v>68</v>
      </c>
      <c r="F63" s="42" t="s">
        <v>69</v>
      </c>
      <c r="G63" s="42" t="s">
        <v>70</v>
      </c>
      <c r="H63" s="42" t="s">
        <v>71</v>
      </c>
      <c r="I63" s="42" t="s">
        <v>72</v>
      </c>
      <c r="J63" s="42" t="s">
        <v>73</v>
      </c>
      <c r="K63" s="42" t="s">
        <v>74</v>
      </c>
      <c r="L63" s="42" t="s">
        <v>75</v>
      </c>
      <c r="M63" s="42" t="s">
        <v>76</v>
      </c>
      <c r="N63" s="42" t="s">
        <v>77</v>
      </c>
      <c r="O63" s="42" t="s">
        <v>236</v>
      </c>
      <c r="P63" s="40"/>
      <c r="Q63" s="40"/>
      <c r="R63" s="40"/>
      <c r="S63" s="40"/>
      <c r="T63" s="40"/>
      <c r="U63" s="40"/>
      <c r="V63" s="40"/>
      <c r="W63" s="40"/>
      <c r="X63" s="40"/>
      <c r="Y63" s="40"/>
    </row>
    <row r="64" spans="1:25" ht="13.2" x14ac:dyDescent="0.25">
      <c r="A64" s="82"/>
      <c r="B64" s="44" t="s">
        <v>194</v>
      </c>
      <c r="C64" s="45">
        <f>'3.1. My Income Tax Calculation'!$P$4/12</f>
        <v>22284215.000000004</v>
      </c>
      <c r="D64" s="45">
        <f>'3.1. My Income Tax Calculation'!$P$4/12</f>
        <v>22284215.000000004</v>
      </c>
      <c r="E64" s="45">
        <f>'3.1. My Income Tax Calculation'!$P$4/12</f>
        <v>22284215.000000004</v>
      </c>
      <c r="F64" s="45">
        <f>'3.1. My Income Tax Calculation'!$P$4/12</f>
        <v>22284215.000000004</v>
      </c>
      <c r="G64" s="45">
        <f>'3.1. My Income Tax Calculation'!$P$4/12</f>
        <v>22284215.000000004</v>
      </c>
      <c r="H64" s="45">
        <f>'3.1. My Income Tax Calculation'!$P$4/12</f>
        <v>22284215.000000004</v>
      </c>
      <c r="I64" s="45">
        <f>'3.1. My Income Tax Calculation'!$P$4/12</f>
        <v>22284215.000000004</v>
      </c>
      <c r="J64" s="45">
        <f>'3.1. My Income Tax Calculation'!$P$4/12</f>
        <v>22284215.000000004</v>
      </c>
      <c r="K64" s="45">
        <f>'3.1. My Income Tax Calculation'!$P$4/12</f>
        <v>22284215.000000004</v>
      </c>
      <c r="L64" s="45">
        <f>'3.1. My Income Tax Calculation'!$P$4/12</f>
        <v>22284215.000000004</v>
      </c>
      <c r="M64" s="45">
        <f>'3.1. My Income Tax Calculation'!$P$4/12</f>
        <v>22284215.000000004</v>
      </c>
      <c r="N64" s="45">
        <f>'3.1. My Income Tax Calculation'!$P$4/12</f>
        <v>22284215.000000004</v>
      </c>
      <c r="O64" s="45" t="s">
        <v>173</v>
      </c>
      <c r="P64" s="40"/>
      <c r="Q64" s="40"/>
      <c r="R64" s="40"/>
      <c r="S64" s="40"/>
      <c r="T64" s="40"/>
      <c r="U64" s="40"/>
      <c r="V64" s="40"/>
      <c r="W64" s="40"/>
      <c r="X64" s="40"/>
      <c r="Y64" s="40"/>
    </row>
    <row r="65" spans="1:25" ht="13.2" x14ac:dyDescent="0.25">
      <c r="A65" s="82"/>
      <c r="B65" s="46" t="s">
        <v>209</v>
      </c>
      <c r="C65" s="47">
        <f>C64</f>
        <v>22284215.000000004</v>
      </c>
      <c r="D65" s="47">
        <f t="shared" ref="D65:N65" si="35">D64</f>
        <v>22284215.000000004</v>
      </c>
      <c r="E65" s="47">
        <f t="shared" si="35"/>
        <v>22284215.000000004</v>
      </c>
      <c r="F65" s="47">
        <f t="shared" si="35"/>
        <v>22284215.000000004</v>
      </c>
      <c r="G65" s="47">
        <f t="shared" si="35"/>
        <v>22284215.000000004</v>
      </c>
      <c r="H65" s="47">
        <f t="shared" si="35"/>
        <v>22284215.000000004</v>
      </c>
      <c r="I65" s="47">
        <f t="shared" si="35"/>
        <v>22284215.000000004</v>
      </c>
      <c r="J65" s="47">
        <f t="shared" si="35"/>
        <v>22284215.000000004</v>
      </c>
      <c r="K65" s="47">
        <f t="shared" si="35"/>
        <v>22284215.000000004</v>
      </c>
      <c r="L65" s="47">
        <f t="shared" si="35"/>
        <v>22284215.000000004</v>
      </c>
      <c r="M65" s="47">
        <f t="shared" si="35"/>
        <v>22284215.000000004</v>
      </c>
      <c r="N65" s="47">
        <f t="shared" si="35"/>
        <v>22284215.000000004</v>
      </c>
      <c r="O65" s="47">
        <f>SUM(C65:N65)</f>
        <v>267410580.00000003</v>
      </c>
      <c r="P65" s="40"/>
      <c r="Q65" s="40"/>
      <c r="R65" s="40"/>
      <c r="S65" s="40"/>
      <c r="T65" s="40"/>
      <c r="U65" s="40"/>
      <c r="V65" s="40"/>
      <c r="W65" s="40"/>
      <c r="X65" s="40"/>
      <c r="Y65" s="40"/>
    </row>
    <row r="66" spans="1:25" ht="13.2" x14ac:dyDescent="0.25">
      <c r="A66" s="82"/>
      <c r="B66" s="52" t="s">
        <v>78</v>
      </c>
      <c r="C66" s="53" t="s">
        <v>173</v>
      </c>
      <c r="D66" s="53" t="s">
        <v>173</v>
      </c>
      <c r="E66" s="53" t="s">
        <v>173</v>
      </c>
      <c r="F66" s="53" t="s">
        <v>173</v>
      </c>
      <c r="G66" s="53" t="s">
        <v>173</v>
      </c>
      <c r="H66" s="53" t="s">
        <v>173</v>
      </c>
      <c r="I66" s="53" t="s">
        <v>173</v>
      </c>
      <c r="J66" s="53" t="s">
        <v>173</v>
      </c>
      <c r="K66" s="53" t="s">
        <v>173</v>
      </c>
      <c r="L66" s="53" t="s">
        <v>173</v>
      </c>
      <c r="M66" s="53" t="s">
        <v>173</v>
      </c>
      <c r="N66" s="53" t="s">
        <v>173</v>
      </c>
      <c r="O66" s="91" t="s">
        <v>173</v>
      </c>
      <c r="P66" s="40"/>
      <c r="Q66" s="40"/>
      <c r="R66" s="40"/>
      <c r="S66" s="40"/>
      <c r="T66" s="40"/>
      <c r="U66" s="40"/>
      <c r="V66" s="40"/>
      <c r="W66" s="40"/>
      <c r="X66" s="40"/>
      <c r="Y66" s="40"/>
    </row>
    <row r="67" spans="1:25" ht="13.2" x14ac:dyDescent="0.25">
      <c r="A67" s="82"/>
      <c r="B67" s="48" t="s">
        <v>79</v>
      </c>
      <c r="C67" s="54" t="s">
        <v>173</v>
      </c>
      <c r="D67" s="54" t="s">
        <v>173</v>
      </c>
      <c r="E67" s="54" t="s">
        <v>173</v>
      </c>
      <c r="F67" s="54" t="s">
        <v>173</v>
      </c>
      <c r="G67" s="54" t="s">
        <v>173</v>
      </c>
      <c r="H67" s="54" t="s">
        <v>173</v>
      </c>
      <c r="I67" s="54" t="s">
        <v>173</v>
      </c>
      <c r="J67" s="54" t="s">
        <v>173</v>
      </c>
      <c r="K67" s="54" t="s">
        <v>173</v>
      </c>
      <c r="L67" s="54" t="s">
        <v>173</v>
      </c>
      <c r="M67" s="54" t="s">
        <v>173</v>
      </c>
      <c r="N67" s="54" t="s">
        <v>173</v>
      </c>
      <c r="O67" s="91" t="s">
        <v>173</v>
      </c>
      <c r="P67" s="40"/>
      <c r="Q67" s="40"/>
      <c r="R67" s="40"/>
      <c r="S67" s="40"/>
      <c r="T67" s="40"/>
      <c r="U67" s="40"/>
      <c r="V67" s="40"/>
      <c r="W67" s="40"/>
      <c r="X67" s="40"/>
      <c r="Y67" s="40"/>
    </row>
    <row r="68" spans="1:25" ht="13.2" x14ac:dyDescent="0.25">
      <c r="A68" s="83"/>
      <c r="B68" s="49" t="s">
        <v>195</v>
      </c>
      <c r="C68" s="50">
        <f>C38*(1+K86)</f>
        <v>71385.600000000006</v>
      </c>
      <c r="D68" s="50">
        <v>0</v>
      </c>
      <c r="E68" s="50">
        <v>0</v>
      </c>
      <c r="F68" s="50">
        <v>0</v>
      </c>
      <c r="G68" s="50">
        <v>0</v>
      </c>
      <c r="H68" s="50">
        <v>0</v>
      </c>
      <c r="I68" s="50">
        <v>0</v>
      </c>
      <c r="J68" s="50">
        <v>0</v>
      </c>
      <c r="K68" s="50">
        <v>0</v>
      </c>
      <c r="L68" s="50">
        <v>0</v>
      </c>
      <c r="M68" s="50">
        <v>0</v>
      </c>
      <c r="N68" s="50">
        <v>0</v>
      </c>
      <c r="O68" s="90">
        <f t="shared" ref="O68:O81" si="36">SUM(C68:N68)</f>
        <v>71385.600000000006</v>
      </c>
      <c r="P68" s="40"/>
      <c r="Q68" s="40"/>
      <c r="R68" s="40"/>
      <c r="S68" s="40"/>
      <c r="T68" s="40"/>
      <c r="U68" s="40"/>
      <c r="V68" s="40"/>
      <c r="W68" s="40"/>
      <c r="X68" s="40"/>
      <c r="Y68" s="40"/>
    </row>
    <row r="69" spans="1:25" ht="13.2" x14ac:dyDescent="0.25">
      <c r="A69" s="82"/>
      <c r="B69" s="49" t="s">
        <v>202</v>
      </c>
      <c r="C69" s="50">
        <f t="shared" ref="C69:N69" si="37">C39*(1+$K$86)</f>
        <v>2704000</v>
      </c>
      <c r="D69" s="50">
        <f t="shared" si="37"/>
        <v>2704000</v>
      </c>
      <c r="E69" s="50">
        <f t="shared" si="37"/>
        <v>2704000</v>
      </c>
      <c r="F69" s="50">
        <f t="shared" si="37"/>
        <v>2704000</v>
      </c>
      <c r="G69" s="50">
        <f t="shared" si="37"/>
        <v>2704000</v>
      </c>
      <c r="H69" s="50">
        <f t="shared" si="37"/>
        <v>2704000</v>
      </c>
      <c r="I69" s="50">
        <f t="shared" si="37"/>
        <v>2704000</v>
      </c>
      <c r="J69" s="50">
        <f t="shared" si="37"/>
        <v>2704000</v>
      </c>
      <c r="K69" s="50">
        <f t="shared" si="37"/>
        <v>2704000</v>
      </c>
      <c r="L69" s="50">
        <f t="shared" si="37"/>
        <v>2704000</v>
      </c>
      <c r="M69" s="50">
        <f t="shared" si="37"/>
        <v>2704000</v>
      </c>
      <c r="N69" s="50">
        <f t="shared" si="37"/>
        <v>2704000</v>
      </c>
      <c r="O69" s="90">
        <f>SUM(C69:N69)</f>
        <v>32448000</v>
      </c>
      <c r="P69" s="40"/>
      <c r="Q69" s="40"/>
      <c r="R69" s="40"/>
      <c r="S69" s="40"/>
      <c r="T69" s="40"/>
      <c r="U69" s="40"/>
      <c r="V69" s="40"/>
      <c r="W69" s="40"/>
      <c r="X69" s="40"/>
      <c r="Y69" s="40"/>
    </row>
    <row r="70" spans="1:25" ht="13.2" x14ac:dyDescent="0.25">
      <c r="A70" s="82"/>
      <c r="B70" s="51" t="s">
        <v>178</v>
      </c>
      <c r="C70" s="50">
        <f t="shared" ref="C70:N70" si="38">C40*(1+$K$86)</f>
        <v>540800</v>
      </c>
      <c r="D70" s="50">
        <f t="shared" si="38"/>
        <v>540800</v>
      </c>
      <c r="E70" s="50">
        <f t="shared" si="38"/>
        <v>540800</v>
      </c>
      <c r="F70" s="50">
        <f t="shared" si="38"/>
        <v>540800</v>
      </c>
      <c r="G70" s="50">
        <f t="shared" si="38"/>
        <v>540800</v>
      </c>
      <c r="H70" s="50">
        <f t="shared" si="38"/>
        <v>540800</v>
      </c>
      <c r="I70" s="50">
        <f t="shared" si="38"/>
        <v>540800</v>
      </c>
      <c r="J70" s="50">
        <f t="shared" si="38"/>
        <v>540800</v>
      </c>
      <c r="K70" s="50">
        <f t="shared" si="38"/>
        <v>540800</v>
      </c>
      <c r="L70" s="50">
        <f t="shared" si="38"/>
        <v>540800</v>
      </c>
      <c r="M70" s="50">
        <f t="shared" si="38"/>
        <v>540800</v>
      </c>
      <c r="N70" s="50">
        <f t="shared" si="38"/>
        <v>540800</v>
      </c>
      <c r="O70" s="90">
        <f t="shared" si="36"/>
        <v>6489600</v>
      </c>
      <c r="P70" s="40"/>
      <c r="Q70" s="40"/>
      <c r="R70" s="40"/>
      <c r="S70" s="40"/>
      <c r="T70" s="40"/>
      <c r="U70" s="40"/>
      <c r="V70" s="40"/>
      <c r="W70" s="40"/>
      <c r="X70" s="40"/>
      <c r="Y70" s="40"/>
    </row>
    <row r="71" spans="1:25" ht="13.2" x14ac:dyDescent="0.25">
      <c r="A71" s="84"/>
      <c r="B71" s="51" t="s">
        <v>179</v>
      </c>
      <c r="C71" s="50">
        <f t="shared" ref="C71:N71" si="39">C41*(1+$K$86)</f>
        <v>64896</v>
      </c>
      <c r="D71" s="50">
        <f t="shared" si="39"/>
        <v>64896</v>
      </c>
      <c r="E71" s="50">
        <f t="shared" si="39"/>
        <v>64896</v>
      </c>
      <c r="F71" s="50">
        <f t="shared" si="39"/>
        <v>64896</v>
      </c>
      <c r="G71" s="50">
        <f t="shared" si="39"/>
        <v>64896</v>
      </c>
      <c r="H71" s="50">
        <f t="shared" si="39"/>
        <v>64896</v>
      </c>
      <c r="I71" s="50">
        <f t="shared" si="39"/>
        <v>64896</v>
      </c>
      <c r="J71" s="50">
        <f t="shared" si="39"/>
        <v>64896</v>
      </c>
      <c r="K71" s="50">
        <f t="shared" si="39"/>
        <v>64896</v>
      </c>
      <c r="L71" s="50">
        <f t="shared" si="39"/>
        <v>64896</v>
      </c>
      <c r="M71" s="50">
        <f t="shared" si="39"/>
        <v>64896</v>
      </c>
      <c r="N71" s="50">
        <f t="shared" si="39"/>
        <v>64896</v>
      </c>
      <c r="O71" s="90">
        <f t="shared" si="36"/>
        <v>778752</v>
      </c>
      <c r="P71" s="40"/>
      <c r="Q71" s="40"/>
      <c r="R71" s="40"/>
      <c r="S71" s="40"/>
      <c r="T71" s="40"/>
      <c r="U71" s="40"/>
      <c r="V71" s="40"/>
      <c r="W71" s="40"/>
      <c r="X71" s="40"/>
      <c r="Y71" s="40"/>
    </row>
    <row r="72" spans="1:25" ht="13.2" x14ac:dyDescent="0.25">
      <c r="A72" s="82"/>
      <c r="B72" s="46" t="s">
        <v>207</v>
      </c>
      <c r="C72" s="47">
        <f>SUM(C68:C71)</f>
        <v>3381081.6</v>
      </c>
      <c r="D72" s="47">
        <f t="shared" ref="D72:N72" si="40">SUM(D68:D71)</f>
        <v>3309696</v>
      </c>
      <c r="E72" s="47">
        <f t="shared" si="40"/>
        <v>3309696</v>
      </c>
      <c r="F72" s="47">
        <f t="shared" si="40"/>
        <v>3309696</v>
      </c>
      <c r="G72" s="47">
        <f t="shared" si="40"/>
        <v>3309696</v>
      </c>
      <c r="H72" s="47">
        <f t="shared" si="40"/>
        <v>3309696</v>
      </c>
      <c r="I72" s="47">
        <f t="shared" si="40"/>
        <v>3309696</v>
      </c>
      <c r="J72" s="47">
        <f t="shared" si="40"/>
        <v>3309696</v>
      </c>
      <c r="K72" s="47">
        <f t="shared" si="40"/>
        <v>3309696</v>
      </c>
      <c r="L72" s="47">
        <f t="shared" si="40"/>
        <v>3309696</v>
      </c>
      <c r="M72" s="47">
        <f t="shared" si="40"/>
        <v>3309696</v>
      </c>
      <c r="N72" s="47">
        <f t="shared" si="40"/>
        <v>3309696</v>
      </c>
      <c r="O72" s="47">
        <f t="shared" si="36"/>
        <v>39787737.600000001</v>
      </c>
      <c r="P72" s="40"/>
      <c r="Q72" s="40"/>
      <c r="R72" s="40"/>
      <c r="S72" s="40"/>
      <c r="T72" s="40"/>
      <c r="U72" s="40"/>
      <c r="V72" s="40"/>
      <c r="W72" s="40"/>
      <c r="X72" s="40"/>
      <c r="Y72" s="40"/>
    </row>
    <row r="73" spans="1:25" ht="13.2" x14ac:dyDescent="0.25">
      <c r="A73" s="82"/>
      <c r="B73" s="55" t="s">
        <v>83</v>
      </c>
      <c r="C73" s="59" t="s">
        <v>173</v>
      </c>
      <c r="D73" s="59" t="s">
        <v>173</v>
      </c>
      <c r="E73" s="59" t="s">
        <v>173</v>
      </c>
      <c r="F73" s="59" t="s">
        <v>173</v>
      </c>
      <c r="G73" s="59" t="s">
        <v>173</v>
      </c>
      <c r="H73" s="59" t="s">
        <v>173</v>
      </c>
      <c r="I73" s="59" t="s">
        <v>173</v>
      </c>
      <c r="J73" s="59" t="s">
        <v>173</v>
      </c>
      <c r="K73" s="59" t="s">
        <v>173</v>
      </c>
      <c r="L73" s="59" t="s">
        <v>173</v>
      </c>
      <c r="M73" s="59" t="s">
        <v>173</v>
      </c>
      <c r="N73" s="59" t="s">
        <v>173</v>
      </c>
      <c r="O73" s="91" t="s">
        <v>173</v>
      </c>
      <c r="P73" s="40"/>
      <c r="Q73" s="40"/>
      <c r="R73" s="40"/>
      <c r="S73" s="40"/>
      <c r="T73" s="40"/>
      <c r="U73" s="40"/>
      <c r="V73" s="40"/>
      <c r="W73" s="40"/>
      <c r="X73" s="40"/>
      <c r="Y73" s="40"/>
    </row>
    <row r="74" spans="1:25" ht="13.2" x14ac:dyDescent="0.25">
      <c r="A74" s="82"/>
      <c r="B74" s="57" t="s">
        <v>210</v>
      </c>
      <c r="C74" s="89">
        <f t="shared" ref="C74:N74" si="41">C44*(1+$K$86)</f>
        <v>358009.60000000003</v>
      </c>
      <c r="D74" s="89">
        <f t="shared" si="41"/>
        <v>431558.40000000002</v>
      </c>
      <c r="E74" s="89">
        <f t="shared" si="41"/>
        <v>398028.79999999999</v>
      </c>
      <c r="F74" s="89">
        <f t="shared" si="41"/>
        <v>372070.40000000002</v>
      </c>
      <c r="G74" s="89">
        <f t="shared" si="41"/>
        <v>341785.60000000003</v>
      </c>
      <c r="H74" s="89">
        <f t="shared" si="41"/>
        <v>428313.60000000003</v>
      </c>
      <c r="I74" s="89">
        <f t="shared" si="41"/>
        <v>499699.20000000001</v>
      </c>
      <c r="J74" s="89">
        <f t="shared" si="41"/>
        <v>479148.79999999999</v>
      </c>
      <c r="K74" s="89">
        <f t="shared" si="41"/>
        <v>369907.20000000001</v>
      </c>
      <c r="L74" s="89">
        <f t="shared" si="41"/>
        <v>379641.60000000003</v>
      </c>
      <c r="M74" s="89">
        <f t="shared" si="41"/>
        <v>361254.40000000002</v>
      </c>
      <c r="N74" s="89">
        <f t="shared" si="41"/>
        <v>390457.60000000003</v>
      </c>
      <c r="O74" s="92">
        <f t="shared" si="36"/>
        <v>4809875.2</v>
      </c>
      <c r="P74" s="40"/>
      <c r="Q74" s="40"/>
      <c r="R74" s="40"/>
      <c r="S74" s="40"/>
      <c r="T74" s="40"/>
      <c r="U74" s="40"/>
      <c r="V74" s="40"/>
      <c r="W74" s="40"/>
      <c r="X74" s="40"/>
      <c r="Y74" s="40"/>
    </row>
    <row r="75" spans="1:25" ht="13.2" x14ac:dyDescent="0.25">
      <c r="A75" s="82"/>
      <c r="B75" s="57" t="s">
        <v>203</v>
      </c>
      <c r="C75" s="89">
        <f t="shared" ref="C75:N75" si="42">C45*(1+$K$86)</f>
        <v>1292512</v>
      </c>
      <c r="D75" s="89">
        <f t="shared" si="42"/>
        <v>1392019.2</v>
      </c>
      <c r="E75" s="89">
        <f t="shared" si="42"/>
        <v>1560748.8</v>
      </c>
      <c r="F75" s="89">
        <f t="shared" si="42"/>
        <v>1183270.4000000001</v>
      </c>
      <c r="G75" s="89">
        <f t="shared" si="42"/>
        <v>1574809.6000000001</v>
      </c>
      <c r="H75" s="89">
        <f t="shared" si="42"/>
        <v>1483955.2</v>
      </c>
      <c r="I75" s="89">
        <f t="shared" si="42"/>
        <v>1361734.4000000001</v>
      </c>
      <c r="J75" s="89">
        <f t="shared" si="42"/>
        <v>1619155.2</v>
      </c>
      <c r="K75" s="89">
        <f t="shared" si="42"/>
        <v>1582380.8</v>
      </c>
      <c r="L75" s="89">
        <f t="shared" si="42"/>
        <v>1582380.8</v>
      </c>
      <c r="M75" s="89">
        <f t="shared" si="42"/>
        <v>1229779.2</v>
      </c>
      <c r="N75" s="89">
        <f t="shared" si="42"/>
        <v>1516403.2</v>
      </c>
      <c r="O75" s="92">
        <f t="shared" si="36"/>
        <v>17379148.800000001</v>
      </c>
      <c r="P75" s="40"/>
      <c r="Q75" s="40"/>
      <c r="R75" s="40"/>
      <c r="S75" s="40"/>
      <c r="T75" s="40"/>
      <c r="U75" s="40"/>
      <c r="V75" s="40"/>
      <c r="W75" s="40"/>
      <c r="X75" s="40"/>
      <c r="Y75" s="40"/>
    </row>
    <row r="76" spans="1:25" ht="13.2" x14ac:dyDescent="0.25">
      <c r="A76" s="82"/>
      <c r="B76" s="58" t="s">
        <v>84</v>
      </c>
      <c r="C76" s="89">
        <f t="shared" ref="C76:N76" si="43">C46*(1+$K$86)</f>
        <v>1143251.2</v>
      </c>
      <c r="D76" s="89">
        <f t="shared" si="43"/>
        <v>1248166.4000000001</v>
      </c>
      <c r="E76" s="89">
        <f t="shared" si="43"/>
        <v>1252492.8</v>
      </c>
      <c r="F76" s="89">
        <f t="shared" si="43"/>
        <v>1293593.6000000001</v>
      </c>
      <c r="G76" s="89">
        <f t="shared" si="43"/>
        <v>1530464</v>
      </c>
      <c r="H76" s="89">
        <f t="shared" si="43"/>
        <v>1323878.4000000001</v>
      </c>
      <c r="I76" s="89">
        <f t="shared" si="43"/>
        <v>1374713.6</v>
      </c>
      <c r="J76" s="89">
        <f t="shared" si="43"/>
        <v>1582380.8</v>
      </c>
      <c r="K76" s="89">
        <f t="shared" si="43"/>
        <v>1448262.4000000001</v>
      </c>
      <c r="L76" s="89">
        <f t="shared" si="43"/>
        <v>1446099.2</v>
      </c>
      <c r="M76" s="89">
        <f t="shared" si="43"/>
        <v>1547769.6</v>
      </c>
      <c r="N76" s="89">
        <f t="shared" si="43"/>
        <v>1242758.4000000001</v>
      </c>
      <c r="O76" s="92">
        <f t="shared" si="36"/>
        <v>16433830.4</v>
      </c>
      <c r="P76" s="40"/>
      <c r="Q76" s="40"/>
      <c r="R76" s="40"/>
      <c r="S76" s="40"/>
      <c r="T76" s="40"/>
      <c r="U76" s="40"/>
      <c r="V76" s="40"/>
      <c r="W76" s="40"/>
      <c r="X76" s="40"/>
      <c r="Y76" s="40"/>
    </row>
    <row r="77" spans="1:25" ht="13.2" x14ac:dyDescent="0.25">
      <c r="A77" s="82"/>
      <c r="B77" s="57" t="s">
        <v>85</v>
      </c>
      <c r="C77" s="89">
        <f t="shared" ref="C77:N77" si="44">C47*(1+$K$86)</f>
        <v>1328204.8</v>
      </c>
      <c r="D77" s="89">
        <f t="shared" si="44"/>
        <v>1136761.6000000001</v>
      </c>
      <c r="E77" s="89">
        <f t="shared" si="44"/>
        <v>1176780.8</v>
      </c>
      <c r="F77" s="89">
        <f t="shared" si="44"/>
        <v>1195168</v>
      </c>
      <c r="G77" s="89">
        <f t="shared" si="44"/>
        <v>1607257.6</v>
      </c>
      <c r="H77" s="89">
        <f t="shared" si="44"/>
        <v>1180025.6000000001</v>
      </c>
      <c r="I77" s="89">
        <f t="shared" si="44"/>
        <v>1369305.6</v>
      </c>
      <c r="J77" s="89">
        <f t="shared" si="44"/>
        <v>1083763.2</v>
      </c>
      <c r="K77" s="89">
        <f t="shared" si="44"/>
        <v>1409324.8</v>
      </c>
      <c r="L77" s="89">
        <f t="shared" si="44"/>
        <v>1119456</v>
      </c>
      <c r="M77" s="89">
        <f t="shared" si="44"/>
        <v>1425548.8</v>
      </c>
      <c r="N77" s="89">
        <f t="shared" si="44"/>
        <v>1357408</v>
      </c>
      <c r="O77" s="92">
        <f t="shared" si="36"/>
        <v>15389004.800000001</v>
      </c>
      <c r="P77" s="40"/>
      <c r="Q77" s="40"/>
      <c r="R77" s="40"/>
      <c r="S77" s="40"/>
      <c r="T77" s="40"/>
      <c r="U77" s="40"/>
      <c r="V77" s="40"/>
      <c r="W77" s="40"/>
      <c r="X77" s="40"/>
      <c r="Y77" s="40"/>
    </row>
    <row r="78" spans="1:25" ht="13.2" x14ac:dyDescent="0.25">
      <c r="A78" s="84"/>
      <c r="B78" s="58" t="s">
        <v>180</v>
      </c>
      <c r="C78" s="89">
        <f t="shared" ref="C78:N78" si="45">C48*(1+$K$86)</f>
        <v>1570483.2</v>
      </c>
      <c r="D78" s="89">
        <f t="shared" si="45"/>
        <v>1549932.8</v>
      </c>
      <c r="E78" s="89">
        <f t="shared" si="45"/>
        <v>1288185.6000000001</v>
      </c>
      <c r="F78" s="89">
        <f t="shared" si="45"/>
        <v>1422304</v>
      </c>
      <c r="G78" s="89">
        <f t="shared" si="45"/>
        <v>1121619.2</v>
      </c>
      <c r="H78" s="89">
        <f t="shared" si="45"/>
        <v>1247084.8</v>
      </c>
      <c r="I78" s="89">
        <f t="shared" si="45"/>
        <v>1290348.8</v>
      </c>
      <c r="J78" s="89">
        <f t="shared" si="45"/>
        <v>1529382.4000000001</v>
      </c>
      <c r="K78" s="89">
        <f t="shared" si="45"/>
        <v>1197331.2</v>
      </c>
      <c r="L78" s="89">
        <f t="shared" si="45"/>
        <v>1281696</v>
      </c>
      <c r="M78" s="89">
        <f t="shared" si="45"/>
        <v>1283859.2</v>
      </c>
      <c r="N78" s="89">
        <f t="shared" si="45"/>
        <v>1251411.2</v>
      </c>
      <c r="O78" s="92">
        <f t="shared" si="36"/>
        <v>16033638.399999999</v>
      </c>
      <c r="P78" s="40"/>
      <c r="Q78" s="40"/>
      <c r="R78" s="40"/>
      <c r="S78" s="40"/>
      <c r="T78" s="40"/>
      <c r="U78" s="40"/>
      <c r="V78" s="40"/>
      <c r="W78" s="40"/>
      <c r="X78" s="40"/>
      <c r="Y78" s="40"/>
    </row>
    <row r="79" spans="1:25" ht="13.2" x14ac:dyDescent="0.25">
      <c r="A79" s="84"/>
      <c r="B79" s="58" t="s">
        <v>86</v>
      </c>
      <c r="C79" s="89">
        <f t="shared" ref="C79:N79" si="46">C49*(1+$K$86)</f>
        <v>1143251.2</v>
      </c>
      <c r="D79" s="89">
        <f t="shared" si="46"/>
        <v>1130272</v>
      </c>
      <c r="E79" s="89">
        <f t="shared" si="46"/>
        <v>1096742.4000000001</v>
      </c>
      <c r="F79" s="89">
        <f t="shared" si="46"/>
        <v>1430956.8</v>
      </c>
      <c r="G79" s="89">
        <f t="shared" si="46"/>
        <v>1331449.6000000001</v>
      </c>
      <c r="H79" s="89">
        <f t="shared" si="46"/>
        <v>1108640</v>
      </c>
      <c r="I79" s="89">
        <f t="shared" si="46"/>
        <v>1503424</v>
      </c>
      <c r="J79" s="89">
        <f t="shared" si="46"/>
        <v>1442854.4000000001</v>
      </c>
      <c r="K79" s="89">
        <f t="shared" si="46"/>
        <v>1161638.4000000001</v>
      </c>
      <c r="L79" s="89">
        <f t="shared" si="46"/>
        <v>1201657.6000000001</v>
      </c>
      <c r="M79" s="89">
        <f t="shared" si="46"/>
        <v>1461241.6</v>
      </c>
      <c r="N79" s="89">
        <f t="shared" si="46"/>
        <v>1538035.2</v>
      </c>
      <c r="O79" s="92">
        <f t="shared" si="36"/>
        <v>15550163.199999999</v>
      </c>
      <c r="P79" s="40"/>
      <c r="Q79" s="40"/>
      <c r="R79" s="40"/>
      <c r="S79" s="40"/>
      <c r="T79" s="40"/>
      <c r="U79" s="40"/>
      <c r="V79" s="40"/>
      <c r="W79" s="40"/>
      <c r="X79" s="40"/>
      <c r="Y79" s="40"/>
    </row>
    <row r="80" spans="1:25" ht="13.2" x14ac:dyDescent="0.25">
      <c r="A80" s="82"/>
      <c r="B80" s="46" t="s">
        <v>208</v>
      </c>
      <c r="C80" s="47">
        <f t="shared" ref="C80:N80" si="47">SUM(C74:C79)</f>
        <v>6835712</v>
      </c>
      <c r="D80" s="47">
        <f t="shared" si="47"/>
        <v>6888710.3999999994</v>
      </c>
      <c r="E80" s="47">
        <f t="shared" si="47"/>
        <v>6772979.2000000011</v>
      </c>
      <c r="F80" s="47">
        <f t="shared" si="47"/>
        <v>6897363.2000000002</v>
      </c>
      <c r="G80" s="47">
        <f t="shared" si="47"/>
        <v>7507385.6000000015</v>
      </c>
      <c r="H80" s="47">
        <f t="shared" si="47"/>
        <v>6771897.6000000006</v>
      </c>
      <c r="I80" s="47">
        <f t="shared" si="47"/>
        <v>7399225.6000000006</v>
      </c>
      <c r="J80" s="47">
        <f t="shared" si="47"/>
        <v>7736684.8000000007</v>
      </c>
      <c r="K80" s="47">
        <f t="shared" si="47"/>
        <v>7168844.8000000007</v>
      </c>
      <c r="L80" s="47">
        <f t="shared" si="47"/>
        <v>7010931.1999999993</v>
      </c>
      <c r="M80" s="47">
        <f t="shared" si="47"/>
        <v>7309452.8000000007</v>
      </c>
      <c r="N80" s="47">
        <f t="shared" si="47"/>
        <v>7296473.6000000006</v>
      </c>
      <c r="O80" s="47">
        <f t="shared" si="36"/>
        <v>85595660.799999997</v>
      </c>
      <c r="P80" s="40"/>
      <c r="Q80" s="40"/>
      <c r="R80" s="40"/>
      <c r="S80" s="40"/>
      <c r="T80" s="40"/>
      <c r="U80" s="40"/>
      <c r="V80" s="40"/>
      <c r="W80" s="40"/>
      <c r="X80" s="40"/>
      <c r="Y80" s="40"/>
    </row>
    <row r="81" spans="1:25" ht="13.2" x14ac:dyDescent="0.25">
      <c r="A81" s="82"/>
      <c r="B81" s="60" t="s">
        <v>87</v>
      </c>
      <c r="C81" s="47">
        <f t="shared" ref="C81:N81" si="48">C72+C80</f>
        <v>10216793.6</v>
      </c>
      <c r="D81" s="47">
        <f t="shared" si="48"/>
        <v>10198406.399999999</v>
      </c>
      <c r="E81" s="47">
        <f t="shared" si="48"/>
        <v>10082675.200000001</v>
      </c>
      <c r="F81" s="47">
        <f t="shared" si="48"/>
        <v>10207059.199999999</v>
      </c>
      <c r="G81" s="47">
        <f t="shared" si="48"/>
        <v>10817081.600000001</v>
      </c>
      <c r="H81" s="47">
        <f t="shared" si="48"/>
        <v>10081593.600000001</v>
      </c>
      <c r="I81" s="47">
        <f t="shared" si="48"/>
        <v>10708921.600000001</v>
      </c>
      <c r="J81" s="47">
        <f t="shared" si="48"/>
        <v>11046380.800000001</v>
      </c>
      <c r="K81" s="47">
        <f t="shared" si="48"/>
        <v>10478540.800000001</v>
      </c>
      <c r="L81" s="47">
        <f t="shared" si="48"/>
        <v>10320627.199999999</v>
      </c>
      <c r="M81" s="47">
        <f t="shared" si="48"/>
        <v>10619148.800000001</v>
      </c>
      <c r="N81" s="47">
        <f t="shared" si="48"/>
        <v>10606169.600000001</v>
      </c>
      <c r="O81" s="47">
        <f t="shared" si="36"/>
        <v>125383398.40000001</v>
      </c>
      <c r="P81" s="40"/>
      <c r="Q81" s="40"/>
      <c r="R81" s="40"/>
      <c r="S81" s="40"/>
      <c r="T81" s="40"/>
      <c r="U81" s="40"/>
      <c r="V81" s="40"/>
      <c r="W81" s="40"/>
      <c r="X81" s="40"/>
      <c r="Y81" s="40"/>
    </row>
    <row r="82" spans="1:25" ht="13.2" x14ac:dyDescent="0.25">
      <c r="A82" s="82"/>
      <c r="B82" s="108" t="s">
        <v>204</v>
      </c>
      <c r="C82" s="109">
        <f>$O81*(3/12)/12</f>
        <v>2612154.1333333333</v>
      </c>
      <c r="D82" s="109">
        <f t="shared" ref="D82" si="49">$O81*(3/12)/12</f>
        <v>2612154.1333333333</v>
      </c>
      <c r="E82" s="109">
        <f t="shared" ref="E82" si="50">$O81*(3/12)/12</f>
        <v>2612154.1333333333</v>
      </c>
      <c r="F82" s="109">
        <f t="shared" ref="F82" si="51">$O81*(3/12)/12</f>
        <v>2612154.1333333333</v>
      </c>
      <c r="G82" s="109">
        <f t="shared" ref="G82" si="52">$O81*(3/12)/12</f>
        <v>2612154.1333333333</v>
      </c>
      <c r="H82" s="109">
        <f t="shared" ref="H82" si="53">$O81*(3/12)/12</f>
        <v>2612154.1333333333</v>
      </c>
      <c r="I82" s="109">
        <f t="shared" ref="I82" si="54">$O81*(3/12)/12</f>
        <v>2612154.1333333333</v>
      </c>
      <c r="J82" s="109">
        <f t="shared" ref="J82" si="55">$O81*(3/12)/12</f>
        <v>2612154.1333333333</v>
      </c>
      <c r="K82" s="109">
        <f t="shared" ref="K82" si="56">$O81*(3/12)/12</f>
        <v>2612154.1333333333</v>
      </c>
      <c r="L82" s="109">
        <f t="shared" ref="L82" si="57">$O81*(3/12)/12</f>
        <v>2612154.1333333333</v>
      </c>
      <c r="M82" s="109">
        <f t="shared" ref="M82" si="58">$O81*(3/12)/12</f>
        <v>2612154.1333333333</v>
      </c>
      <c r="N82" s="109">
        <f t="shared" ref="N82" si="59">$O81*(3/12)/12</f>
        <v>2612154.1333333333</v>
      </c>
      <c r="O82" s="109">
        <f t="shared" ref="O82" si="60">SUM(C82:N82)</f>
        <v>31345849.599999998</v>
      </c>
      <c r="P82" s="43"/>
      <c r="Q82" s="43"/>
      <c r="R82" s="40"/>
      <c r="S82" s="40"/>
      <c r="T82" s="40"/>
      <c r="U82" s="40"/>
      <c r="V82" s="40"/>
      <c r="W82" s="40"/>
      <c r="X82" s="40"/>
      <c r="Y82" s="40"/>
    </row>
    <row r="83" spans="1:25" ht="13.2" x14ac:dyDescent="0.25">
      <c r="A83" s="82"/>
      <c r="B83" s="60" t="s">
        <v>206</v>
      </c>
      <c r="C83" s="61">
        <f t="shared" ref="C83:N83" si="61">C65-C81-C82</f>
        <v>9455267.2666666713</v>
      </c>
      <c r="D83" s="61">
        <f t="shared" si="61"/>
        <v>9473654.4666666724</v>
      </c>
      <c r="E83" s="61">
        <f t="shared" si="61"/>
        <v>9589385.6666666698</v>
      </c>
      <c r="F83" s="61">
        <f t="shared" si="61"/>
        <v>9465001.6666666716</v>
      </c>
      <c r="G83" s="61">
        <f t="shared" si="61"/>
        <v>8854979.2666666694</v>
      </c>
      <c r="H83" s="61">
        <f t="shared" si="61"/>
        <v>9590467.2666666694</v>
      </c>
      <c r="I83" s="61">
        <f t="shared" si="61"/>
        <v>8963139.2666666694</v>
      </c>
      <c r="J83" s="61">
        <f t="shared" si="61"/>
        <v>8625680.0666666701</v>
      </c>
      <c r="K83" s="61">
        <f t="shared" si="61"/>
        <v>9193520.0666666701</v>
      </c>
      <c r="L83" s="61">
        <f t="shared" si="61"/>
        <v>9351433.6666666716</v>
      </c>
      <c r="M83" s="61">
        <f t="shared" si="61"/>
        <v>9052912.0666666701</v>
      </c>
      <c r="N83" s="61">
        <f t="shared" si="61"/>
        <v>9065891.2666666694</v>
      </c>
      <c r="O83" s="47">
        <f t="shared" ref="O83" si="62">SUM(C83:N83)</f>
        <v>110681332.00000004</v>
      </c>
      <c r="P83" s="43"/>
      <c r="Q83" s="43"/>
      <c r="R83" s="40"/>
      <c r="S83" s="40"/>
      <c r="T83" s="40"/>
      <c r="U83" s="40"/>
      <c r="V83" s="40"/>
      <c r="W83" s="40"/>
      <c r="X83" s="40"/>
      <c r="Y83" s="40"/>
    </row>
    <row r="84" spans="1:25" ht="13.2" x14ac:dyDescent="0.25">
      <c r="A84" s="85"/>
      <c r="B84" s="40"/>
      <c r="C84" s="40"/>
      <c r="D84" s="40"/>
      <c r="E84" s="40"/>
      <c r="F84" s="40"/>
      <c r="G84" s="40"/>
      <c r="H84" s="40"/>
      <c r="I84" s="40"/>
      <c r="J84" s="40"/>
      <c r="K84" s="40"/>
      <c r="L84" s="353" t="s">
        <v>217</v>
      </c>
      <c r="M84" s="354"/>
      <c r="N84" s="350">
        <f>SUM(C83:N83)+N54</f>
        <v>290749132</v>
      </c>
      <c r="O84" s="40"/>
      <c r="P84" s="40"/>
      <c r="Q84" s="40"/>
      <c r="R84" s="40"/>
      <c r="S84" s="40"/>
      <c r="T84" s="40"/>
      <c r="U84" s="40"/>
      <c r="V84" s="40"/>
      <c r="W84" s="40"/>
      <c r="X84" s="40"/>
      <c r="Y84" s="40"/>
    </row>
    <row r="85" spans="1:25" ht="13.2" x14ac:dyDescent="0.25">
      <c r="A85" s="85"/>
      <c r="B85" s="40"/>
      <c r="C85" s="40"/>
      <c r="D85" s="40"/>
      <c r="E85" s="40"/>
      <c r="F85" s="40"/>
      <c r="G85" s="40"/>
      <c r="H85" s="40"/>
      <c r="I85" s="40"/>
      <c r="J85" s="40"/>
      <c r="K85" s="40"/>
      <c r="L85" s="320"/>
      <c r="M85" s="355"/>
      <c r="N85" s="351"/>
      <c r="O85" s="40"/>
      <c r="P85" s="40"/>
      <c r="Q85" s="40"/>
      <c r="R85" s="40"/>
      <c r="S85" s="40"/>
      <c r="T85" s="40"/>
      <c r="U85" s="40"/>
      <c r="V85" s="40"/>
      <c r="W85" s="40"/>
      <c r="X85" s="40"/>
      <c r="Y85" s="40"/>
    </row>
    <row r="86" spans="1:25" ht="13.2" x14ac:dyDescent="0.25">
      <c r="A86" s="85"/>
      <c r="B86" s="319" t="s">
        <v>632</v>
      </c>
      <c r="C86" s="352" t="s">
        <v>173</v>
      </c>
      <c r="D86" s="352"/>
      <c r="E86" s="352"/>
      <c r="F86" s="352"/>
      <c r="G86" s="352"/>
      <c r="H86" s="352"/>
      <c r="I86" s="40"/>
      <c r="J86" s="358" t="s">
        <v>231</v>
      </c>
      <c r="K86" s="359">
        <v>0.04</v>
      </c>
      <c r="L86" s="40"/>
      <c r="M86" s="40"/>
      <c r="N86" s="40"/>
      <c r="O86" s="361"/>
      <c r="P86" s="40"/>
      <c r="Q86" s="40"/>
      <c r="R86" s="40"/>
      <c r="S86" s="40"/>
      <c r="T86" s="40"/>
      <c r="U86" s="40"/>
      <c r="V86" s="40"/>
      <c r="W86" s="40"/>
      <c r="X86" s="40"/>
      <c r="Y86" s="40"/>
    </row>
    <row r="87" spans="1:25" ht="13.2" x14ac:dyDescent="0.25">
      <c r="A87" s="85"/>
      <c r="B87" s="319"/>
      <c r="C87" s="352"/>
      <c r="D87" s="352"/>
      <c r="E87" s="352"/>
      <c r="F87" s="352"/>
      <c r="G87" s="352"/>
      <c r="H87" s="352"/>
      <c r="I87" s="40"/>
      <c r="J87" s="358"/>
      <c r="K87" s="360"/>
      <c r="L87" s="40"/>
      <c r="M87" s="40"/>
      <c r="N87" s="40"/>
      <c r="O87" s="362"/>
      <c r="P87" s="40"/>
      <c r="Q87" s="40"/>
      <c r="R87" s="40"/>
      <c r="S87" s="40"/>
      <c r="T87" s="40"/>
      <c r="U87" s="40"/>
      <c r="V87" s="40"/>
      <c r="W87" s="40"/>
      <c r="X87" s="40"/>
      <c r="Y87" s="40"/>
    </row>
    <row r="88" spans="1:25" ht="13.2" x14ac:dyDescent="0.25">
      <c r="A88" s="85"/>
      <c r="B88" s="319"/>
      <c r="C88" s="352"/>
      <c r="D88" s="352"/>
      <c r="E88" s="352"/>
      <c r="F88" s="352"/>
      <c r="G88" s="352"/>
      <c r="H88" s="352"/>
      <c r="I88" s="40"/>
      <c r="J88" s="40"/>
      <c r="K88" s="40"/>
      <c r="L88" s="40"/>
      <c r="M88" s="40"/>
      <c r="N88" s="40"/>
      <c r="O88" s="40"/>
      <c r="P88" s="40"/>
      <c r="Q88" s="40"/>
      <c r="R88" s="40"/>
      <c r="S88" s="40"/>
      <c r="T88" s="40"/>
      <c r="U88" s="40"/>
      <c r="V88" s="40"/>
      <c r="W88" s="40"/>
      <c r="X88" s="40"/>
      <c r="Y88" s="40"/>
    </row>
    <row r="89" spans="1:25" ht="13.2" x14ac:dyDescent="0.25">
      <c r="A89" s="85"/>
      <c r="B89" s="40"/>
      <c r="C89" s="40"/>
      <c r="D89" s="40"/>
      <c r="E89" s="40"/>
      <c r="F89" s="40"/>
      <c r="G89" s="40"/>
      <c r="H89" s="40"/>
      <c r="I89" s="40"/>
      <c r="J89" s="40"/>
      <c r="K89" s="40"/>
      <c r="L89" s="40"/>
      <c r="M89" s="40"/>
      <c r="N89" s="40"/>
      <c r="O89" s="40"/>
      <c r="P89" s="40"/>
      <c r="Q89" s="40"/>
      <c r="R89" s="40"/>
      <c r="S89" s="40"/>
      <c r="T89" s="40"/>
      <c r="U89" s="40"/>
      <c r="V89" s="40"/>
      <c r="W89" s="40"/>
      <c r="X89" s="40"/>
      <c r="Y89" s="40"/>
    </row>
    <row r="90" spans="1:25" ht="13.2" x14ac:dyDescent="0.25">
      <c r="A90" s="85"/>
      <c r="B90" s="40"/>
      <c r="C90" s="40"/>
      <c r="D90" s="40"/>
      <c r="E90" s="40"/>
      <c r="F90" s="40"/>
      <c r="G90" s="40"/>
      <c r="H90" s="40"/>
      <c r="I90" s="40"/>
      <c r="J90" s="40"/>
      <c r="K90" s="40"/>
      <c r="L90" s="40"/>
      <c r="M90" s="40"/>
      <c r="N90" s="40"/>
      <c r="O90" s="40"/>
      <c r="P90" s="40"/>
      <c r="Q90" s="40"/>
      <c r="R90" s="40"/>
      <c r="S90" s="40"/>
      <c r="T90" s="40"/>
      <c r="U90" s="40"/>
      <c r="V90" s="40"/>
      <c r="W90" s="40"/>
      <c r="X90" s="40"/>
      <c r="Y90" s="40"/>
    </row>
    <row r="91" spans="1:25" ht="24.6" x14ac:dyDescent="0.25">
      <c r="A91" s="80"/>
      <c r="B91" s="348" t="s">
        <v>233</v>
      </c>
      <c r="C91" s="348"/>
      <c r="D91" s="348"/>
      <c r="E91" s="348"/>
      <c r="F91" s="348"/>
      <c r="G91" s="348"/>
      <c r="H91" s="348"/>
      <c r="I91" s="348"/>
      <c r="J91" s="348"/>
      <c r="K91" s="348"/>
      <c r="L91" s="348"/>
      <c r="M91" s="348"/>
      <c r="N91" s="348"/>
      <c r="O91" s="348"/>
      <c r="P91" s="40"/>
      <c r="Q91" s="40"/>
      <c r="R91" s="40"/>
      <c r="S91" s="40"/>
      <c r="T91" s="40"/>
      <c r="U91" s="40"/>
      <c r="V91" s="40"/>
      <c r="W91" s="40"/>
      <c r="X91" s="40"/>
      <c r="Y91" s="40"/>
    </row>
    <row r="92" spans="1:25" ht="24.6" x14ac:dyDescent="0.25">
      <c r="A92" s="81"/>
      <c r="B92" s="349"/>
      <c r="C92" s="349"/>
      <c r="D92" s="349"/>
      <c r="E92" s="349"/>
      <c r="F92" s="349"/>
      <c r="G92" s="349"/>
      <c r="H92" s="349"/>
      <c r="I92" s="349"/>
      <c r="J92" s="349"/>
      <c r="K92" s="349"/>
      <c r="L92" s="349"/>
      <c r="M92" s="349"/>
      <c r="N92" s="349"/>
      <c r="O92" s="349"/>
      <c r="P92" s="40"/>
      <c r="Q92" s="40"/>
      <c r="R92" s="40"/>
      <c r="S92" s="40"/>
      <c r="T92" s="40"/>
      <c r="U92" s="40"/>
      <c r="V92" s="40"/>
      <c r="W92" s="40"/>
      <c r="X92" s="40"/>
      <c r="Y92" s="40"/>
    </row>
    <row r="93" spans="1:25" ht="13.2" x14ac:dyDescent="0.25">
      <c r="A93" s="82"/>
      <c r="B93" s="41"/>
      <c r="C93" s="42" t="s">
        <v>66</v>
      </c>
      <c r="D93" s="42" t="s">
        <v>67</v>
      </c>
      <c r="E93" s="42" t="s">
        <v>68</v>
      </c>
      <c r="F93" s="42" t="s">
        <v>69</v>
      </c>
      <c r="G93" s="42" t="s">
        <v>70</v>
      </c>
      <c r="H93" s="42" t="s">
        <v>71</v>
      </c>
      <c r="I93" s="42" t="s">
        <v>72</v>
      </c>
      <c r="J93" s="42" t="s">
        <v>73</v>
      </c>
      <c r="K93" s="42" t="s">
        <v>74</v>
      </c>
      <c r="L93" s="42" t="s">
        <v>75</v>
      </c>
      <c r="M93" s="42" t="s">
        <v>76</v>
      </c>
      <c r="N93" s="42" t="s">
        <v>77</v>
      </c>
      <c r="O93" s="42" t="s">
        <v>236</v>
      </c>
      <c r="P93" s="40"/>
      <c r="Q93" s="40"/>
      <c r="R93" s="40"/>
      <c r="S93" s="40"/>
      <c r="T93" s="40"/>
      <c r="U93" s="40"/>
      <c r="V93" s="40"/>
      <c r="W93" s="40"/>
      <c r="X93" s="40"/>
      <c r="Y93" s="40"/>
    </row>
    <row r="94" spans="1:25" ht="13.2" x14ac:dyDescent="0.25">
      <c r="A94" s="82"/>
      <c r="B94" s="44" t="s">
        <v>194</v>
      </c>
      <c r="C94" s="45">
        <f>'3.1. My Income Tax Calculation'!$P$5/12</f>
        <v>32490000</v>
      </c>
      <c r="D94" s="45">
        <f>'3.1. My Income Tax Calculation'!$P$5/12</f>
        <v>32490000</v>
      </c>
      <c r="E94" s="45">
        <f>'3.1. My Income Tax Calculation'!$P$5/12</f>
        <v>32490000</v>
      </c>
      <c r="F94" s="45">
        <f>'3.1. My Income Tax Calculation'!$P$5/12</f>
        <v>32490000</v>
      </c>
      <c r="G94" s="45">
        <f>'3.1. My Income Tax Calculation'!$P$5/12</f>
        <v>32490000</v>
      </c>
      <c r="H94" s="45">
        <f>'3.1. My Income Tax Calculation'!$P$5/12</f>
        <v>32490000</v>
      </c>
      <c r="I94" s="45">
        <f>'3.1. My Income Tax Calculation'!$P$5/12</f>
        <v>32490000</v>
      </c>
      <c r="J94" s="45">
        <f>'3.1. My Income Tax Calculation'!$P$5/12</f>
        <v>32490000</v>
      </c>
      <c r="K94" s="45">
        <f>'3.1. My Income Tax Calculation'!$P$5/12</f>
        <v>32490000</v>
      </c>
      <c r="L94" s="45">
        <f>'3.1. My Income Tax Calculation'!$P$5/12</f>
        <v>32490000</v>
      </c>
      <c r="M94" s="45">
        <f>'3.1. My Income Tax Calculation'!$P$5/12</f>
        <v>32490000</v>
      </c>
      <c r="N94" s="45">
        <f>'3.1. My Income Tax Calculation'!$P$5/12</f>
        <v>32490000</v>
      </c>
      <c r="O94" s="45" t="s">
        <v>173</v>
      </c>
      <c r="P94" s="40"/>
      <c r="Q94" s="40"/>
      <c r="R94" s="40"/>
      <c r="S94" s="40"/>
      <c r="T94" s="40"/>
      <c r="U94" s="40"/>
      <c r="V94" s="40"/>
      <c r="W94" s="40"/>
      <c r="X94" s="40"/>
      <c r="Y94" s="40"/>
    </row>
    <row r="95" spans="1:25" ht="13.2" x14ac:dyDescent="0.25">
      <c r="A95" s="82"/>
      <c r="B95" s="46" t="s">
        <v>209</v>
      </c>
      <c r="C95" s="47">
        <f>C94</f>
        <v>32490000</v>
      </c>
      <c r="D95" s="47">
        <f t="shared" ref="D95:N95" si="63">D94</f>
        <v>32490000</v>
      </c>
      <c r="E95" s="47">
        <f t="shared" si="63"/>
        <v>32490000</v>
      </c>
      <c r="F95" s="47">
        <f t="shared" si="63"/>
        <v>32490000</v>
      </c>
      <c r="G95" s="47">
        <f t="shared" si="63"/>
        <v>32490000</v>
      </c>
      <c r="H95" s="47">
        <f t="shared" si="63"/>
        <v>32490000</v>
      </c>
      <c r="I95" s="47">
        <f t="shared" si="63"/>
        <v>32490000</v>
      </c>
      <c r="J95" s="47">
        <f t="shared" si="63"/>
        <v>32490000</v>
      </c>
      <c r="K95" s="47">
        <f t="shared" si="63"/>
        <v>32490000</v>
      </c>
      <c r="L95" s="47">
        <f t="shared" si="63"/>
        <v>32490000</v>
      </c>
      <c r="M95" s="47">
        <f t="shared" si="63"/>
        <v>32490000</v>
      </c>
      <c r="N95" s="47">
        <f t="shared" si="63"/>
        <v>32490000</v>
      </c>
      <c r="O95" s="47">
        <f>SUM(C95:N95)</f>
        <v>389880000</v>
      </c>
      <c r="P95" s="40"/>
      <c r="Q95" s="40"/>
      <c r="R95" s="40"/>
      <c r="S95" s="40"/>
      <c r="T95" s="40"/>
      <c r="U95" s="40"/>
      <c r="V95" s="40"/>
      <c r="W95" s="40"/>
      <c r="X95" s="40"/>
      <c r="Y95" s="40"/>
    </row>
    <row r="96" spans="1:25" ht="13.2" x14ac:dyDescent="0.25">
      <c r="A96" s="82"/>
      <c r="B96" s="52" t="s">
        <v>78</v>
      </c>
      <c r="C96" s="53" t="s">
        <v>173</v>
      </c>
      <c r="D96" s="53" t="s">
        <v>173</v>
      </c>
      <c r="E96" s="53" t="s">
        <v>173</v>
      </c>
      <c r="F96" s="53" t="s">
        <v>173</v>
      </c>
      <c r="G96" s="53" t="s">
        <v>173</v>
      </c>
      <c r="H96" s="53" t="s">
        <v>173</v>
      </c>
      <c r="I96" s="53" t="s">
        <v>173</v>
      </c>
      <c r="J96" s="53" t="s">
        <v>173</v>
      </c>
      <c r="K96" s="53" t="s">
        <v>173</v>
      </c>
      <c r="L96" s="53" t="s">
        <v>173</v>
      </c>
      <c r="M96" s="53" t="s">
        <v>173</v>
      </c>
      <c r="N96" s="53" t="s">
        <v>173</v>
      </c>
      <c r="O96" s="91" t="s">
        <v>173</v>
      </c>
      <c r="P96" s="40"/>
      <c r="Q96" s="40"/>
      <c r="R96" s="40"/>
      <c r="S96" s="40"/>
      <c r="T96" s="40"/>
      <c r="U96" s="40"/>
      <c r="V96" s="40"/>
      <c r="W96" s="40"/>
      <c r="X96" s="40"/>
      <c r="Y96" s="40"/>
    </row>
    <row r="97" spans="1:25" ht="13.2" x14ac:dyDescent="0.25">
      <c r="A97" s="82"/>
      <c r="B97" s="48" t="s">
        <v>79</v>
      </c>
      <c r="C97" s="54" t="s">
        <v>173</v>
      </c>
      <c r="D97" s="54" t="s">
        <v>173</v>
      </c>
      <c r="E97" s="54" t="s">
        <v>173</v>
      </c>
      <c r="F97" s="54" t="s">
        <v>173</v>
      </c>
      <c r="G97" s="54" t="s">
        <v>173</v>
      </c>
      <c r="H97" s="54" t="s">
        <v>173</v>
      </c>
      <c r="I97" s="54" t="s">
        <v>173</v>
      </c>
      <c r="J97" s="54" t="s">
        <v>173</v>
      </c>
      <c r="K97" s="54" t="s">
        <v>173</v>
      </c>
      <c r="L97" s="54" t="s">
        <v>173</v>
      </c>
      <c r="M97" s="54" t="s">
        <v>173</v>
      </c>
      <c r="N97" s="54" t="s">
        <v>173</v>
      </c>
      <c r="O97" s="91" t="s">
        <v>173</v>
      </c>
      <c r="P97" s="40"/>
      <c r="Q97" s="40"/>
      <c r="R97" s="40"/>
      <c r="S97" s="40"/>
      <c r="T97" s="40"/>
      <c r="U97" s="40"/>
      <c r="V97" s="40"/>
      <c r="W97" s="40"/>
      <c r="X97" s="40"/>
      <c r="Y97" s="40"/>
    </row>
    <row r="98" spans="1:25" ht="13.2" x14ac:dyDescent="0.25">
      <c r="A98" s="83"/>
      <c r="B98" s="49" t="s">
        <v>195</v>
      </c>
      <c r="C98" s="50">
        <f>C68*(1+K117)</f>
        <v>74241.024000000005</v>
      </c>
      <c r="D98" s="50">
        <v>0</v>
      </c>
      <c r="E98" s="50">
        <v>0</v>
      </c>
      <c r="F98" s="50">
        <v>0</v>
      </c>
      <c r="G98" s="50">
        <v>0</v>
      </c>
      <c r="H98" s="50">
        <v>0</v>
      </c>
      <c r="I98" s="50">
        <v>0</v>
      </c>
      <c r="J98" s="50">
        <v>0</v>
      </c>
      <c r="K98" s="50">
        <v>0</v>
      </c>
      <c r="L98" s="50">
        <v>0</v>
      </c>
      <c r="M98" s="50">
        <v>0</v>
      </c>
      <c r="N98" s="50">
        <v>0</v>
      </c>
      <c r="O98" s="90">
        <f t="shared" ref="O98:O111" si="64">SUM(C98:N98)</f>
        <v>74241.024000000005</v>
      </c>
      <c r="P98" s="40"/>
      <c r="Q98" s="40"/>
      <c r="R98" s="40"/>
      <c r="S98" s="40"/>
      <c r="T98" s="40"/>
      <c r="U98" s="40"/>
      <c r="V98" s="40"/>
      <c r="W98" s="40"/>
      <c r="X98" s="40"/>
      <c r="Y98" s="40"/>
    </row>
    <row r="99" spans="1:25" ht="13.2" x14ac:dyDescent="0.25">
      <c r="A99" s="82"/>
      <c r="B99" s="49" t="s">
        <v>202</v>
      </c>
      <c r="C99" s="50">
        <f t="shared" ref="C99:N99" si="65">C69*(1+$K$86)</f>
        <v>2812160</v>
      </c>
      <c r="D99" s="50">
        <f t="shared" si="65"/>
        <v>2812160</v>
      </c>
      <c r="E99" s="50">
        <f t="shared" si="65"/>
        <v>2812160</v>
      </c>
      <c r="F99" s="50">
        <f t="shared" si="65"/>
        <v>2812160</v>
      </c>
      <c r="G99" s="50">
        <f t="shared" si="65"/>
        <v>2812160</v>
      </c>
      <c r="H99" s="50">
        <f t="shared" si="65"/>
        <v>2812160</v>
      </c>
      <c r="I99" s="50">
        <f t="shared" si="65"/>
        <v>2812160</v>
      </c>
      <c r="J99" s="50">
        <f t="shared" si="65"/>
        <v>2812160</v>
      </c>
      <c r="K99" s="50">
        <f t="shared" si="65"/>
        <v>2812160</v>
      </c>
      <c r="L99" s="50">
        <f t="shared" si="65"/>
        <v>2812160</v>
      </c>
      <c r="M99" s="50">
        <f t="shared" si="65"/>
        <v>2812160</v>
      </c>
      <c r="N99" s="50">
        <f t="shared" si="65"/>
        <v>2812160</v>
      </c>
      <c r="O99" s="90">
        <f>SUM(C99:N99)</f>
        <v>33745920</v>
      </c>
      <c r="P99" s="40"/>
      <c r="Q99" s="40"/>
      <c r="R99" s="40"/>
      <c r="S99" s="40"/>
      <c r="T99" s="40"/>
      <c r="U99" s="40"/>
      <c r="V99" s="40"/>
      <c r="W99" s="40"/>
      <c r="X99" s="40"/>
      <c r="Y99" s="40"/>
    </row>
    <row r="100" spans="1:25" ht="13.2" x14ac:dyDescent="0.25">
      <c r="A100" s="82"/>
      <c r="B100" s="51" t="s">
        <v>178</v>
      </c>
      <c r="C100" s="50">
        <f t="shared" ref="C100:N100" si="66">C70*(1+$K$86)</f>
        <v>562432</v>
      </c>
      <c r="D100" s="50">
        <f t="shared" si="66"/>
        <v>562432</v>
      </c>
      <c r="E100" s="50">
        <f t="shared" si="66"/>
        <v>562432</v>
      </c>
      <c r="F100" s="50">
        <f t="shared" si="66"/>
        <v>562432</v>
      </c>
      <c r="G100" s="50">
        <f t="shared" si="66"/>
        <v>562432</v>
      </c>
      <c r="H100" s="50">
        <f t="shared" si="66"/>
        <v>562432</v>
      </c>
      <c r="I100" s="50">
        <f t="shared" si="66"/>
        <v>562432</v>
      </c>
      <c r="J100" s="50">
        <f t="shared" si="66"/>
        <v>562432</v>
      </c>
      <c r="K100" s="50">
        <f t="shared" si="66"/>
        <v>562432</v>
      </c>
      <c r="L100" s="50">
        <f t="shared" si="66"/>
        <v>562432</v>
      </c>
      <c r="M100" s="50">
        <f t="shared" si="66"/>
        <v>562432</v>
      </c>
      <c r="N100" s="50">
        <f t="shared" si="66"/>
        <v>562432</v>
      </c>
      <c r="O100" s="90">
        <f t="shared" si="64"/>
        <v>6749184</v>
      </c>
      <c r="P100" s="40"/>
      <c r="Q100" s="40"/>
      <c r="R100" s="40"/>
      <c r="S100" s="40"/>
      <c r="T100" s="40"/>
      <c r="U100" s="40"/>
      <c r="V100" s="40"/>
      <c r="W100" s="40"/>
      <c r="X100" s="40"/>
      <c r="Y100" s="40"/>
    </row>
    <row r="101" spans="1:25" ht="13.2" x14ac:dyDescent="0.25">
      <c r="A101" s="84"/>
      <c r="B101" s="51" t="s">
        <v>179</v>
      </c>
      <c r="C101" s="50">
        <f t="shared" ref="C101:N101" si="67">C71*(1+$K$86)</f>
        <v>67491.839999999997</v>
      </c>
      <c r="D101" s="50">
        <f t="shared" si="67"/>
        <v>67491.839999999997</v>
      </c>
      <c r="E101" s="50">
        <f t="shared" si="67"/>
        <v>67491.839999999997</v>
      </c>
      <c r="F101" s="50">
        <f t="shared" si="67"/>
        <v>67491.839999999997</v>
      </c>
      <c r="G101" s="50">
        <f t="shared" si="67"/>
        <v>67491.839999999997</v>
      </c>
      <c r="H101" s="50">
        <f t="shared" si="67"/>
        <v>67491.839999999997</v>
      </c>
      <c r="I101" s="50">
        <f t="shared" si="67"/>
        <v>67491.839999999997</v>
      </c>
      <c r="J101" s="50">
        <f t="shared" si="67"/>
        <v>67491.839999999997</v>
      </c>
      <c r="K101" s="50">
        <f t="shared" si="67"/>
        <v>67491.839999999997</v>
      </c>
      <c r="L101" s="50">
        <f t="shared" si="67"/>
        <v>67491.839999999997</v>
      </c>
      <c r="M101" s="50">
        <f t="shared" si="67"/>
        <v>67491.839999999997</v>
      </c>
      <c r="N101" s="50">
        <f t="shared" si="67"/>
        <v>67491.839999999997</v>
      </c>
      <c r="O101" s="90">
        <f t="shared" si="64"/>
        <v>809902.07999999973</v>
      </c>
      <c r="P101" s="40"/>
      <c r="Q101" s="40"/>
      <c r="R101" s="40"/>
      <c r="S101" s="40"/>
      <c r="T101" s="40"/>
      <c r="U101" s="40"/>
      <c r="V101" s="40"/>
      <c r="W101" s="40"/>
      <c r="X101" s="40"/>
      <c r="Y101" s="40"/>
    </row>
    <row r="102" spans="1:25" ht="13.2" x14ac:dyDescent="0.25">
      <c r="A102" s="82"/>
      <c r="B102" s="46" t="s">
        <v>207</v>
      </c>
      <c r="C102" s="47">
        <f>SUM(C98:C101)</f>
        <v>3516324.8640000001</v>
      </c>
      <c r="D102" s="47">
        <f t="shared" ref="D102:N102" si="68">SUM(D98:D101)</f>
        <v>3442083.8399999999</v>
      </c>
      <c r="E102" s="47">
        <f t="shared" si="68"/>
        <v>3442083.8399999999</v>
      </c>
      <c r="F102" s="47">
        <f t="shared" si="68"/>
        <v>3442083.8399999999</v>
      </c>
      <c r="G102" s="47">
        <f t="shared" si="68"/>
        <v>3442083.8399999999</v>
      </c>
      <c r="H102" s="47">
        <f t="shared" si="68"/>
        <v>3442083.8399999999</v>
      </c>
      <c r="I102" s="47">
        <f t="shared" si="68"/>
        <v>3442083.8399999999</v>
      </c>
      <c r="J102" s="47">
        <f t="shared" si="68"/>
        <v>3442083.8399999999</v>
      </c>
      <c r="K102" s="47">
        <f t="shared" si="68"/>
        <v>3442083.8399999999</v>
      </c>
      <c r="L102" s="47">
        <f t="shared" si="68"/>
        <v>3442083.8399999999</v>
      </c>
      <c r="M102" s="47">
        <f t="shared" si="68"/>
        <v>3442083.8399999999</v>
      </c>
      <c r="N102" s="47">
        <f t="shared" si="68"/>
        <v>3442083.8399999999</v>
      </c>
      <c r="O102" s="47">
        <f t="shared" si="64"/>
        <v>41379247.104000002</v>
      </c>
      <c r="P102" s="40"/>
      <c r="Q102" s="40"/>
      <c r="R102" s="40"/>
      <c r="S102" s="40"/>
      <c r="T102" s="40"/>
      <c r="U102" s="40"/>
      <c r="V102" s="40"/>
      <c r="W102" s="40"/>
      <c r="X102" s="40"/>
      <c r="Y102" s="40"/>
    </row>
    <row r="103" spans="1:25" ht="13.2" x14ac:dyDescent="0.25">
      <c r="A103" s="82"/>
      <c r="B103" s="55" t="s">
        <v>83</v>
      </c>
      <c r="C103" s="59" t="s">
        <v>173</v>
      </c>
      <c r="D103" s="59" t="s">
        <v>173</v>
      </c>
      <c r="E103" s="59" t="s">
        <v>173</v>
      </c>
      <c r="F103" s="59" t="s">
        <v>173</v>
      </c>
      <c r="G103" s="59" t="s">
        <v>173</v>
      </c>
      <c r="H103" s="59" t="s">
        <v>173</v>
      </c>
      <c r="I103" s="59" t="s">
        <v>173</v>
      </c>
      <c r="J103" s="59" t="s">
        <v>173</v>
      </c>
      <c r="K103" s="59" t="s">
        <v>173</v>
      </c>
      <c r="L103" s="59" t="s">
        <v>173</v>
      </c>
      <c r="M103" s="59" t="s">
        <v>173</v>
      </c>
      <c r="N103" s="59" t="s">
        <v>173</v>
      </c>
      <c r="O103" s="91" t="s">
        <v>173</v>
      </c>
      <c r="P103" s="40"/>
      <c r="Q103" s="40"/>
      <c r="R103" s="40"/>
      <c r="S103" s="40"/>
      <c r="T103" s="40"/>
      <c r="U103" s="40"/>
      <c r="V103" s="40"/>
      <c r="W103" s="40"/>
      <c r="X103" s="40"/>
      <c r="Y103" s="40"/>
    </row>
    <row r="104" spans="1:25" ht="13.2" x14ac:dyDescent="0.25">
      <c r="A104" s="82"/>
      <c r="B104" s="57" t="s">
        <v>210</v>
      </c>
      <c r="C104" s="89">
        <f t="shared" ref="C104:N104" si="69">C74*(1+$K$86)</f>
        <v>372329.98400000005</v>
      </c>
      <c r="D104" s="89">
        <f t="shared" si="69"/>
        <v>448820.73600000003</v>
      </c>
      <c r="E104" s="89">
        <f t="shared" si="69"/>
        <v>413949.95199999999</v>
      </c>
      <c r="F104" s="89">
        <f t="shared" si="69"/>
        <v>386953.21600000001</v>
      </c>
      <c r="G104" s="89">
        <f t="shared" si="69"/>
        <v>355457.02400000003</v>
      </c>
      <c r="H104" s="89">
        <f t="shared" si="69"/>
        <v>445446.14400000003</v>
      </c>
      <c r="I104" s="89">
        <f t="shared" si="69"/>
        <v>519687.16800000001</v>
      </c>
      <c r="J104" s="89">
        <f t="shared" si="69"/>
        <v>498314.75199999998</v>
      </c>
      <c r="K104" s="89">
        <f t="shared" si="69"/>
        <v>384703.48800000001</v>
      </c>
      <c r="L104" s="89">
        <f t="shared" si="69"/>
        <v>394827.26400000002</v>
      </c>
      <c r="M104" s="89">
        <f t="shared" si="69"/>
        <v>375704.57600000006</v>
      </c>
      <c r="N104" s="89">
        <f t="shared" si="69"/>
        <v>406075.90400000004</v>
      </c>
      <c r="O104" s="92">
        <f t="shared" si="64"/>
        <v>5002270.2080000006</v>
      </c>
      <c r="P104" s="40"/>
      <c r="Q104" s="40"/>
      <c r="R104" s="40"/>
      <c r="S104" s="40"/>
      <c r="T104" s="40"/>
      <c r="U104" s="40"/>
      <c r="V104" s="40"/>
      <c r="W104" s="40"/>
      <c r="X104" s="40"/>
      <c r="Y104" s="40"/>
    </row>
    <row r="105" spans="1:25" ht="13.2" x14ac:dyDescent="0.25">
      <c r="A105" s="82"/>
      <c r="B105" s="57" t="s">
        <v>203</v>
      </c>
      <c r="C105" s="89">
        <f t="shared" ref="C105:N105" si="70">C75*(1+$K$86)</f>
        <v>1344212.48</v>
      </c>
      <c r="D105" s="89">
        <f t="shared" si="70"/>
        <v>1447699.9680000001</v>
      </c>
      <c r="E105" s="89">
        <f t="shared" si="70"/>
        <v>1623178.7520000001</v>
      </c>
      <c r="F105" s="89">
        <f t="shared" si="70"/>
        <v>1230601.2160000002</v>
      </c>
      <c r="G105" s="89">
        <f t="shared" si="70"/>
        <v>1637801.9840000002</v>
      </c>
      <c r="H105" s="89">
        <f t="shared" si="70"/>
        <v>1543313.4080000001</v>
      </c>
      <c r="I105" s="89">
        <f t="shared" si="70"/>
        <v>1416203.7760000003</v>
      </c>
      <c r="J105" s="89">
        <f t="shared" si="70"/>
        <v>1683921.4080000001</v>
      </c>
      <c r="K105" s="89">
        <f t="shared" si="70"/>
        <v>1645676.0320000001</v>
      </c>
      <c r="L105" s="89">
        <f t="shared" si="70"/>
        <v>1645676.0320000001</v>
      </c>
      <c r="M105" s="89">
        <f t="shared" si="70"/>
        <v>1278970.368</v>
      </c>
      <c r="N105" s="89">
        <f t="shared" si="70"/>
        <v>1577059.328</v>
      </c>
      <c r="O105" s="92">
        <f t="shared" si="64"/>
        <v>18074314.752</v>
      </c>
      <c r="P105" s="40"/>
      <c r="Q105" s="40"/>
      <c r="R105" s="40"/>
      <c r="S105" s="40"/>
      <c r="T105" s="40"/>
      <c r="U105" s="40"/>
      <c r="V105" s="40"/>
      <c r="W105" s="40"/>
      <c r="X105" s="40"/>
      <c r="Y105" s="40"/>
    </row>
    <row r="106" spans="1:25" ht="13.2" x14ac:dyDescent="0.25">
      <c r="A106" s="82"/>
      <c r="B106" s="58" t="s">
        <v>84</v>
      </c>
      <c r="C106" s="89">
        <f t="shared" ref="C106:N106" si="71">C76*(1+$K$86)</f>
        <v>1188981.2479999999</v>
      </c>
      <c r="D106" s="89">
        <f t="shared" si="71"/>
        <v>1298093.0560000001</v>
      </c>
      <c r="E106" s="89">
        <f t="shared" si="71"/>
        <v>1302592.5120000001</v>
      </c>
      <c r="F106" s="89">
        <f t="shared" si="71"/>
        <v>1345337.344</v>
      </c>
      <c r="G106" s="89">
        <f t="shared" si="71"/>
        <v>1591682.56</v>
      </c>
      <c r="H106" s="89">
        <f t="shared" si="71"/>
        <v>1376833.5360000001</v>
      </c>
      <c r="I106" s="89">
        <f t="shared" si="71"/>
        <v>1429702.1440000001</v>
      </c>
      <c r="J106" s="89">
        <f t="shared" si="71"/>
        <v>1645676.0320000001</v>
      </c>
      <c r="K106" s="89">
        <f t="shared" si="71"/>
        <v>1506192.8960000002</v>
      </c>
      <c r="L106" s="89">
        <f t="shared" si="71"/>
        <v>1503943.1680000001</v>
      </c>
      <c r="M106" s="89">
        <f t="shared" si="71"/>
        <v>1609680.3840000001</v>
      </c>
      <c r="N106" s="89">
        <f t="shared" si="71"/>
        <v>1292468.7360000003</v>
      </c>
      <c r="O106" s="92">
        <f t="shared" si="64"/>
        <v>17091183.616</v>
      </c>
      <c r="P106" s="40"/>
      <c r="Q106" s="40"/>
      <c r="R106" s="40"/>
      <c r="S106" s="40"/>
      <c r="T106" s="40"/>
      <c r="U106" s="40"/>
      <c r="V106" s="40"/>
      <c r="W106" s="40"/>
      <c r="X106" s="40"/>
      <c r="Y106" s="40"/>
    </row>
    <row r="107" spans="1:25" ht="13.2" x14ac:dyDescent="0.25">
      <c r="A107" s="82"/>
      <c r="B107" s="57" t="s">
        <v>85</v>
      </c>
      <c r="C107" s="89">
        <f t="shared" ref="C107:N107" si="72">C77*(1+$K$86)</f>
        <v>1381332.9920000001</v>
      </c>
      <c r="D107" s="89">
        <f t="shared" si="72"/>
        <v>1182232.0640000002</v>
      </c>
      <c r="E107" s="89">
        <f t="shared" si="72"/>
        <v>1223852.0320000001</v>
      </c>
      <c r="F107" s="89">
        <f t="shared" si="72"/>
        <v>1242974.72</v>
      </c>
      <c r="G107" s="89">
        <f t="shared" si="72"/>
        <v>1671547.9040000001</v>
      </c>
      <c r="H107" s="89">
        <f t="shared" si="72"/>
        <v>1227226.6240000001</v>
      </c>
      <c r="I107" s="89">
        <f t="shared" si="72"/>
        <v>1424077.8240000003</v>
      </c>
      <c r="J107" s="89">
        <f t="shared" si="72"/>
        <v>1127113.7279999999</v>
      </c>
      <c r="K107" s="89">
        <f t="shared" si="72"/>
        <v>1465697.7920000001</v>
      </c>
      <c r="L107" s="89">
        <f t="shared" si="72"/>
        <v>1164234.24</v>
      </c>
      <c r="M107" s="89">
        <f t="shared" si="72"/>
        <v>1482570.7520000001</v>
      </c>
      <c r="N107" s="89">
        <f t="shared" si="72"/>
        <v>1411704.32</v>
      </c>
      <c r="O107" s="92">
        <f t="shared" si="64"/>
        <v>16004564.992000001</v>
      </c>
      <c r="P107" s="40"/>
      <c r="Q107" s="40"/>
      <c r="R107" s="40"/>
      <c r="S107" s="40"/>
      <c r="T107" s="40"/>
      <c r="U107" s="40"/>
      <c r="V107" s="40"/>
      <c r="W107" s="40"/>
      <c r="X107" s="40"/>
      <c r="Y107" s="40"/>
    </row>
    <row r="108" spans="1:25" ht="13.2" x14ac:dyDescent="0.25">
      <c r="A108" s="84"/>
      <c r="B108" s="58" t="s">
        <v>180</v>
      </c>
      <c r="C108" s="89">
        <f t="shared" ref="C108:N108" si="73">C78*(1+$K$86)</f>
        <v>1633302.5279999999</v>
      </c>
      <c r="D108" s="89">
        <f t="shared" si="73"/>
        <v>1611930.1120000002</v>
      </c>
      <c r="E108" s="89">
        <f t="shared" si="73"/>
        <v>1339713.0240000002</v>
      </c>
      <c r="F108" s="89">
        <f t="shared" si="73"/>
        <v>1479196.1600000001</v>
      </c>
      <c r="G108" s="89">
        <f t="shared" si="73"/>
        <v>1166483.9679999999</v>
      </c>
      <c r="H108" s="89">
        <f t="shared" si="73"/>
        <v>1296968.192</v>
      </c>
      <c r="I108" s="89">
        <f t="shared" si="73"/>
        <v>1341962.7520000001</v>
      </c>
      <c r="J108" s="89">
        <f t="shared" si="73"/>
        <v>1590557.6960000002</v>
      </c>
      <c r="K108" s="89">
        <f t="shared" si="73"/>
        <v>1245224.4480000001</v>
      </c>
      <c r="L108" s="89">
        <f t="shared" si="73"/>
        <v>1332963.8400000001</v>
      </c>
      <c r="M108" s="89">
        <f t="shared" si="73"/>
        <v>1335213.568</v>
      </c>
      <c r="N108" s="89">
        <f t="shared" si="73"/>
        <v>1301467.648</v>
      </c>
      <c r="O108" s="92">
        <f t="shared" si="64"/>
        <v>16674983.936000003</v>
      </c>
      <c r="P108" s="40"/>
      <c r="Q108" s="40"/>
      <c r="R108" s="40"/>
      <c r="S108" s="40"/>
      <c r="T108" s="40"/>
      <c r="U108" s="40"/>
      <c r="V108" s="40"/>
      <c r="W108" s="40"/>
      <c r="X108" s="40"/>
      <c r="Y108" s="40"/>
    </row>
    <row r="109" spans="1:25" ht="13.2" x14ac:dyDescent="0.25">
      <c r="A109" s="84"/>
      <c r="B109" s="58" t="s">
        <v>86</v>
      </c>
      <c r="C109" s="89">
        <f t="shared" ref="C109:N109" si="74">C79*(1+$K$86)</f>
        <v>1188981.2479999999</v>
      </c>
      <c r="D109" s="89">
        <f t="shared" si="74"/>
        <v>1175482.8800000001</v>
      </c>
      <c r="E109" s="89">
        <f t="shared" si="74"/>
        <v>1140612.0960000001</v>
      </c>
      <c r="F109" s="89">
        <f t="shared" si="74"/>
        <v>1488195.0720000002</v>
      </c>
      <c r="G109" s="89">
        <f t="shared" si="74"/>
        <v>1384707.584</v>
      </c>
      <c r="H109" s="89">
        <f t="shared" si="74"/>
        <v>1152985.6000000001</v>
      </c>
      <c r="I109" s="89">
        <f t="shared" si="74"/>
        <v>1563560.96</v>
      </c>
      <c r="J109" s="89">
        <f t="shared" si="74"/>
        <v>1500568.5760000001</v>
      </c>
      <c r="K109" s="89">
        <f t="shared" si="74"/>
        <v>1208103.9360000002</v>
      </c>
      <c r="L109" s="89">
        <f t="shared" si="74"/>
        <v>1249723.9040000001</v>
      </c>
      <c r="M109" s="89">
        <f t="shared" si="74"/>
        <v>1519691.2640000002</v>
      </c>
      <c r="N109" s="89">
        <f t="shared" si="74"/>
        <v>1599556.608</v>
      </c>
      <c r="O109" s="92">
        <f t="shared" si="64"/>
        <v>16172169.728000004</v>
      </c>
      <c r="P109" s="40"/>
      <c r="Q109" s="40"/>
      <c r="R109" s="40"/>
      <c r="S109" s="40"/>
      <c r="T109" s="40"/>
      <c r="U109" s="40"/>
      <c r="V109" s="40"/>
      <c r="W109" s="40"/>
      <c r="X109" s="40"/>
      <c r="Y109" s="40"/>
    </row>
    <row r="110" spans="1:25" ht="13.2" x14ac:dyDescent="0.25">
      <c r="A110" s="82"/>
      <c r="B110" s="46" t="s">
        <v>208</v>
      </c>
      <c r="C110" s="47">
        <f t="shared" ref="C110:N110" si="75">SUM(C104:C109)</f>
        <v>7109140.4799999995</v>
      </c>
      <c r="D110" s="47">
        <f t="shared" si="75"/>
        <v>7164258.8160000006</v>
      </c>
      <c r="E110" s="47">
        <f t="shared" si="75"/>
        <v>7043898.3679999998</v>
      </c>
      <c r="F110" s="47">
        <f t="shared" si="75"/>
        <v>7173257.7280000001</v>
      </c>
      <c r="G110" s="47">
        <f t="shared" si="75"/>
        <v>7807681.0239999993</v>
      </c>
      <c r="H110" s="47">
        <f t="shared" si="75"/>
        <v>7042773.5040000007</v>
      </c>
      <c r="I110" s="47">
        <f t="shared" si="75"/>
        <v>7695194.6240000008</v>
      </c>
      <c r="J110" s="47">
        <f t="shared" si="75"/>
        <v>8046152.1920000007</v>
      </c>
      <c r="K110" s="47">
        <f t="shared" si="75"/>
        <v>7455598.5920000002</v>
      </c>
      <c r="L110" s="47">
        <f t="shared" si="75"/>
        <v>7291368.4479999999</v>
      </c>
      <c r="M110" s="47">
        <f t="shared" si="75"/>
        <v>7601830.9120000005</v>
      </c>
      <c r="N110" s="47">
        <f t="shared" si="75"/>
        <v>7588332.5440000007</v>
      </c>
      <c r="O110" s="47">
        <f t="shared" si="64"/>
        <v>89019487.232000008</v>
      </c>
      <c r="P110" s="40"/>
      <c r="Q110" s="40"/>
      <c r="R110" s="40"/>
      <c r="S110" s="40"/>
      <c r="T110" s="40"/>
      <c r="U110" s="40"/>
      <c r="V110" s="40"/>
      <c r="W110" s="40"/>
      <c r="X110" s="40"/>
      <c r="Y110" s="40"/>
    </row>
    <row r="111" spans="1:25" ht="13.2" x14ac:dyDescent="0.25">
      <c r="A111" s="82"/>
      <c r="B111" s="60" t="s">
        <v>87</v>
      </c>
      <c r="C111" s="47">
        <f t="shared" ref="C111:N111" si="76">C102+C110</f>
        <v>10625465.344000001</v>
      </c>
      <c r="D111" s="47">
        <f t="shared" si="76"/>
        <v>10606342.655999999</v>
      </c>
      <c r="E111" s="47">
        <f t="shared" si="76"/>
        <v>10485982.208000001</v>
      </c>
      <c r="F111" s="47">
        <f t="shared" si="76"/>
        <v>10615341.568</v>
      </c>
      <c r="G111" s="47">
        <f t="shared" si="76"/>
        <v>11249764.864</v>
      </c>
      <c r="H111" s="47">
        <f t="shared" si="76"/>
        <v>10484857.344000001</v>
      </c>
      <c r="I111" s="47">
        <f t="shared" si="76"/>
        <v>11137278.464000002</v>
      </c>
      <c r="J111" s="47">
        <f t="shared" si="76"/>
        <v>11488236.032000002</v>
      </c>
      <c r="K111" s="47">
        <f t="shared" si="76"/>
        <v>10897682.432</v>
      </c>
      <c r="L111" s="47">
        <f t="shared" si="76"/>
        <v>10733452.287999999</v>
      </c>
      <c r="M111" s="47">
        <f t="shared" si="76"/>
        <v>11043914.752</v>
      </c>
      <c r="N111" s="47">
        <f t="shared" si="76"/>
        <v>11030416.384</v>
      </c>
      <c r="O111" s="47">
        <f t="shared" si="64"/>
        <v>130398734.33600001</v>
      </c>
      <c r="P111" s="40"/>
      <c r="Q111" s="40"/>
      <c r="R111" s="40"/>
      <c r="S111" s="40"/>
      <c r="T111" s="40"/>
      <c r="U111" s="40"/>
      <c r="V111" s="40"/>
      <c r="W111" s="40"/>
      <c r="X111" s="40"/>
      <c r="Y111" s="40"/>
    </row>
    <row r="112" spans="1:25" ht="13.2" x14ac:dyDescent="0.25">
      <c r="A112" s="84"/>
      <c r="B112" s="108" t="s">
        <v>238</v>
      </c>
      <c r="C112" s="119">
        <f>'5. Down payment savings'!$F$2</f>
        <v>22867024.153494995</v>
      </c>
      <c r="D112" s="119">
        <f>'5. Down payment savings'!$F$2</f>
        <v>22867024.153494995</v>
      </c>
      <c r="E112" s="119">
        <f>'5. Down payment savings'!$F$2</f>
        <v>22867024.153494995</v>
      </c>
      <c r="F112" s="119">
        <f>'5. Down payment savings'!$F$2</f>
        <v>22867024.153494995</v>
      </c>
      <c r="G112" s="119">
        <f>'5. Down payment savings'!$F$2</f>
        <v>22867024.153494995</v>
      </c>
      <c r="H112" s="119">
        <f>'5. Down payment savings'!$F$2</f>
        <v>22867024.153494995</v>
      </c>
      <c r="I112" s="119">
        <f>'5. Down payment savings'!$F$2</f>
        <v>22867024.153494995</v>
      </c>
      <c r="J112" s="119">
        <f>'5. Down payment savings'!$F$2</f>
        <v>22867024.153494995</v>
      </c>
      <c r="K112" s="119">
        <f>'5. Down payment savings'!$F$2</f>
        <v>22867024.153494995</v>
      </c>
      <c r="L112" s="119">
        <f>'5. Down payment savings'!$F$2</f>
        <v>22867024.153494995</v>
      </c>
      <c r="M112" s="119">
        <f>'5. Down payment savings'!$F$2</f>
        <v>22867024.153494995</v>
      </c>
      <c r="N112" s="119">
        <f>'5. Down payment savings'!$F$2</f>
        <v>22867024.153494995</v>
      </c>
      <c r="O112" s="109">
        <f>SUM(C112:N112)</f>
        <v>274404289.84193987</v>
      </c>
      <c r="P112" s="40"/>
      <c r="Q112" s="40"/>
      <c r="R112" s="40"/>
      <c r="S112" s="40"/>
      <c r="T112" s="40"/>
      <c r="U112" s="40"/>
      <c r="V112" s="40"/>
      <c r="W112" s="40"/>
      <c r="X112" s="40"/>
      <c r="Y112" s="40"/>
    </row>
    <row r="113" spans="1:25" ht="13.2" x14ac:dyDescent="0.25">
      <c r="A113" s="82"/>
      <c r="B113" s="108" t="s">
        <v>204</v>
      </c>
      <c r="C113" s="109">
        <f>$O111*(3/12)/12</f>
        <v>2716640.2986666667</v>
      </c>
      <c r="D113" s="109">
        <f t="shared" ref="D113" si="77">$O111*(3/12)/12</f>
        <v>2716640.2986666667</v>
      </c>
      <c r="E113" s="109">
        <f t="shared" ref="E113" si="78">$O111*(3/12)/12</f>
        <v>2716640.2986666667</v>
      </c>
      <c r="F113" s="109">
        <f t="shared" ref="F113" si="79">$O111*(3/12)/12</f>
        <v>2716640.2986666667</v>
      </c>
      <c r="G113" s="109">
        <f t="shared" ref="G113" si="80">$O111*(3/12)/12</f>
        <v>2716640.2986666667</v>
      </c>
      <c r="H113" s="109">
        <f t="shared" ref="H113" si="81">$O111*(3/12)/12</f>
        <v>2716640.2986666667</v>
      </c>
      <c r="I113" s="109">
        <f t="shared" ref="I113" si="82">$O111*(3/12)/12</f>
        <v>2716640.2986666667</v>
      </c>
      <c r="J113" s="109">
        <f t="shared" ref="J113" si="83">$O111*(3/12)/12</f>
        <v>2716640.2986666667</v>
      </c>
      <c r="K113" s="109">
        <f t="shared" ref="K113" si="84">$O111*(3/12)/12</f>
        <v>2716640.2986666667</v>
      </c>
      <c r="L113" s="109">
        <f t="shared" ref="L113" si="85">$O111*(3/12)/12</f>
        <v>2716640.2986666667</v>
      </c>
      <c r="M113" s="109">
        <f t="shared" ref="M113" si="86">$O111*(3/12)/12</f>
        <v>2716640.2986666667</v>
      </c>
      <c r="N113" s="109">
        <f t="shared" ref="N113" si="87">$O111*(3/12)/12</f>
        <v>2716640.2986666667</v>
      </c>
      <c r="O113" s="109">
        <f t="shared" ref="O113" si="88">SUM(C113:N113)</f>
        <v>32599683.584000003</v>
      </c>
      <c r="P113" s="43"/>
      <c r="Q113" s="43"/>
      <c r="R113" s="40"/>
      <c r="S113" s="40"/>
      <c r="T113" s="40"/>
      <c r="U113" s="40"/>
      <c r="V113" s="40"/>
      <c r="W113" s="40"/>
      <c r="X113" s="40"/>
      <c r="Y113" s="40"/>
    </row>
    <row r="114" spans="1:25" ht="13.2" x14ac:dyDescent="0.25">
      <c r="A114" s="82"/>
      <c r="B114" s="60" t="s">
        <v>206</v>
      </c>
      <c r="C114" s="61">
        <f t="shared" ref="C114:N114" si="89">C95-C111-C113-C112</f>
        <v>-3719129.7961616628</v>
      </c>
      <c r="D114" s="61">
        <f t="shared" si="89"/>
        <v>-3700007.1081616618</v>
      </c>
      <c r="E114" s="61">
        <f t="shared" si="89"/>
        <v>-3579646.6601616628</v>
      </c>
      <c r="F114" s="61">
        <f t="shared" si="89"/>
        <v>-3709006.0201616623</v>
      </c>
      <c r="G114" s="61">
        <f t="shared" si="89"/>
        <v>-4343429.3161616623</v>
      </c>
      <c r="H114" s="61">
        <f t="shared" si="89"/>
        <v>-3578521.7961616628</v>
      </c>
      <c r="I114" s="61">
        <f t="shared" si="89"/>
        <v>-4230942.9161616638</v>
      </c>
      <c r="J114" s="61">
        <f t="shared" si="89"/>
        <v>-4581900.4841616638</v>
      </c>
      <c r="K114" s="61">
        <f t="shared" si="89"/>
        <v>-3991346.8841616623</v>
      </c>
      <c r="L114" s="61">
        <f t="shared" si="89"/>
        <v>-3827116.7401616611</v>
      </c>
      <c r="M114" s="61">
        <f t="shared" si="89"/>
        <v>-4137579.2041616626</v>
      </c>
      <c r="N114" s="61">
        <f t="shared" si="89"/>
        <v>-4124080.8361616619</v>
      </c>
      <c r="O114" s="47">
        <f t="shared" ref="O114" si="90">SUM(C114:N114)</f>
        <v>-47522707.761939943</v>
      </c>
      <c r="P114" s="43"/>
      <c r="Q114" s="43"/>
      <c r="R114" s="40"/>
      <c r="S114" s="40"/>
      <c r="T114" s="40"/>
      <c r="U114" s="40"/>
      <c r="V114" s="40"/>
      <c r="W114" s="40"/>
      <c r="X114" s="40"/>
      <c r="Y114" s="40"/>
    </row>
    <row r="115" spans="1:25" ht="13.2" x14ac:dyDescent="0.25">
      <c r="A115" s="85"/>
      <c r="B115" s="40"/>
      <c r="C115" s="40"/>
      <c r="D115" s="40"/>
      <c r="E115" s="40"/>
      <c r="F115" s="40"/>
      <c r="G115" s="40"/>
      <c r="H115" s="40"/>
      <c r="I115" s="40"/>
      <c r="J115" s="40"/>
      <c r="K115" s="40"/>
      <c r="L115" s="353" t="s">
        <v>217</v>
      </c>
      <c r="M115" s="354"/>
      <c r="N115" s="350">
        <f>SUM(C114:N114)+N84</f>
        <v>243226424.23806006</v>
      </c>
      <c r="O115" s="40"/>
      <c r="P115" s="40"/>
      <c r="Q115" s="40"/>
      <c r="R115" s="40"/>
      <c r="S115" s="40"/>
      <c r="T115" s="40"/>
      <c r="U115" s="40"/>
      <c r="V115" s="40"/>
      <c r="W115" s="40"/>
      <c r="X115" s="40"/>
      <c r="Y115" s="40"/>
    </row>
    <row r="116" spans="1:25" ht="13.2" x14ac:dyDescent="0.25">
      <c r="A116" s="85"/>
      <c r="B116" s="40"/>
      <c r="C116" s="40"/>
      <c r="D116" s="40"/>
      <c r="E116" s="40"/>
      <c r="F116" s="40"/>
      <c r="G116" s="40"/>
      <c r="H116" s="40"/>
      <c r="I116" s="40"/>
      <c r="J116" s="40"/>
      <c r="K116" s="40"/>
      <c r="L116" s="320"/>
      <c r="M116" s="355"/>
      <c r="N116" s="351"/>
      <c r="O116" s="40"/>
      <c r="P116" s="40"/>
      <c r="Q116" s="40"/>
      <c r="R116" s="40"/>
      <c r="S116" s="40"/>
      <c r="T116" s="40"/>
      <c r="U116" s="40"/>
      <c r="V116" s="40"/>
      <c r="W116" s="40"/>
      <c r="X116" s="40"/>
      <c r="Y116" s="40"/>
    </row>
    <row r="117" spans="1:25" ht="13.2" customHeight="1" x14ac:dyDescent="0.25">
      <c r="A117" s="85"/>
      <c r="B117" s="319" t="s">
        <v>632</v>
      </c>
      <c r="C117" s="352" t="s">
        <v>328</v>
      </c>
      <c r="D117" s="352"/>
      <c r="E117" s="352"/>
      <c r="F117" s="352"/>
      <c r="G117" s="352"/>
      <c r="H117" s="352"/>
      <c r="I117" s="142" t="s">
        <v>405</v>
      </c>
      <c r="J117" s="358" t="s">
        <v>231</v>
      </c>
      <c r="K117" s="359">
        <v>0.04</v>
      </c>
      <c r="L117" s="40"/>
      <c r="M117" s="40"/>
      <c r="N117" s="40"/>
      <c r="O117" s="361"/>
      <c r="P117" s="40"/>
      <c r="Q117" s="40"/>
      <c r="R117" s="40"/>
      <c r="S117" s="40"/>
      <c r="T117" s="40"/>
      <c r="U117" s="40"/>
      <c r="V117" s="40"/>
      <c r="W117" s="40"/>
      <c r="X117" s="40"/>
      <c r="Y117" s="40"/>
    </row>
    <row r="118" spans="1:25" ht="92.4" x14ac:dyDescent="0.25">
      <c r="A118" s="85"/>
      <c r="B118" s="319"/>
      <c r="C118" s="352"/>
      <c r="D118" s="352"/>
      <c r="E118" s="352"/>
      <c r="F118" s="352"/>
      <c r="G118" s="352"/>
      <c r="H118" s="352"/>
      <c r="I118" s="141" t="s">
        <v>406</v>
      </c>
      <c r="J118" s="358"/>
      <c r="K118" s="360"/>
      <c r="L118" s="40"/>
      <c r="M118" s="40"/>
      <c r="N118" s="40"/>
      <c r="O118" s="362"/>
      <c r="P118" s="40"/>
      <c r="Q118" s="40"/>
      <c r="R118" s="40"/>
      <c r="S118" s="40"/>
      <c r="T118" s="40"/>
      <c r="U118" s="40"/>
      <c r="V118" s="40"/>
      <c r="W118" s="40"/>
      <c r="X118" s="40"/>
      <c r="Y118" s="40"/>
    </row>
    <row r="119" spans="1:25" ht="13.2" x14ac:dyDescent="0.25">
      <c r="A119" s="85"/>
      <c r="B119" s="319"/>
      <c r="C119" s="352"/>
      <c r="D119" s="352"/>
      <c r="E119" s="352"/>
      <c r="F119" s="352"/>
      <c r="G119" s="352"/>
      <c r="H119" s="352"/>
      <c r="I119" s="40"/>
      <c r="J119" s="40"/>
      <c r="K119" s="40"/>
      <c r="L119" s="40"/>
      <c r="M119" s="40"/>
      <c r="N119" s="40"/>
      <c r="O119" s="40"/>
      <c r="P119" s="40"/>
      <c r="Q119" s="40"/>
      <c r="R119" s="40"/>
      <c r="S119" s="40"/>
      <c r="T119" s="40"/>
      <c r="U119" s="40"/>
      <c r="V119" s="40"/>
      <c r="W119" s="40"/>
      <c r="X119" s="40"/>
      <c r="Y119" s="40"/>
    </row>
    <row r="120" spans="1:25" ht="13.2" x14ac:dyDescent="0.25">
      <c r="A120" s="85"/>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row>
    <row r="121" spans="1:25" ht="13.2" x14ac:dyDescent="0.25">
      <c r="A121" s="85"/>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row>
    <row r="122" spans="1:25" ht="24.6" x14ac:dyDescent="0.25">
      <c r="A122" s="80"/>
      <c r="B122" s="348" t="s">
        <v>234</v>
      </c>
      <c r="C122" s="348"/>
      <c r="D122" s="348"/>
      <c r="E122" s="348"/>
      <c r="F122" s="348"/>
      <c r="G122" s="348"/>
      <c r="H122" s="348"/>
      <c r="I122" s="348"/>
      <c r="J122" s="348"/>
      <c r="K122" s="348"/>
      <c r="L122" s="348"/>
      <c r="M122" s="348"/>
      <c r="N122" s="348"/>
      <c r="O122" s="348"/>
      <c r="P122" s="40"/>
      <c r="Q122" s="40"/>
      <c r="R122" s="40"/>
      <c r="S122" s="40"/>
      <c r="T122" s="40"/>
      <c r="U122" s="40"/>
      <c r="V122" s="40"/>
      <c r="W122" s="40"/>
      <c r="X122" s="40"/>
      <c r="Y122" s="40"/>
    </row>
    <row r="123" spans="1:25" ht="24.6" x14ac:dyDescent="0.25">
      <c r="A123" s="81"/>
      <c r="B123" s="349"/>
      <c r="C123" s="349"/>
      <c r="D123" s="349"/>
      <c r="E123" s="349"/>
      <c r="F123" s="349"/>
      <c r="G123" s="349"/>
      <c r="H123" s="349"/>
      <c r="I123" s="349"/>
      <c r="J123" s="349"/>
      <c r="K123" s="349"/>
      <c r="L123" s="349"/>
      <c r="M123" s="349"/>
      <c r="N123" s="349"/>
      <c r="O123" s="349"/>
      <c r="P123" s="40"/>
      <c r="Q123" s="40"/>
      <c r="R123" s="40"/>
      <c r="S123" s="40"/>
      <c r="T123" s="40"/>
      <c r="U123" s="40"/>
      <c r="V123" s="40"/>
      <c r="W123" s="40"/>
      <c r="X123" s="40"/>
      <c r="Y123" s="40"/>
    </row>
    <row r="124" spans="1:25" ht="13.2" x14ac:dyDescent="0.25">
      <c r="A124" s="82"/>
      <c r="B124" s="41"/>
      <c r="C124" s="42" t="s">
        <v>66</v>
      </c>
      <c r="D124" s="42" t="s">
        <v>67</v>
      </c>
      <c r="E124" s="42" t="s">
        <v>68</v>
      </c>
      <c r="F124" s="42" t="s">
        <v>69</v>
      </c>
      <c r="G124" s="42" t="s">
        <v>70</v>
      </c>
      <c r="H124" s="42" t="s">
        <v>71</v>
      </c>
      <c r="I124" s="42" t="s">
        <v>72</v>
      </c>
      <c r="J124" s="42" t="s">
        <v>73</v>
      </c>
      <c r="K124" s="42" t="s">
        <v>74</v>
      </c>
      <c r="L124" s="42" t="s">
        <v>75</v>
      </c>
      <c r="M124" s="42" t="s">
        <v>76</v>
      </c>
      <c r="N124" s="42" t="s">
        <v>77</v>
      </c>
      <c r="O124" s="42" t="s">
        <v>236</v>
      </c>
      <c r="P124" s="40"/>
      <c r="Q124" s="40"/>
      <c r="R124" s="40"/>
      <c r="S124" s="40"/>
      <c r="T124" s="40"/>
      <c r="U124" s="40"/>
      <c r="V124" s="40"/>
      <c r="W124" s="40"/>
      <c r="X124" s="40"/>
      <c r="Y124" s="40"/>
    </row>
    <row r="125" spans="1:25" ht="13.2" x14ac:dyDescent="0.25">
      <c r="A125" s="82"/>
      <c r="B125" s="44" t="s">
        <v>194</v>
      </c>
      <c r="C125" s="45">
        <f>'3.1. My Income Tax Calculation'!$P$6/12</f>
        <v>32641623.529411767</v>
      </c>
      <c r="D125" s="45">
        <f>'3.1. My Income Tax Calculation'!$P$6/12</f>
        <v>32641623.529411767</v>
      </c>
      <c r="E125" s="45">
        <f>'3.1. My Income Tax Calculation'!$P$6/12</f>
        <v>32641623.529411767</v>
      </c>
      <c r="F125" s="45">
        <f>'3.1. My Income Tax Calculation'!$P$6/12</f>
        <v>32641623.529411767</v>
      </c>
      <c r="G125" s="45">
        <f>'3.1. My Income Tax Calculation'!$P$6/12</f>
        <v>32641623.529411767</v>
      </c>
      <c r="H125" s="45">
        <f>'3.1. My Income Tax Calculation'!$P$6/12</f>
        <v>32641623.529411767</v>
      </c>
      <c r="I125" s="45">
        <f>'3.1. My Income Tax Calculation'!$P$6/12</f>
        <v>32641623.529411767</v>
      </c>
      <c r="J125" s="45">
        <f>'3.1. My Income Tax Calculation'!$P$6/12</f>
        <v>32641623.529411767</v>
      </c>
      <c r="K125" s="45">
        <f>'3.1. My Income Tax Calculation'!$P$6/12</f>
        <v>32641623.529411767</v>
      </c>
      <c r="L125" s="45">
        <f>'3.1. My Income Tax Calculation'!$P$6/12</f>
        <v>32641623.529411767</v>
      </c>
      <c r="M125" s="45">
        <f>'3.1. My Income Tax Calculation'!$P$6/12</f>
        <v>32641623.529411767</v>
      </c>
      <c r="N125" s="45">
        <f>'3.1. My Income Tax Calculation'!$P$6/12</f>
        <v>32641623.529411767</v>
      </c>
      <c r="O125" s="45" t="s">
        <v>173</v>
      </c>
      <c r="P125" s="40"/>
      <c r="Q125" s="40"/>
      <c r="R125" s="40"/>
      <c r="S125" s="40"/>
      <c r="T125" s="40"/>
      <c r="U125" s="40"/>
      <c r="V125" s="40"/>
      <c r="W125" s="40"/>
      <c r="X125" s="40"/>
      <c r="Y125" s="40"/>
    </row>
    <row r="126" spans="1:25" ht="13.2" x14ac:dyDescent="0.25">
      <c r="A126" s="82"/>
      <c r="B126" s="46" t="s">
        <v>209</v>
      </c>
      <c r="C126" s="47">
        <f>C125</f>
        <v>32641623.529411767</v>
      </c>
      <c r="D126" s="47">
        <f t="shared" ref="D126:N126" si="91">D125</f>
        <v>32641623.529411767</v>
      </c>
      <c r="E126" s="47">
        <f t="shared" si="91"/>
        <v>32641623.529411767</v>
      </c>
      <c r="F126" s="47">
        <f t="shared" si="91"/>
        <v>32641623.529411767</v>
      </c>
      <c r="G126" s="47">
        <f t="shared" si="91"/>
        <v>32641623.529411767</v>
      </c>
      <c r="H126" s="47">
        <f t="shared" si="91"/>
        <v>32641623.529411767</v>
      </c>
      <c r="I126" s="47">
        <f t="shared" si="91"/>
        <v>32641623.529411767</v>
      </c>
      <c r="J126" s="47">
        <f t="shared" si="91"/>
        <v>32641623.529411767</v>
      </c>
      <c r="K126" s="47">
        <f t="shared" si="91"/>
        <v>32641623.529411767</v>
      </c>
      <c r="L126" s="47">
        <f t="shared" si="91"/>
        <v>32641623.529411767</v>
      </c>
      <c r="M126" s="47">
        <f t="shared" si="91"/>
        <v>32641623.529411767</v>
      </c>
      <c r="N126" s="47">
        <f t="shared" si="91"/>
        <v>32641623.529411767</v>
      </c>
      <c r="O126" s="47">
        <f>SUM(C126:N126)</f>
        <v>391699482.35294127</v>
      </c>
      <c r="P126" s="40"/>
      <c r="Q126" s="40"/>
      <c r="R126" s="40"/>
      <c r="S126" s="40"/>
      <c r="T126" s="40"/>
      <c r="U126" s="40"/>
      <c r="V126" s="40"/>
      <c r="W126" s="40"/>
      <c r="X126" s="40"/>
      <c r="Y126" s="40"/>
    </row>
    <row r="127" spans="1:25" ht="13.2" x14ac:dyDescent="0.25">
      <c r="A127" s="82"/>
      <c r="B127" s="52" t="s">
        <v>78</v>
      </c>
      <c r="C127" s="53" t="s">
        <v>173</v>
      </c>
      <c r="D127" s="53" t="s">
        <v>173</v>
      </c>
      <c r="E127" s="53" t="s">
        <v>173</v>
      </c>
      <c r="F127" s="53" t="s">
        <v>173</v>
      </c>
      <c r="G127" s="53" t="s">
        <v>173</v>
      </c>
      <c r="H127" s="53" t="s">
        <v>173</v>
      </c>
      <c r="I127" s="53" t="s">
        <v>173</v>
      </c>
      <c r="J127" s="53" t="s">
        <v>173</v>
      </c>
      <c r="K127" s="53" t="s">
        <v>173</v>
      </c>
      <c r="L127" s="53" t="s">
        <v>173</v>
      </c>
      <c r="M127" s="53" t="s">
        <v>173</v>
      </c>
      <c r="N127" s="53" t="s">
        <v>173</v>
      </c>
      <c r="O127" s="91" t="s">
        <v>173</v>
      </c>
      <c r="P127" s="40"/>
      <c r="Q127" s="40"/>
      <c r="R127" s="40"/>
      <c r="S127" s="40"/>
      <c r="T127" s="40"/>
      <c r="U127" s="40"/>
      <c r="V127" s="40"/>
      <c r="W127" s="40"/>
      <c r="X127" s="40"/>
      <c r="Y127" s="40"/>
    </row>
    <row r="128" spans="1:25" ht="13.2" x14ac:dyDescent="0.25">
      <c r="A128" s="82"/>
      <c r="B128" s="48" t="s">
        <v>79</v>
      </c>
      <c r="C128" s="54" t="s">
        <v>173</v>
      </c>
      <c r="D128" s="54" t="s">
        <v>173</v>
      </c>
      <c r="E128" s="54" t="s">
        <v>173</v>
      </c>
      <c r="F128" s="54" t="s">
        <v>173</v>
      </c>
      <c r="G128" s="54" t="s">
        <v>173</v>
      </c>
      <c r="H128" s="54" t="s">
        <v>173</v>
      </c>
      <c r="I128" s="54" t="s">
        <v>173</v>
      </c>
      <c r="J128" s="54" t="s">
        <v>173</v>
      </c>
      <c r="K128" s="54" t="s">
        <v>173</v>
      </c>
      <c r="L128" s="54" t="s">
        <v>173</v>
      </c>
      <c r="M128" s="54" t="s">
        <v>173</v>
      </c>
      <c r="N128" s="54" t="s">
        <v>173</v>
      </c>
      <c r="O128" s="91" t="s">
        <v>173</v>
      </c>
      <c r="P128" s="40"/>
      <c r="Q128" s="40"/>
      <c r="R128" s="40"/>
      <c r="S128" s="40"/>
      <c r="T128" s="40"/>
      <c r="U128" s="40"/>
      <c r="V128" s="40"/>
      <c r="W128" s="40"/>
      <c r="X128" s="40"/>
      <c r="Y128" s="40"/>
    </row>
    <row r="129" spans="1:25" ht="13.2" x14ac:dyDescent="0.25">
      <c r="A129" s="83"/>
      <c r="B129" s="49" t="s">
        <v>195</v>
      </c>
      <c r="C129" s="50">
        <f>C98*(1+K148)</f>
        <v>77210.664960000009</v>
      </c>
      <c r="D129" s="50">
        <v>0</v>
      </c>
      <c r="E129" s="50">
        <v>0</v>
      </c>
      <c r="F129" s="50">
        <v>0</v>
      </c>
      <c r="G129" s="50">
        <v>0</v>
      </c>
      <c r="H129" s="50">
        <v>0</v>
      </c>
      <c r="I129" s="50">
        <v>0</v>
      </c>
      <c r="J129" s="50">
        <v>0</v>
      </c>
      <c r="K129" s="50">
        <v>0</v>
      </c>
      <c r="L129" s="50">
        <v>0</v>
      </c>
      <c r="M129" s="50">
        <v>0</v>
      </c>
      <c r="N129" s="50">
        <v>0</v>
      </c>
      <c r="O129" s="90">
        <f t="shared" ref="O129:O142" si="92">SUM(C129:N129)</f>
        <v>77210.664960000009</v>
      </c>
      <c r="P129" s="40"/>
      <c r="Q129" s="40"/>
      <c r="R129" s="40"/>
      <c r="S129" s="40"/>
      <c r="T129" s="40"/>
      <c r="U129" s="40"/>
      <c r="V129" s="40"/>
      <c r="W129" s="40"/>
      <c r="X129" s="40"/>
      <c r="Y129" s="40"/>
    </row>
    <row r="130" spans="1:25" ht="13.2" x14ac:dyDescent="0.25">
      <c r="A130" s="82"/>
      <c r="B130" s="49" t="s">
        <v>202</v>
      </c>
      <c r="C130" s="50">
        <f t="shared" ref="C130:N130" si="93">C99*(1+$K$86)</f>
        <v>2924646.3999999999</v>
      </c>
      <c r="D130" s="50">
        <f t="shared" si="93"/>
        <v>2924646.3999999999</v>
      </c>
      <c r="E130" s="50">
        <f t="shared" si="93"/>
        <v>2924646.3999999999</v>
      </c>
      <c r="F130" s="50">
        <f t="shared" si="93"/>
        <v>2924646.3999999999</v>
      </c>
      <c r="G130" s="50">
        <f t="shared" si="93"/>
        <v>2924646.3999999999</v>
      </c>
      <c r="H130" s="50">
        <f t="shared" si="93"/>
        <v>2924646.3999999999</v>
      </c>
      <c r="I130" s="50">
        <f t="shared" si="93"/>
        <v>2924646.3999999999</v>
      </c>
      <c r="J130" s="50">
        <f t="shared" si="93"/>
        <v>2924646.3999999999</v>
      </c>
      <c r="K130" s="50">
        <f t="shared" si="93"/>
        <v>2924646.3999999999</v>
      </c>
      <c r="L130" s="50">
        <f t="shared" si="93"/>
        <v>2924646.3999999999</v>
      </c>
      <c r="M130" s="50">
        <f t="shared" si="93"/>
        <v>2924646.3999999999</v>
      </c>
      <c r="N130" s="50">
        <f t="shared" si="93"/>
        <v>2924646.3999999999</v>
      </c>
      <c r="O130" s="90">
        <f>SUM(C130:N130)</f>
        <v>35095756.79999999</v>
      </c>
      <c r="P130" s="40"/>
      <c r="Q130" s="40"/>
      <c r="R130" s="40"/>
      <c r="S130" s="40"/>
      <c r="T130" s="40"/>
      <c r="U130" s="40"/>
      <c r="V130" s="40"/>
      <c r="W130" s="40"/>
      <c r="X130" s="40"/>
      <c r="Y130" s="40"/>
    </row>
    <row r="131" spans="1:25" ht="13.2" x14ac:dyDescent="0.25">
      <c r="A131" s="82"/>
      <c r="B131" s="51" t="s">
        <v>178</v>
      </c>
      <c r="C131" s="50">
        <f t="shared" ref="C131:N131" si="94">C100*(1+$K$86)</f>
        <v>584929.28000000003</v>
      </c>
      <c r="D131" s="50">
        <f t="shared" si="94"/>
        <v>584929.28000000003</v>
      </c>
      <c r="E131" s="50">
        <f t="shared" si="94"/>
        <v>584929.28000000003</v>
      </c>
      <c r="F131" s="50">
        <f t="shared" si="94"/>
        <v>584929.28000000003</v>
      </c>
      <c r="G131" s="50">
        <f t="shared" si="94"/>
        <v>584929.28000000003</v>
      </c>
      <c r="H131" s="50">
        <f t="shared" si="94"/>
        <v>584929.28000000003</v>
      </c>
      <c r="I131" s="50">
        <f t="shared" si="94"/>
        <v>584929.28000000003</v>
      </c>
      <c r="J131" s="50">
        <f t="shared" si="94"/>
        <v>584929.28000000003</v>
      </c>
      <c r="K131" s="50">
        <f t="shared" si="94"/>
        <v>584929.28000000003</v>
      </c>
      <c r="L131" s="50">
        <f t="shared" si="94"/>
        <v>584929.28000000003</v>
      </c>
      <c r="M131" s="50">
        <f t="shared" si="94"/>
        <v>584929.28000000003</v>
      </c>
      <c r="N131" s="50">
        <f t="shared" si="94"/>
        <v>584929.28000000003</v>
      </c>
      <c r="O131" s="90">
        <f t="shared" si="92"/>
        <v>7019151.3600000022</v>
      </c>
      <c r="P131" s="40"/>
      <c r="Q131" s="40"/>
      <c r="R131" s="40"/>
      <c r="S131" s="40"/>
      <c r="T131" s="40"/>
      <c r="U131" s="40"/>
      <c r="V131" s="40"/>
      <c r="W131" s="40"/>
      <c r="X131" s="40"/>
      <c r="Y131" s="40"/>
    </row>
    <row r="132" spans="1:25" ht="13.2" x14ac:dyDescent="0.25">
      <c r="A132" s="84"/>
      <c r="B132" s="51" t="s">
        <v>179</v>
      </c>
      <c r="C132" s="50">
        <f t="shared" ref="C132:N132" si="95">C101*(1+$K$86)</f>
        <v>70191.513600000006</v>
      </c>
      <c r="D132" s="50">
        <f t="shared" si="95"/>
        <v>70191.513600000006</v>
      </c>
      <c r="E132" s="50">
        <f t="shared" si="95"/>
        <v>70191.513600000006</v>
      </c>
      <c r="F132" s="50">
        <f t="shared" si="95"/>
        <v>70191.513600000006</v>
      </c>
      <c r="G132" s="50">
        <f t="shared" si="95"/>
        <v>70191.513600000006</v>
      </c>
      <c r="H132" s="50">
        <f t="shared" si="95"/>
        <v>70191.513600000006</v>
      </c>
      <c r="I132" s="50">
        <f t="shared" si="95"/>
        <v>70191.513600000006</v>
      </c>
      <c r="J132" s="50">
        <f t="shared" si="95"/>
        <v>70191.513600000006</v>
      </c>
      <c r="K132" s="50">
        <f t="shared" si="95"/>
        <v>70191.513600000006</v>
      </c>
      <c r="L132" s="50">
        <f t="shared" si="95"/>
        <v>70191.513600000006</v>
      </c>
      <c r="M132" s="50">
        <f t="shared" si="95"/>
        <v>70191.513600000006</v>
      </c>
      <c r="N132" s="50">
        <f t="shared" si="95"/>
        <v>70191.513600000006</v>
      </c>
      <c r="O132" s="90">
        <f t="shared" si="92"/>
        <v>842298.16319999984</v>
      </c>
      <c r="P132" s="40"/>
      <c r="Q132" s="40"/>
      <c r="R132" s="40"/>
      <c r="S132" s="40"/>
      <c r="T132" s="40"/>
      <c r="U132" s="40"/>
      <c r="V132" s="40"/>
      <c r="W132" s="40"/>
      <c r="X132" s="40"/>
      <c r="Y132" s="40"/>
    </row>
    <row r="133" spans="1:25" ht="13.2" x14ac:dyDescent="0.25">
      <c r="A133" s="82"/>
      <c r="B133" s="46" t="s">
        <v>207</v>
      </c>
      <c r="C133" s="47">
        <f>SUM(C129:C132)</f>
        <v>3656977.8585600005</v>
      </c>
      <c r="D133" s="47">
        <f t="shared" ref="D133:N133" si="96">SUM(D129:D132)</f>
        <v>3579767.1935999999</v>
      </c>
      <c r="E133" s="47">
        <f t="shared" si="96"/>
        <v>3579767.1935999999</v>
      </c>
      <c r="F133" s="47">
        <f t="shared" si="96"/>
        <v>3579767.1935999999</v>
      </c>
      <c r="G133" s="47">
        <f t="shared" si="96"/>
        <v>3579767.1935999999</v>
      </c>
      <c r="H133" s="47">
        <f t="shared" si="96"/>
        <v>3579767.1935999999</v>
      </c>
      <c r="I133" s="47">
        <f t="shared" si="96"/>
        <v>3579767.1935999999</v>
      </c>
      <c r="J133" s="47">
        <f t="shared" si="96"/>
        <v>3579767.1935999999</v>
      </c>
      <c r="K133" s="47">
        <f t="shared" si="96"/>
        <v>3579767.1935999999</v>
      </c>
      <c r="L133" s="47">
        <f t="shared" si="96"/>
        <v>3579767.1935999999</v>
      </c>
      <c r="M133" s="47">
        <f t="shared" si="96"/>
        <v>3579767.1935999999</v>
      </c>
      <c r="N133" s="47">
        <f t="shared" si="96"/>
        <v>3579767.1935999999</v>
      </c>
      <c r="O133" s="47">
        <f t="shared" si="92"/>
        <v>43034416.988159992</v>
      </c>
      <c r="P133" s="40"/>
      <c r="Q133" s="40"/>
      <c r="R133" s="40"/>
      <c r="S133" s="40"/>
      <c r="T133" s="40"/>
      <c r="U133" s="40"/>
      <c r="V133" s="40"/>
      <c r="W133" s="40"/>
      <c r="X133" s="40"/>
      <c r="Y133" s="40"/>
    </row>
    <row r="134" spans="1:25" ht="13.2" x14ac:dyDescent="0.25">
      <c r="A134" s="82"/>
      <c r="B134" s="55" t="s">
        <v>83</v>
      </c>
      <c r="C134" s="59" t="s">
        <v>173</v>
      </c>
      <c r="D134" s="59" t="s">
        <v>173</v>
      </c>
      <c r="E134" s="59" t="s">
        <v>173</v>
      </c>
      <c r="F134" s="59" t="s">
        <v>173</v>
      </c>
      <c r="G134" s="59" t="s">
        <v>173</v>
      </c>
      <c r="H134" s="59" t="s">
        <v>173</v>
      </c>
      <c r="I134" s="59" t="s">
        <v>173</v>
      </c>
      <c r="J134" s="59" t="s">
        <v>173</v>
      </c>
      <c r="K134" s="59" t="s">
        <v>173</v>
      </c>
      <c r="L134" s="59" t="s">
        <v>173</v>
      </c>
      <c r="M134" s="59" t="s">
        <v>173</v>
      </c>
      <c r="N134" s="59" t="s">
        <v>173</v>
      </c>
      <c r="O134" s="91" t="s">
        <v>173</v>
      </c>
      <c r="P134" s="40"/>
      <c r="Q134" s="40"/>
      <c r="R134" s="40"/>
      <c r="S134" s="40"/>
      <c r="T134" s="40"/>
      <c r="U134" s="40"/>
      <c r="V134" s="40"/>
      <c r="W134" s="40"/>
      <c r="X134" s="40"/>
      <c r="Y134" s="40"/>
    </row>
    <row r="135" spans="1:25" ht="13.2" x14ac:dyDescent="0.25">
      <c r="A135" s="82"/>
      <c r="B135" s="57" t="s">
        <v>210</v>
      </c>
      <c r="C135" s="89">
        <f t="shared" ref="C135:N135" si="97">C104*(1+$K$86)</f>
        <v>387223.18336000008</v>
      </c>
      <c r="D135" s="89">
        <f t="shared" si="97"/>
        <v>466773.56544000003</v>
      </c>
      <c r="E135" s="89">
        <f t="shared" si="97"/>
        <v>430507.95007999998</v>
      </c>
      <c r="F135" s="89">
        <f t="shared" si="97"/>
        <v>402431.34464000002</v>
      </c>
      <c r="G135" s="89">
        <f t="shared" si="97"/>
        <v>369675.30496000004</v>
      </c>
      <c r="H135" s="89">
        <f t="shared" si="97"/>
        <v>463263.98976000003</v>
      </c>
      <c r="I135" s="89">
        <f t="shared" si="97"/>
        <v>540474.65471999999</v>
      </c>
      <c r="J135" s="89">
        <f t="shared" si="97"/>
        <v>518247.34207999997</v>
      </c>
      <c r="K135" s="89">
        <f t="shared" si="97"/>
        <v>400091.62752000004</v>
      </c>
      <c r="L135" s="89">
        <f t="shared" si="97"/>
        <v>410620.35456000007</v>
      </c>
      <c r="M135" s="89">
        <f t="shared" si="97"/>
        <v>390732.75904000009</v>
      </c>
      <c r="N135" s="89">
        <f t="shared" si="97"/>
        <v>422318.94016000006</v>
      </c>
      <c r="O135" s="92">
        <f t="shared" si="92"/>
        <v>5202361.0163200004</v>
      </c>
      <c r="P135" s="40"/>
      <c r="Q135" s="40"/>
      <c r="R135" s="40"/>
      <c r="S135" s="40"/>
      <c r="T135" s="40"/>
      <c r="U135" s="40"/>
      <c r="V135" s="40"/>
      <c r="W135" s="40"/>
      <c r="X135" s="40"/>
      <c r="Y135" s="40"/>
    </row>
    <row r="136" spans="1:25" ht="13.2" x14ac:dyDescent="0.25">
      <c r="A136" s="82"/>
      <c r="B136" s="57" t="s">
        <v>203</v>
      </c>
      <c r="C136" s="89">
        <f t="shared" ref="C136:N136" si="98">C105*(1+$K$86)</f>
        <v>1397980.9791999999</v>
      </c>
      <c r="D136" s="89">
        <f t="shared" si="98"/>
        <v>1505607.9667200001</v>
      </c>
      <c r="E136" s="89">
        <f t="shared" si="98"/>
        <v>1688105.9020800001</v>
      </c>
      <c r="F136" s="89">
        <f t="shared" si="98"/>
        <v>1279825.2646400004</v>
      </c>
      <c r="G136" s="89">
        <f t="shared" si="98"/>
        <v>1703314.0633600003</v>
      </c>
      <c r="H136" s="89">
        <f t="shared" si="98"/>
        <v>1605045.94432</v>
      </c>
      <c r="I136" s="89">
        <f t="shared" si="98"/>
        <v>1472851.9270400004</v>
      </c>
      <c r="J136" s="89">
        <f t="shared" si="98"/>
        <v>1751278.2643200001</v>
      </c>
      <c r="K136" s="89">
        <f t="shared" si="98"/>
        <v>1711503.0732800001</v>
      </c>
      <c r="L136" s="89">
        <f t="shared" si="98"/>
        <v>1711503.0732800001</v>
      </c>
      <c r="M136" s="89">
        <f t="shared" si="98"/>
        <v>1330129.1827200002</v>
      </c>
      <c r="N136" s="89">
        <f t="shared" si="98"/>
        <v>1640141.7011200001</v>
      </c>
      <c r="O136" s="92">
        <f t="shared" si="92"/>
        <v>18797287.342080005</v>
      </c>
      <c r="P136" s="40"/>
      <c r="Q136" s="40"/>
      <c r="R136" s="40"/>
      <c r="S136" s="40"/>
      <c r="T136" s="40"/>
      <c r="U136" s="40"/>
      <c r="V136" s="40"/>
      <c r="W136" s="40"/>
      <c r="X136" s="40"/>
      <c r="Y136" s="40"/>
    </row>
    <row r="137" spans="1:25" ht="13.2" x14ac:dyDescent="0.25">
      <c r="A137" s="82"/>
      <c r="B137" s="58" t="s">
        <v>84</v>
      </c>
      <c r="C137" s="89">
        <f t="shared" ref="C137:N137" si="99">C106*(1+$K$86)</f>
        <v>1236540.49792</v>
      </c>
      <c r="D137" s="89">
        <f t="shared" si="99"/>
        <v>1350016.7782400001</v>
      </c>
      <c r="E137" s="89">
        <f t="shared" si="99"/>
        <v>1354696.2124800002</v>
      </c>
      <c r="F137" s="89">
        <f t="shared" si="99"/>
        <v>1399150.83776</v>
      </c>
      <c r="G137" s="89">
        <f t="shared" si="99"/>
        <v>1655349.8624000002</v>
      </c>
      <c r="H137" s="89">
        <f t="shared" si="99"/>
        <v>1431906.8774400002</v>
      </c>
      <c r="I137" s="89">
        <f t="shared" si="99"/>
        <v>1486890.2297600002</v>
      </c>
      <c r="J137" s="89">
        <f t="shared" si="99"/>
        <v>1711503.0732800001</v>
      </c>
      <c r="K137" s="89">
        <f t="shared" si="99"/>
        <v>1566440.6118400001</v>
      </c>
      <c r="L137" s="89">
        <f t="shared" si="99"/>
        <v>1564100.8947200002</v>
      </c>
      <c r="M137" s="89">
        <f t="shared" si="99"/>
        <v>1674067.5993600001</v>
      </c>
      <c r="N137" s="89">
        <f t="shared" si="99"/>
        <v>1344167.4854400004</v>
      </c>
      <c r="O137" s="92">
        <f t="shared" si="92"/>
        <v>17774830.960640006</v>
      </c>
      <c r="P137" s="40"/>
      <c r="Q137" s="40"/>
      <c r="R137" s="40"/>
      <c r="S137" s="40"/>
      <c r="T137" s="40"/>
      <c r="U137" s="40"/>
      <c r="V137" s="40"/>
      <c r="W137" s="40"/>
      <c r="X137" s="40"/>
      <c r="Y137" s="40"/>
    </row>
    <row r="138" spans="1:25" ht="13.2" x14ac:dyDescent="0.25">
      <c r="A138" s="82"/>
      <c r="B138" s="57" t="s">
        <v>85</v>
      </c>
      <c r="C138" s="89">
        <f t="shared" ref="C138:N138" si="100">C107*(1+$K$86)</f>
        <v>1436586.31168</v>
      </c>
      <c r="D138" s="89">
        <f t="shared" si="100"/>
        <v>1229521.3465600002</v>
      </c>
      <c r="E138" s="89">
        <f t="shared" si="100"/>
        <v>1272806.1132800002</v>
      </c>
      <c r="F138" s="89">
        <f t="shared" si="100"/>
        <v>1292693.7087999999</v>
      </c>
      <c r="G138" s="89">
        <f t="shared" si="100"/>
        <v>1738409.8201600001</v>
      </c>
      <c r="H138" s="89">
        <f t="shared" si="100"/>
        <v>1276315.6889600002</v>
      </c>
      <c r="I138" s="89">
        <f t="shared" si="100"/>
        <v>1481040.9369600003</v>
      </c>
      <c r="J138" s="89">
        <f t="shared" si="100"/>
        <v>1172198.27712</v>
      </c>
      <c r="K138" s="89">
        <f t="shared" si="100"/>
        <v>1524325.7036800003</v>
      </c>
      <c r="L138" s="89">
        <f t="shared" si="100"/>
        <v>1210803.6096000001</v>
      </c>
      <c r="M138" s="89">
        <f t="shared" si="100"/>
        <v>1541873.5820800001</v>
      </c>
      <c r="N138" s="89">
        <f t="shared" si="100"/>
        <v>1468172.4928000001</v>
      </c>
      <c r="O138" s="92">
        <f t="shared" si="92"/>
        <v>16644747.591680001</v>
      </c>
      <c r="P138" s="40"/>
      <c r="Q138" s="40"/>
      <c r="R138" s="40"/>
      <c r="S138" s="40"/>
      <c r="T138" s="40"/>
      <c r="U138" s="40"/>
      <c r="V138" s="40"/>
      <c r="W138" s="40"/>
      <c r="X138" s="40"/>
      <c r="Y138" s="40"/>
    </row>
    <row r="139" spans="1:25" ht="13.2" x14ac:dyDescent="0.25">
      <c r="A139" s="84"/>
      <c r="B139" s="58" t="s">
        <v>180</v>
      </c>
      <c r="C139" s="89">
        <f t="shared" ref="C139:N139" si="101">C108*(1+$K$86)</f>
        <v>1698634.6291199999</v>
      </c>
      <c r="D139" s="89">
        <f t="shared" si="101"/>
        <v>1676407.3164800003</v>
      </c>
      <c r="E139" s="89">
        <f t="shared" si="101"/>
        <v>1393301.5449600003</v>
      </c>
      <c r="F139" s="89">
        <f t="shared" si="101"/>
        <v>1538364.0064000003</v>
      </c>
      <c r="G139" s="89">
        <f t="shared" si="101"/>
        <v>1213143.32672</v>
      </c>
      <c r="H139" s="89">
        <f t="shared" si="101"/>
        <v>1348846.91968</v>
      </c>
      <c r="I139" s="89">
        <f t="shared" si="101"/>
        <v>1395641.2620800002</v>
      </c>
      <c r="J139" s="89">
        <f t="shared" si="101"/>
        <v>1654180.0038400004</v>
      </c>
      <c r="K139" s="89">
        <f t="shared" si="101"/>
        <v>1295033.4259200001</v>
      </c>
      <c r="L139" s="89">
        <f t="shared" si="101"/>
        <v>1386282.3936000001</v>
      </c>
      <c r="M139" s="89">
        <f t="shared" si="101"/>
        <v>1388622.11072</v>
      </c>
      <c r="N139" s="89">
        <f t="shared" si="101"/>
        <v>1353526.3539200001</v>
      </c>
      <c r="O139" s="92">
        <f t="shared" si="92"/>
        <v>17341983.293440003</v>
      </c>
      <c r="P139" s="40"/>
      <c r="Q139" s="40"/>
      <c r="R139" s="40"/>
      <c r="S139" s="40"/>
      <c r="T139" s="40"/>
      <c r="U139" s="40"/>
      <c r="V139" s="40"/>
      <c r="W139" s="40"/>
      <c r="X139" s="40"/>
      <c r="Y139" s="40"/>
    </row>
    <row r="140" spans="1:25" ht="13.2" x14ac:dyDescent="0.25">
      <c r="A140" s="84"/>
      <c r="B140" s="58" t="s">
        <v>86</v>
      </c>
      <c r="C140" s="89">
        <f t="shared" ref="C140:N140" si="102">C109*(1+$K$86)</f>
        <v>1236540.49792</v>
      </c>
      <c r="D140" s="89">
        <f t="shared" si="102"/>
        <v>1222502.1952000002</v>
      </c>
      <c r="E140" s="89">
        <f t="shared" si="102"/>
        <v>1186236.5798400003</v>
      </c>
      <c r="F140" s="89">
        <f t="shared" si="102"/>
        <v>1547722.8748800003</v>
      </c>
      <c r="G140" s="89">
        <f t="shared" si="102"/>
        <v>1440095.8873600001</v>
      </c>
      <c r="H140" s="89">
        <f t="shared" si="102"/>
        <v>1199105.0240000002</v>
      </c>
      <c r="I140" s="89">
        <f t="shared" si="102"/>
        <v>1626103.3984000001</v>
      </c>
      <c r="J140" s="89">
        <f t="shared" si="102"/>
        <v>1560591.3190400002</v>
      </c>
      <c r="K140" s="89">
        <f t="shared" si="102"/>
        <v>1256428.0934400002</v>
      </c>
      <c r="L140" s="89">
        <f t="shared" si="102"/>
        <v>1299712.8601600002</v>
      </c>
      <c r="M140" s="89">
        <f t="shared" si="102"/>
        <v>1580478.9145600002</v>
      </c>
      <c r="N140" s="89">
        <f t="shared" si="102"/>
        <v>1663538.8723200001</v>
      </c>
      <c r="O140" s="92">
        <f t="shared" si="92"/>
        <v>16819056.517120004</v>
      </c>
      <c r="P140" s="40"/>
      <c r="Q140" s="40"/>
      <c r="R140" s="40"/>
      <c r="S140" s="40"/>
      <c r="T140" s="40"/>
      <c r="U140" s="40"/>
      <c r="V140" s="40"/>
      <c r="W140" s="40"/>
      <c r="X140" s="40"/>
      <c r="Y140" s="40"/>
    </row>
    <row r="141" spans="1:25" ht="13.2" x14ac:dyDescent="0.25">
      <c r="A141" s="82"/>
      <c r="B141" s="46" t="s">
        <v>208</v>
      </c>
      <c r="C141" s="47">
        <f t="shared" ref="C141:N141" si="103">SUM(C135:C140)</f>
        <v>7393506.0992000001</v>
      </c>
      <c r="D141" s="47">
        <f t="shared" si="103"/>
        <v>7450829.1686400007</v>
      </c>
      <c r="E141" s="47">
        <f t="shared" si="103"/>
        <v>7325654.302720001</v>
      </c>
      <c r="F141" s="47">
        <f t="shared" si="103"/>
        <v>7460188.0371200005</v>
      </c>
      <c r="G141" s="47">
        <f t="shared" si="103"/>
        <v>8119988.2649600003</v>
      </c>
      <c r="H141" s="47">
        <f t="shared" si="103"/>
        <v>7324484.4441600004</v>
      </c>
      <c r="I141" s="47">
        <f t="shared" si="103"/>
        <v>8003002.4089600025</v>
      </c>
      <c r="J141" s="47">
        <f t="shared" si="103"/>
        <v>8367998.2796800006</v>
      </c>
      <c r="K141" s="47">
        <f t="shared" si="103"/>
        <v>7753822.5356800007</v>
      </c>
      <c r="L141" s="47">
        <f t="shared" si="103"/>
        <v>7583023.1859200001</v>
      </c>
      <c r="M141" s="47">
        <f t="shared" si="103"/>
        <v>7905904.1484800009</v>
      </c>
      <c r="N141" s="47">
        <f t="shared" si="103"/>
        <v>7891865.8457600009</v>
      </c>
      <c r="O141" s="47">
        <f t="shared" si="92"/>
        <v>92580266.721279994</v>
      </c>
      <c r="P141" s="40"/>
      <c r="Q141" s="40"/>
      <c r="R141" s="40"/>
      <c r="S141" s="40"/>
      <c r="T141" s="40"/>
      <c r="U141" s="40"/>
      <c r="V141" s="40"/>
      <c r="W141" s="40"/>
      <c r="X141" s="40"/>
      <c r="Y141" s="40"/>
    </row>
    <row r="142" spans="1:25" ht="13.2" x14ac:dyDescent="0.25">
      <c r="A142" s="82"/>
      <c r="B142" s="60" t="s">
        <v>87</v>
      </c>
      <c r="C142" s="47">
        <f t="shared" ref="C142:N142" si="104">C133+C141</f>
        <v>11050483.957760001</v>
      </c>
      <c r="D142" s="47">
        <f t="shared" si="104"/>
        <v>11030596.362240002</v>
      </c>
      <c r="E142" s="47">
        <f t="shared" si="104"/>
        <v>10905421.496320002</v>
      </c>
      <c r="F142" s="47">
        <f t="shared" si="104"/>
        <v>11039955.23072</v>
      </c>
      <c r="G142" s="47">
        <f t="shared" si="104"/>
        <v>11699755.458560001</v>
      </c>
      <c r="H142" s="47">
        <f t="shared" si="104"/>
        <v>10904251.63776</v>
      </c>
      <c r="I142" s="47">
        <f t="shared" si="104"/>
        <v>11582769.602560002</v>
      </c>
      <c r="J142" s="47">
        <f t="shared" si="104"/>
        <v>11947765.473280001</v>
      </c>
      <c r="K142" s="47">
        <f t="shared" si="104"/>
        <v>11333589.729280001</v>
      </c>
      <c r="L142" s="47">
        <f t="shared" si="104"/>
        <v>11162790.379519999</v>
      </c>
      <c r="M142" s="47">
        <f t="shared" si="104"/>
        <v>11485671.342080001</v>
      </c>
      <c r="N142" s="47">
        <f t="shared" si="104"/>
        <v>11471633.039360002</v>
      </c>
      <c r="O142" s="47">
        <f t="shared" si="92"/>
        <v>135614683.70943999</v>
      </c>
      <c r="P142" s="40"/>
      <c r="Q142" s="40"/>
      <c r="R142" s="40"/>
      <c r="S142" s="40"/>
      <c r="T142" s="40"/>
      <c r="U142" s="40"/>
      <c r="V142" s="40"/>
      <c r="W142" s="40"/>
      <c r="X142" s="40"/>
      <c r="Y142" s="40"/>
    </row>
    <row r="143" spans="1:25" ht="13.2" x14ac:dyDescent="0.25">
      <c r="A143" s="84"/>
      <c r="B143" s="108" t="s">
        <v>238</v>
      </c>
      <c r="C143" s="119">
        <f>'5. Down payment savings'!$F$2</f>
        <v>22867024.153494995</v>
      </c>
      <c r="D143" s="119">
        <f>'5. Down payment savings'!$F$2</f>
        <v>22867024.153494995</v>
      </c>
      <c r="E143" s="119">
        <f>'5. Down payment savings'!$F$2</f>
        <v>22867024.153494995</v>
      </c>
      <c r="F143" s="119">
        <f>'5. Down payment savings'!$F$2</f>
        <v>22867024.153494995</v>
      </c>
      <c r="G143" s="119">
        <f>'5. Down payment savings'!$F$2</f>
        <v>22867024.153494995</v>
      </c>
      <c r="H143" s="119">
        <f>'5. Down payment savings'!$F$2</f>
        <v>22867024.153494995</v>
      </c>
      <c r="I143" s="119">
        <f>'5. Down payment savings'!$F$2</f>
        <v>22867024.153494995</v>
      </c>
      <c r="J143" s="119">
        <f>'5. Down payment savings'!$F$2</f>
        <v>22867024.153494995</v>
      </c>
      <c r="K143" s="119">
        <f>'5. Down payment savings'!$F$2</f>
        <v>22867024.153494995</v>
      </c>
      <c r="L143" s="119">
        <f>'5. Down payment savings'!$F$2</f>
        <v>22867024.153494995</v>
      </c>
      <c r="M143" s="119">
        <f>'5. Down payment savings'!$F$2</f>
        <v>22867024.153494995</v>
      </c>
      <c r="N143" s="119">
        <f>'5. Down payment savings'!$F$2</f>
        <v>22867024.153494995</v>
      </c>
      <c r="O143" s="109">
        <f>SUM(C143:N143)</f>
        <v>274404289.84193987</v>
      </c>
      <c r="P143" s="40"/>
      <c r="Q143" s="40"/>
      <c r="R143" s="40"/>
      <c r="S143" s="40"/>
      <c r="T143" s="40"/>
      <c r="U143" s="40"/>
      <c r="V143" s="40"/>
      <c r="W143" s="40"/>
      <c r="X143" s="40"/>
      <c r="Y143" s="40"/>
    </row>
    <row r="144" spans="1:25" ht="13.2" x14ac:dyDescent="0.25">
      <c r="A144" s="82"/>
      <c r="B144" s="108" t="s">
        <v>204</v>
      </c>
      <c r="C144" s="109">
        <f>$O142*(3/12)/12</f>
        <v>2825305.9106133333</v>
      </c>
      <c r="D144" s="109">
        <f t="shared" ref="D144" si="105">$O142*(3/12)/12</f>
        <v>2825305.9106133333</v>
      </c>
      <c r="E144" s="109">
        <f t="shared" ref="E144" si="106">$O142*(3/12)/12</f>
        <v>2825305.9106133333</v>
      </c>
      <c r="F144" s="109">
        <f t="shared" ref="F144" si="107">$O142*(3/12)/12</f>
        <v>2825305.9106133333</v>
      </c>
      <c r="G144" s="109">
        <f t="shared" ref="G144" si="108">$O142*(3/12)/12</f>
        <v>2825305.9106133333</v>
      </c>
      <c r="H144" s="109">
        <f t="shared" ref="H144" si="109">$O142*(3/12)/12</f>
        <v>2825305.9106133333</v>
      </c>
      <c r="I144" s="109">
        <f t="shared" ref="I144" si="110">$O142*(3/12)/12</f>
        <v>2825305.9106133333</v>
      </c>
      <c r="J144" s="109">
        <f t="shared" ref="J144" si="111">$O142*(3/12)/12</f>
        <v>2825305.9106133333</v>
      </c>
      <c r="K144" s="109">
        <f t="shared" ref="K144" si="112">$O142*(3/12)/12</f>
        <v>2825305.9106133333</v>
      </c>
      <c r="L144" s="109">
        <f t="shared" ref="L144" si="113">$O142*(3/12)/12</f>
        <v>2825305.9106133333</v>
      </c>
      <c r="M144" s="109">
        <f t="shared" ref="M144" si="114">$O142*(3/12)/12</f>
        <v>2825305.9106133333</v>
      </c>
      <c r="N144" s="109">
        <f t="shared" ref="N144" si="115">$O142*(3/12)/12</f>
        <v>2825305.9106133333</v>
      </c>
      <c r="O144" s="109">
        <f t="shared" ref="O144:O145" si="116">SUM(C144:N144)</f>
        <v>33903670.927359991</v>
      </c>
      <c r="P144" s="43"/>
      <c r="Q144" s="43"/>
      <c r="R144" s="40"/>
      <c r="S144" s="40"/>
      <c r="T144" s="40"/>
      <c r="U144" s="40"/>
      <c r="V144" s="40"/>
      <c r="W144" s="40"/>
      <c r="X144" s="40"/>
      <c r="Y144" s="40"/>
    </row>
    <row r="145" spans="1:25" ht="13.2" x14ac:dyDescent="0.25">
      <c r="A145" s="82"/>
      <c r="B145" s="60" t="s">
        <v>206</v>
      </c>
      <c r="C145" s="61">
        <f t="shared" ref="C145:N145" si="117">C126-C142-C144-C143</f>
        <v>-4101190.4924565628</v>
      </c>
      <c r="D145" s="61">
        <f t="shared" si="117"/>
        <v>-4081302.8969365619</v>
      </c>
      <c r="E145" s="61">
        <f t="shared" si="117"/>
        <v>-3956128.0310165621</v>
      </c>
      <c r="F145" s="61">
        <f t="shared" si="117"/>
        <v>-4090661.7654165626</v>
      </c>
      <c r="G145" s="61">
        <f t="shared" si="117"/>
        <v>-4750461.9932565615</v>
      </c>
      <c r="H145" s="61">
        <f t="shared" si="117"/>
        <v>-3954958.1724565625</v>
      </c>
      <c r="I145" s="61">
        <f t="shared" si="117"/>
        <v>-4633476.1372565627</v>
      </c>
      <c r="J145" s="61">
        <f t="shared" si="117"/>
        <v>-4998472.0079765618</v>
      </c>
      <c r="K145" s="61">
        <f t="shared" si="117"/>
        <v>-4384296.263976559</v>
      </c>
      <c r="L145" s="61">
        <f t="shared" si="117"/>
        <v>-4213496.9142165594</v>
      </c>
      <c r="M145" s="61">
        <f t="shared" si="117"/>
        <v>-4536377.8767765611</v>
      </c>
      <c r="N145" s="61">
        <f t="shared" si="117"/>
        <v>-4522339.574056562</v>
      </c>
      <c r="O145" s="47">
        <f t="shared" si="116"/>
        <v>-52223162.125798747</v>
      </c>
      <c r="P145" s="43"/>
      <c r="Q145" s="43"/>
      <c r="R145" s="40"/>
      <c r="S145" s="40"/>
      <c r="T145" s="40"/>
      <c r="U145" s="40"/>
      <c r="V145" s="40"/>
      <c r="W145" s="40"/>
      <c r="X145" s="40"/>
      <c r="Y145" s="40"/>
    </row>
    <row r="146" spans="1:25" ht="13.2" x14ac:dyDescent="0.25">
      <c r="A146" s="85"/>
      <c r="B146" s="40"/>
      <c r="C146" s="40"/>
      <c r="D146" s="40"/>
      <c r="E146" s="40"/>
      <c r="F146" s="40"/>
      <c r="G146" s="40"/>
      <c r="H146" s="40"/>
      <c r="I146" s="40"/>
      <c r="J146" s="40"/>
      <c r="K146" s="40"/>
      <c r="L146" s="353" t="s">
        <v>217</v>
      </c>
      <c r="M146" s="354"/>
      <c r="N146" s="350">
        <f>SUM(C145:N145)+N115</f>
        <v>191003262.1122613</v>
      </c>
      <c r="O146" s="40"/>
      <c r="P146" s="40"/>
      <c r="Q146" s="40"/>
      <c r="R146" s="40"/>
      <c r="S146" s="40"/>
      <c r="T146" s="40"/>
      <c r="U146" s="40"/>
      <c r="V146" s="40"/>
      <c r="W146" s="40"/>
      <c r="X146" s="40"/>
      <c r="Y146" s="40"/>
    </row>
    <row r="147" spans="1:25" ht="13.2" x14ac:dyDescent="0.25">
      <c r="A147" s="85"/>
      <c r="B147" s="40"/>
      <c r="C147" s="40"/>
      <c r="D147" s="40"/>
      <c r="E147" s="40"/>
      <c r="F147" s="40"/>
      <c r="G147" s="40"/>
      <c r="H147" s="40"/>
      <c r="I147" s="40"/>
      <c r="J147" s="40"/>
      <c r="K147" s="40"/>
      <c r="L147" s="320"/>
      <c r="M147" s="355"/>
      <c r="N147" s="351"/>
      <c r="O147" s="40"/>
      <c r="P147" s="40"/>
      <c r="Q147" s="40"/>
      <c r="R147" s="40"/>
      <c r="S147" s="40"/>
      <c r="T147" s="40"/>
      <c r="U147" s="40"/>
      <c r="V147" s="40"/>
      <c r="W147" s="40"/>
      <c r="X147" s="40"/>
      <c r="Y147" s="40"/>
    </row>
    <row r="148" spans="1:25" ht="13.2" x14ac:dyDescent="0.25">
      <c r="A148" s="85"/>
      <c r="B148" s="319" t="s">
        <v>632</v>
      </c>
      <c r="C148" s="352" t="s">
        <v>173</v>
      </c>
      <c r="D148" s="352"/>
      <c r="E148" s="352"/>
      <c r="F148" s="352"/>
      <c r="G148" s="352"/>
      <c r="H148" s="352"/>
      <c r="I148" s="40"/>
      <c r="J148" s="358" t="s">
        <v>231</v>
      </c>
      <c r="K148" s="359">
        <v>0.04</v>
      </c>
      <c r="L148" s="40"/>
      <c r="M148" s="40"/>
      <c r="N148" s="40"/>
      <c r="O148" s="361"/>
      <c r="P148" s="40"/>
      <c r="Q148" s="40"/>
      <c r="R148" s="40"/>
      <c r="S148" s="40"/>
      <c r="T148" s="40"/>
      <c r="U148" s="40"/>
      <c r="V148" s="40"/>
      <c r="W148" s="40"/>
      <c r="X148" s="40"/>
      <c r="Y148" s="40"/>
    </row>
    <row r="149" spans="1:25" ht="13.2" x14ac:dyDescent="0.25">
      <c r="A149" s="85"/>
      <c r="B149" s="319"/>
      <c r="C149" s="352"/>
      <c r="D149" s="352"/>
      <c r="E149" s="352"/>
      <c r="F149" s="352"/>
      <c r="G149" s="352"/>
      <c r="H149" s="352"/>
      <c r="I149" s="40"/>
      <c r="J149" s="358"/>
      <c r="K149" s="360"/>
      <c r="L149" s="40"/>
      <c r="M149" s="40"/>
      <c r="N149" s="40"/>
      <c r="O149" s="362"/>
      <c r="P149" s="40"/>
      <c r="Q149" s="40"/>
      <c r="R149" s="40"/>
      <c r="S149" s="40"/>
      <c r="T149" s="40"/>
      <c r="U149" s="40"/>
      <c r="V149" s="40"/>
      <c r="W149" s="40"/>
      <c r="X149" s="40"/>
      <c r="Y149" s="40"/>
    </row>
    <row r="150" spans="1:25" ht="13.2" x14ac:dyDescent="0.25">
      <c r="A150" s="85"/>
      <c r="B150" s="319"/>
      <c r="C150" s="352"/>
      <c r="D150" s="352"/>
      <c r="E150" s="352"/>
      <c r="F150" s="352"/>
      <c r="G150" s="352"/>
      <c r="H150" s="352"/>
      <c r="I150" s="40"/>
      <c r="J150" s="40"/>
      <c r="K150" s="40"/>
      <c r="L150" s="40"/>
      <c r="M150" s="40"/>
      <c r="N150" s="40"/>
      <c r="O150" s="40"/>
      <c r="P150" s="40"/>
      <c r="Q150" s="40"/>
      <c r="R150" s="40"/>
      <c r="S150" s="40"/>
      <c r="T150" s="40"/>
      <c r="U150" s="40"/>
      <c r="V150" s="40"/>
      <c r="W150" s="40"/>
      <c r="X150" s="40"/>
      <c r="Y150" s="40"/>
    </row>
    <row r="151" spans="1:25" ht="13.2" x14ac:dyDescent="0.25">
      <c r="A151" s="85"/>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row>
    <row r="152" spans="1:25" ht="13.2" x14ac:dyDescent="0.25">
      <c r="A152" s="85"/>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row>
    <row r="153" spans="1:25" ht="24.6" x14ac:dyDescent="0.25">
      <c r="A153" s="80"/>
      <c r="B153" s="348" t="s">
        <v>235</v>
      </c>
      <c r="C153" s="348"/>
      <c r="D153" s="348"/>
      <c r="E153" s="348"/>
      <c r="F153" s="348"/>
      <c r="G153" s="348"/>
      <c r="H153" s="348"/>
      <c r="I153" s="348"/>
      <c r="J153" s="348"/>
      <c r="K153" s="348"/>
      <c r="L153" s="348"/>
      <c r="M153" s="348"/>
      <c r="N153" s="348"/>
      <c r="O153" s="348"/>
      <c r="P153" s="40"/>
      <c r="Q153" s="40"/>
      <c r="R153" s="40"/>
      <c r="S153" s="40"/>
      <c r="T153" s="40"/>
      <c r="U153" s="40"/>
      <c r="V153" s="40"/>
      <c r="W153" s="40"/>
      <c r="X153" s="40"/>
      <c r="Y153" s="40"/>
    </row>
    <row r="154" spans="1:25" ht="24.6" x14ac:dyDescent="0.25">
      <c r="A154" s="81"/>
      <c r="B154" s="349"/>
      <c r="C154" s="349"/>
      <c r="D154" s="349"/>
      <c r="E154" s="349"/>
      <c r="F154" s="349"/>
      <c r="G154" s="349"/>
      <c r="H154" s="349"/>
      <c r="I154" s="349"/>
      <c r="J154" s="349"/>
      <c r="K154" s="349"/>
      <c r="L154" s="349"/>
      <c r="M154" s="349"/>
      <c r="N154" s="349"/>
      <c r="O154" s="349"/>
      <c r="P154" s="40"/>
      <c r="Q154" s="40"/>
      <c r="R154" s="40"/>
      <c r="S154" s="40"/>
      <c r="T154" s="40"/>
      <c r="U154" s="40"/>
      <c r="V154" s="40"/>
      <c r="W154" s="40"/>
      <c r="X154" s="40"/>
      <c r="Y154" s="40"/>
    </row>
    <row r="155" spans="1:25" ht="13.2" x14ac:dyDescent="0.25">
      <c r="A155" s="82"/>
      <c r="B155" s="41"/>
      <c r="C155" s="42" t="s">
        <v>66</v>
      </c>
      <c r="D155" s="42" t="s">
        <v>67</v>
      </c>
      <c r="E155" s="42" t="s">
        <v>68</v>
      </c>
      <c r="F155" s="42" t="s">
        <v>69</v>
      </c>
      <c r="G155" s="42" t="s">
        <v>70</v>
      </c>
      <c r="H155" s="42" t="s">
        <v>71</v>
      </c>
      <c r="I155" s="42" t="s">
        <v>72</v>
      </c>
      <c r="J155" s="42" t="s">
        <v>73</v>
      </c>
      <c r="K155" s="42" t="s">
        <v>74</v>
      </c>
      <c r="L155" s="42" t="s">
        <v>75</v>
      </c>
      <c r="M155" s="42" t="s">
        <v>76</v>
      </c>
      <c r="N155" s="42" t="s">
        <v>77</v>
      </c>
      <c r="O155" s="42" t="s">
        <v>236</v>
      </c>
      <c r="P155" s="40"/>
      <c r="Q155" s="40"/>
      <c r="R155" s="40"/>
      <c r="S155" s="40"/>
      <c r="T155" s="40"/>
      <c r="U155" s="40"/>
      <c r="V155" s="40"/>
      <c r="W155" s="40"/>
      <c r="X155" s="40"/>
      <c r="Y155" s="40"/>
    </row>
    <row r="156" spans="1:25" ht="13.2" x14ac:dyDescent="0.25">
      <c r="A156" s="82"/>
      <c r="B156" s="44" t="s">
        <v>194</v>
      </c>
      <c r="C156" s="45">
        <f>'3.1. My Income Tax Calculation'!$P$7/12</f>
        <v>47617500</v>
      </c>
      <c r="D156" s="45">
        <f>'3.1. My Income Tax Calculation'!$P$7/12</f>
        <v>47617500</v>
      </c>
      <c r="E156" s="45">
        <f>'3.1. My Income Tax Calculation'!$P$7/12</f>
        <v>47617500</v>
      </c>
      <c r="F156" s="45">
        <f>'3.1. My Income Tax Calculation'!$P$7/12</f>
        <v>47617500</v>
      </c>
      <c r="G156" s="45">
        <f>'3.1. My Income Tax Calculation'!$P$7/12</f>
        <v>47617500</v>
      </c>
      <c r="H156" s="45">
        <f>'3.1. My Income Tax Calculation'!$P$7/12</f>
        <v>47617500</v>
      </c>
      <c r="I156" s="45">
        <f>'3.1. My Income Tax Calculation'!$P$7/12</f>
        <v>47617500</v>
      </c>
      <c r="J156" s="45">
        <f>'3.1. My Income Tax Calculation'!$P$7/12</f>
        <v>47617500</v>
      </c>
      <c r="K156" s="45">
        <f>'3.1. My Income Tax Calculation'!$P$7/12</f>
        <v>47617500</v>
      </c>
      <c r="L156" s="45">
        <f>'3.1. My Income Tax Calculation'!$P$7/12</f>
        <v>47617500</v>
      </c>
      <c r="M156" s="45">
        <f>'3.1. My Income Tax Calculation'!$P$7/12</f>
        <v>47617500</v>
      </c>
      <c r="N156" s="45">
        <f>'3.1. My Income Tax Calculation'!$P$7/12</f>
        <v>47617500</v>
      </c>
      <c r="O156" s="45" t="s">
        <v>173</v>
      </c>
      <c r="P156" s="40"/>
      <c r="Q156" s="40"/>
      <c r="R156" s="40"/>
      <c r="S156" s="40"/>
      <c r="T156" s="40"/>
      <c r="U156" s="40"/>
      <c r="V156" s="40"/>
      <c r="W156" s="40"/>
      <c r="X156" s="40"/>
      <c r="Y156" s="40"/>
    </row>
    <row r="157" spans="1:25" ht="13.2" x14ac:dyDescent="0.25">
      <c r="A157" s="82"/>
      <c r="B157" s="46" t="s">
        <v>209</v>
      </c>
      <c r="C157" s="47">
        <f>C156</f>
        <v>47617500</v>
      </c>
      <c r="D157" s="47">
        <f t="shared" ref="D157:N157" si="118">D156</f>
        <v>47617500</v>
      </c>
      <c r="E157" s="47">
        <f t="shared" si="118"/>
        <v>47617500</v>
      </c>
      <c r="F157" s="47">
        <f t="shared" si="118"/>
        <v>47617500</v>
      </c>
      <c r="G157" s="47">
        <f t="shared" si="118"/>
        <v>47617500</v>
      </c>
      <c r="H157" s="47">
        <f t="shared" si="118"/>
        <v>47617500</v>
      </c>
      <c r="I157" s="47">
        <f t="shared" si="118"/>
        <v>47617500</v>
      </c>
      <c r="J157" s="47">
        <f t="shared" si="118"/>
        <v>47617500</v>
      </c>
      <c r="K157" s="47">
        <f t="shared" si="118"/>
        <v>47617500</v>
      </c>
      <c r="L157" s="47">
        <f t="shared" si="118"/>
        <v>47617500</v>
      </c>
      <c r="M157" s="47">
        <f t="shared" si="118"/>
        <v>47617500</v>
      </c>
      <c r="N157" s="47">
        <f t="shared" si="118"/>
        <v>47617500</v>
      </c>
      <c r="O157" s="47">
        <f>SUM(C157:N157)</f>
        <v>571410000</v>
      </c>
      <c r="P157" s="40"/>
      <c r="Q157" s="40"/>
      <c r="R157" s="40"/>
      <c r="S157" s="40"/>
      <c r="T157" s="40"/>
      <c r="U157" s="40"/>
      <c r="V157" s="40"/>
      <c r="W157" s="40"/>
      <c r="X157" s="40"/>
      <c r="Y157" s="40"/>
    </row>
    <row r="158" spans="1:25" ht="13.2" x14ac:dyDescent="0.25">
      <c r="A158" s="82"/>
      <c r="B158" s="52" t="s">
        <v>78</v>
      </c>
      <c r="C158" s="53" t="s">
        <v>173</v>
      </c>
      <c r="D158" s="53" t="s">
        <v>173</v>
      </c>
      <c r="E158" s="53" t="s">
        <v>173</v>
      </c>
      <c r="F158" s="53" t="s">
        <v>173</v>
      </c>
      <c r="G158" s="53" t="s">
        <v>173</v>
      </c>
      <c r="H158" s="53" t="s">
        <v>173</v>
      </c>
      <c r="I158" s="53" t="s">
        <v>173</v>
      </c>
      <c r="J158" s="53" t="s">
        <v>173</v>
      </c>
      <c r="K158" s="53" t="s">
        <v>173</v>
      </c>
      <c r="L158" s="53" t="s">
        <v>173</v>
      </c>
      <c r="M158" s="53" t="s">
        <v>173</v>
      </c>
      <c r="N158" s="53" t="s">
        <v>173</v>
      </c>
      <c r="O158" s="91" t="s">
        <v>173</v>
      </c>
      <c r="P158" s="40"/>
      <c r="Q158" s="40"/>
      <c r="R158" s="40"/>
      <c r="S158" s="40"/>
      <c r="T158" s="40"/>
      <c r="U158" s="40"/>
      <c r="V158" s="40"/>
      <c r="W158" s="40"/>
      <c r="X158" s="40"/>
      <c r="Y158" s="40"/>
    </row>
    <row r="159" spans="1:25" ht="13.2" x14ac:dyDescent="0.25">
      <c r="A159" s="82"/>
      <c r="B159" s="48" t="s">
        <v>79</v>
      </c>
      <c r="C159" s="54" t="s">
        <v>173</v>
      </c>
      <c r="D159" s="54" t="s">
        <v>173</v>
      </c>
      <c r="E159" s="54" t="s">
        <v>173</v>
      </c>
      <c r="F159" s="54" t="s">
        <v>173</v>
      </c>
      <c r="G159" s="54" t="s">
        <v>173</v>
      </c>
      <c r="H159" s="54" t="s">
        <v>173</v>
      </c>
      <c r="I159" s="54" t="s">
        <v>173</v>
      </c>
      <c r="J159" s="54" t="s">
        <v>173</v>
      </c>
      <c r="K159" s="54" t="s">
        <v>173</v>
      </c>
      <c r="L159" s="54" t="s">
        <v>173</v>
      </c>
      <c r="M159" s="54" t="s">
        <v>173</v>
      </c>
      <c r="N159" s="54" t="s">
        <v>173</v>
      </c>
      <c r="O159" s="91" t="s">
        <v>173</v>
      </c>
      <c r="P159" s="40"/>
      <c r="Q159" s="40"/>
      <c r="R159" s="40"/>
      <c r="S159" s="40"/>
      <c r="T159" s="40"/>
      <c r="U159" s="40"/>
      <c r="V159" s="40"/>
      <c r="W159" s="40"/>
      <c r="X159" s="40"/>
      <c r="Y159" s="40"/>
    </row>
    <row r="160" spans="1:25" ht="13.2" x14ac:dyDescent="0.25">
      <c r="A160" s="83"/>
      <c r="B160" s="49" t="s">
        <v>195</v>
      </c>
      <c r="C160" s="50">
        <f>C129*(1+K179)</f>
        <v>80299.091558400018</v>
      </c>
      <c r="D160" s="50">
        <v>0</v>
      </c>
      <c r="E160" s="50">
        <v>0</v>
      </c>
      <c r="F160" s="50">
        <v>0</v>
      </c>
      <c r="G160" s="50">
        <v>0</v>
      </c>
      <c r="H160" s="50">
        <v>0</v>
      </c>
      <c r="I160" s="50">
        <v>0</v>
      </c>
      <c r="J160" s="50">
        <v>0</v>
      </c>
      <c r="K160" s="50">
        <v>0</v>
      </c>
      <c r="L160" s="50">
        <v>0</v>
      </c>
      <c r="M160" s="50">
        <v>0</v>
      </c>
      <c r="N160" s="50">
        <v>0</v>
      </c>
      <c r="O160" s="90">
        <f t="shared" ref="O160:O173" si="119">SUM(C160:N160)</f>
        <v>80299.091558400018</v>
      </c>
      <c r="P160" s="40"/>
      <c r="Q160" s="40"/>
      <c r="R160" s="40"/>
      <c r="S160" s="40"/>
      <c r="T160" s="40"/>
      <c r="U160" s="40"/>
      <c r="V160" s="40"/>
      <c r="W160" s="40"/>
      <c r="X160" s="40"/>
      <c r="Y160" s="40"/>
    </row>
    <row r="161" spans="1:25" ht="13.2" x14ac:dyDescent="0.25">
      <c r="A161" s="82"/>
      <c r="B161" s="49" t="s">
        <v>202</v>
      </c>
      <c r="C161" s="50">
        <f t="shared" ref="C161:N161" si="120">C130*(1+$K$86)</f>
        <v>3041632.2560000001</v>
      </c>
      <c r="D161" s="50">
        <f t="shared" si="120"/>
        <v>3041632.2560000001</v>
      </c>
      <c r="E161" s="50">
        <f t="shared" si="120"/>
        <v>3041632.2560000001</v>
      </c>
      <c r="F161" s="50">
        <f t="shared" si="120"/>
        <v>3041632.2560000001</v>
      </c>
      <c r="G161" s="50">
        <f t="shared" si="120"/>
        <v>3041632.2560000001</v>
      </c>
      <c r="H161" s="50">
        <f t="shared" si="120"/>
        <v>3041632.2560000001</v>
      </c>
      <c r="I161" s="50">
        <f t="shared" si="120"/>
        <v>3041632.2560000001</v>
      </c>
      <c r="J161" s="50">
        <f t="shared" si="120"/>
        <v>3041632.2560000001</v>
      </c>
      <c r="K161" s="50">
        <f t="shared" si="120"/>
        <v>3041632.2560000001</v>
      </c>
      <c r="L161" s="50">
        <f t="shared" si="120"/>
        <v>3041632.2560000001</v>
      </c>
      <c r="M161" s="50">
        <f t="shared" si="120"/>
        <v>3041632.2560000001</v>
      </c>
      <c r="N161" s="50">
        <f t="shared" si="120"/>
        <v>3041632.2560000001</v>
      </c>
      <c r="O161" s="90">
        <f>SUM(C161:N161)</f>
        <v>36499587.072000004</v>
      </c>
      <c r="P161" s="40"/>
      <c r="Q161" s="40"/>
      <c r="R161" s="40"/>
      <c r="S161" s="40"/>
      <c r="T161" s="40"/>
      <c r="U161" s="40"/>
      <c r="V161" s="40"/>
      <c r="W161" s="40"/>
      <c r="X161" s="40"/>
      <c r="Y161" s="40"/>
    </row>
    <row r="162" spans="1:25" ht="13.2" x14ac:dyDescent="0.25">
      <c r="A162" s="82"/>
      <c r="B162" s="51" t="s">
        <v>178</v>
      </c>
      <c r="C162" s="50">
        <f t="shared" ref="C162:N162" si="121">C131*(1+$K$86)</f>
        <v>608326.45120000001</v>
      </c>
      <c r="D162" s="50">
        <f t="shared" si="121"/>
        <v>608326.45120000001</v>
      </c>
      <c r="E162" s="50">
        <f t="shared" si="121"/>
        <v>608326.45120000001</v>
      </c>
      <c r="F162" s="50">
        <f t="shared" si="121"/>
        <v>608326.45120000001</v>
      </c>
      <c r="G162" s="50">
        <f t="shared" si="121"/>
        <v>608326.45120000001</v>
      </c>
      <c r="H162" s="50">
        <f t="shared" si="121"/>
        <v>608326.45120000001</v>
      </c>
      <c r="I162" s="50">
        <f t="shared" si="121"/>
        <v>608326.45120000001</v>
      </c>
      <c r="J162" s="50">
        <f t="shared" si="121"/>
        <v>608326.45120000001</v>
      </c>
      <c r="K162" s="50">
        <f t="shared" si="121"/>
        <v>608326.45120000001</v>
      </c>
      <c r="L162" s="50">
        <f t="shared" si="121"/>
        <v>608326.45120000001</v>
      </c>
      <c r="M162" s="50">
        <f t="shared" si="121"/>
        <v>608326.45120000001</v>
      </c>
      <c r="N162" s="50">
        <f t="shared" si="121"/>
        <v>608326.45120000001</v>
      </c>
      <c r="O162" s="90">
        <f t="shared" si="119"/>
        <v>7299917.4144000001</v>
      </c>
      <c r="P162" s="40"/>
      <c r="Q162" s="40"/>
      <c r="R162" s="40"/>
      <c r="S162" s="40"/>
      <c r="T162" s="40"/>
      <c r="U162" s="40"/>
      <c r="V162" s="40"/>
      <c r="W162" s="40"/>
      <c r="X162" s="40"/>
      <c r="Y162" s="40"/>
    </row>
    <row r="163" spans="1:25" ht="13.2" x14ac:dyDescent="0.25">
      <c r="A163" s="84"/>
      <c r="B163" s="51" t="s">
        <v>179</v>
      </c>
      <c r="C163" s="50">
        <f t="shared" ref="C163:N163" si="122">C132*(1+$K$86)</f>
        <v>72999.174144000004</v>
      </c>
      <c r="D163" s="50">
        <f t="shared" si="122"/>
        <v>72999.174144000004</v>
      </c>
      <c r="E163" s="50">
        <f t="shared" si="122"/>
        <v>72999.174144000004</v>
      </c>
      <c r="F163" s="50">
        <f t="shared" si="122"/>
        <v>72999.174144000004</v>
      </c>
      <c r="G163" s="50">
        <f t="shared" si="122"/>
        <v>72999.174144000004</v>
      </c>
      <c r="H163" s="50">
        <f t="shared" si="122"/>
        <v>72999.174144000004</v>
      </c>
      <c r="I163" s="50">
        <f t="shared" si="122"/>
        <v>72999.174144000004</v>
      </c>
      <c r="J163" s="50">
        <f t="shared" si="122"/>
        <v>72999.174144000004</v>
      </c>
      <c r="K163" s="50">
        <f t="shared" si="122"/>
        <v>72999.174144000004</v>
      </c>
      <c r="L163" s="50">
        <f t="shared" si="122"/>
        <v>72999.174144000004</v>
      </c>
      <c r="M163" s="50">
        <f t="shared" si="122"/>
        <v>72999.174144000004</v>
      </c>
      <c r="N163" s="50">
        <f t="shared" si="122"/>
        <v>72999.174144000004</v>
      </c>
      <c r="O163" s="90">
        <f t="shared" si="119"/>
        <v>875990.08972800022</v>
      </c>
      <c r="P163" s="40"/>
      <c r="Q163" s="40"/>
      <c r="R163" s="40"/>
      <c r="S163" s="40"/>
      <c r="T163" s="40"/>
      <c r="U163" s="40"/>
      <c r="V163" s="40"/>
      <c r="W163" s="40"/>
      <c r="X163" s="40"/>
      <c r="Y163" s="40"/>
    </row>
    <row r="164" spans="1:25" ht="13.2" x14ac:dyDescent="0.25">
      <c r="A164" s="82"/>
      <c r="B164" s="46" t="s">
        <v>207</v>
      </c>
      <c r="C164" s="47">
        <f>SUM(C160:C163)</f>
        <v>3803256.9729024</v>
      </c>
      <c r="D164" s="47">
        <f t="shared" ref="D164:N164" si="123">SUM(D160:D163)</f>
        <v>3722957.8813439999</v>
      </c>
      <c r="E164" s="47">
        <f t="shared" si="123"/>
        <v>3722957.8813439999</v>
      </c>
      <c r="F164" s="47">
        <f t="shared" si="123"/>
        <v>3722957.8813439999</v>
      </c>
      <c r="G164" s="47">
        <f t="shared" si="123"/>
        <v>3722957.8813439999</v>
      </c>
      <c r="H164" s="47">
        <f t="shared" si="123"/>
        <v>3722957.8813439999</v>
      </c>
      <c r="I164" s="47">
        <f t="shared" si="123"/>
        <v>3722957.8813439999</v>
      </c>
      <c r="J164" s="47">
        <f t="shared" si="123"/>
        <v>3722957.8813439999</v>
      </c>
      <c r="K164" s="47">
        <f t="shared" si="123"/>
        <v>3722957.8813439999</v>
      </c>
      <c r="L164" s="47">
        <f t="shared" si="123"/>
        <v>3722957.8813439999</v>
      </c>
      <c r="M164" s="47">
        <f t="shared" si="123"/>
        <v>3722957.8813439999</v>
      </c>
      <c r="N164" s="47">
        <f t="shared" si="123"/>
        <v>3722957.8813439999</v>
      </c>
      <c r="O164" s="47">
        <f t="shared" si="119"/>
        <v>44755793.667686388</v>
      </c>
      <c r="P164" s="40"/>
      <c r="Q164" s="40"/>
      <c r="R164" s="40"/>
      <c r="S164" s="40"/>
      <c r="T164" s="40"/>
      <c r="U164" s="40"/>
      <c r="V164" s="40"/>
      <c r="W164" s="40"/>
      <c r="X164" s="40"/>
      <c r="Y164" s="40"/>
    </row>
    <row r="165" spans="1:25" ht="13.2" x14ac:dyDescent="0.25">
      <c r="A165" s="82"/>
      <c r="B165" s="55" t="s">
        <v>83</v>
      </c>
      <c r="C165" s="59" t="s">
        <v>173</v>
      </c>
      <c r="D165" s="59" t="s">
        <v>173</v>
      </c>
      <c r="E165" s="59" t="s">
        <v>173</v>
      </c>
      <c r="F165" s="59" t="s">
        <v>173</v>
      </c>
      <c r="G165" s="59" t="s">
        <v>173</v>
      </c>
      <c r="H165" s="59" t="s">
        <v>173</v>
      </c>
      <c r="I165" s="59" t="s">
        <v>173</v>
      </c>
      <c r="J165" s="59" t="s">
        <v>173</v>
      </c>
      <c r="K165" s="59" t="s">
        <v>173</v>
      </c>
      <c r="L165" s="59" t="s">
        <v>173</v>
      </c>
      <c r="M165" s="59" t="s">
        <v>173</v>
      </c>
      <c r="N165" s="59" t="s">
        <v>173</v>
      </c>
      <c r="O165" s="91" t="s">
        <v>173</v>
      </c>
      <c r="P165" s="40"/>
      <c r="Q165" s="40"/>
      <c r="R165" s="40"/>
      <c r="S165" s="40"/>
      <c r="T165" s="40"/>
      <c r="U165" s="40"/>
      <c r="V165" s="40"/>
      <c r="W165" s="40"/>
      <c r="X165" s="40"/>
      <c r="Y165" s="40"/>
    </row>
    <row r="166" spans="1:25" ht="13.2" x14ac:dyDescent="0.25">
      <c r="A166" s="82"/>
      <c r="B166" s="57" t="s">
        <v>210</v>
      </c>
      <c r="C166" s="89">
        <f t="shared" ref="C166:N166" si="124">C135*(1+$K$86)</f>
        <v>402712.11069440009</v>
      </c>
      <c r="D166" s="89">
        <f t="shared" si="124"/>
        <v>485444.50805760006</v>
      </c>
      <c r="E166" s="89">
        <f t="shared" si="124"/>
        <v>447728.26808319998</v>
      </c>
      <c r="F166" s="89">
        <f t="shared" si="124"/>
        <v>418528.59842560004</v>
      </c>
      <c r="G166" s="89">
        <f t="shared" si="124"/>
        <v>384462.31715840008</v>
      </c>
      <c r="H166" s="89">
        <f t="shared" si="124"/>
        <v>481794.54935040005</v>
      </c>
      <c r="I166" s="89">
        <f t="shared" si="124"/>
        <v>562093.64090880007</v>
      </c>
      <c r="J166" s="89">
        <f t="shared" si="124"/>
        <v>538977.23576319998</v>
      </c>
      <c r="K166" s="89">
        <f t="shared" si="124"/>
        <v>416095.29262080003</v>
      </c>
      <c r="L166" s="89">
        <f t="shared" si="124"/>
        <v>427045.16874240007</v>
      </c>
      <c r="M166" s="89">
        <f t="shared" si="124"/>
        <v>406362.06940160011</v>
      </c>
      <c r="N166" s="89">
        <f t="shared" si="124"/>
        <v>439211.69776640006</v>
      </c>
      <c r="O166" s="92">
        <f t="shared" si="119"/>
        <v>5410455.4569728011</v>
      </c>
      <c r="P166" s="40"/>
      <c r="Q166" s="40"/>
      <c r="R166" s="40"/>
      <c r="S166" s="40"/>
      <c r="T166" s="40"/>
      <c r="U166" s="40"/>
      <c r="V166" s="40"/>
      <c r="W166" s="40"/>
      <c r="X166" s="40"/>
      <c r="Y166" s="40"/>
    </row>
    <row r="167" spans="1:25" ht="13.2" x14ac:dyDescent="0.25">
      <c r="A167" s="82"/>
      <c r="B167" s="57" t="s">
        <v>203</v>
      </c>
      <c r="C167" s="89">
        <f t="shared" ref="C167:N167" si="125">C136*(1+$K$86)</f>
        <v>1453900.2183679999</v>
      </c>
      <c r="D167" s="89">
        <f t="shared" si="125"/>
        <v>1565832.2853888003</v>
      </c>
      <c r="E167" s="89">
        <f t="shared" si="125"/>
        <v>1755630.1381632001</v>
      </c>
      <c r="F167" s="89">
        <f t="shared" si="125"/>
        <v>1331018.2752256005</v>
      </c>
      <c r="G167" s="89">
        <f t="shared" si="125"/>
        <v>1771446.6258944003</v>
      </c>
      <c r="H167" s="89">
        <f t="shared" si="125"/>
        <v>1669247.7820928001</v>
      </c>
      <c r="I167" s="89">
        <f t="shared" si="125"/>
        <v>1531766.0041216004</v>
      </c>
      <c r="J167" s="89">
        <f t="shared" si="125"/>
        <v>1821329.3948928001</v>
      </c>
      <c r="K167" s="89">
        <f t="shared" si="125"/>
        <v>1779963.1962112002</v>
      </c>
      <c r="L167" s="89">
        <f t="shared" si="125"/>
        <v>1779963.1962112002</v>
      </c>
      <c r="M167" s="89">
        <f t="shared" si="125"/>
        <v>1383334.3500288003</v>
      </c>
      <c r="N167" s="89">
        <f t="shared" si="125"/>
        <v>1705747.3691648003</v>
      </c>
      <c r="O167" s="92">
        <f t="shared" si="119"/>
        <v>19549178.835763201</v>
      </c>
      <c r="P167" s="40"/>
      <c r="Q167" s="40"/>
      <c r="R167" s="40"/>
      <c r="S167" s="40"/>
      <c r="T167" s="40"/>
      <c r="U167" s="40"/>
      <c r="V167" s="40"/>
      <c r="W167" s="40"/>
      <c r="X167" s="40"/>
      <c r="Y167" s="40"/>
    </row>
    <row r="168" spans="1:25" ht="13.2" x14ac:dyDescent="0.25">
      <c r="A168" s="82"/>
      <c r="B168" s="58" t="s">
        <v>84</v>
      </c>
      <c r="C168" s="89">
        <f t="shared" ref="C168:N168" si="126">C137*(1+$K$86)</f>
        <v>1286002.1178367999</v>
      </c>
      <c r="D168" s="89">
        <f t="shared" si="126"/>
        <v>1404017.4493696003</v>
      </c>
      <c r="E168" s="89">
        <f t="shared" si="126"/>
        <v>1408884.0609792003</v>
      </c>
      <c r="F168" s="89">
        <f t="shared" si="126"/>
        <v>1455116.8712704</v>
      </c>
      <c r="G168" s="89">
        <f t="shared" si="126"/>
        <v>1721563.8568960002</v>
      </c>
      <c r="H168" s="89">
        <f t="shared" si="126"/>
        <v>1489183.1525376001</v>
      </c>
      <c r="I168" s="89">
        <f t="shared" si="126"/>
        <v>1546365.8389504002</v>
      </c>
      <c r="J168" s="89">
        <f t="shared" si="126"/>
        <v>1779963.1962112002</v>
      </c>
      <c r="K168" s="89">
        <f t="shared" si="126"/>
        <v>1629098.2363136001</v>
      </c>
      <c r="L168" s="89">
        <f t="shared" si="126"/>
        <v>1626664.9305088003</v>
      </c>
      <c r="M168" s="89">
        <f t="shared" si="126"/>
        <v>1741030.3033344001</v>
      </c>
      <c r="N168" s="89">
        <f t="shared" si="126"/>
        <v>1397934.1848576006</v>
      </c>
      <c r="O168" s="92">
        <f t="shared" si="119"/>
        <v>18485824.1990656</v>
      </c>
      <c r="P168" s="40"/>
      <c r="Q168" s="40"/>
      <c r="R168" s="40"/>
      <c r="S168" s="40"/>
      <c r="T168" s="40"/>
      <c r="U168" s="40"/>
      <c r="V168" s="40"/>
      <c r="W168" s="40"/>
      <c r="X168" s="40"/>
      <c r="Y168" s="40"/>
    </row>
    <row r="169" spans="1:25" ht="13.2" x14ac:dyDescent="0.25">
      <c r="A169" s="82"/>
      <c r="B169" s="57" t="s">
        <v>85</v>
      </c>
      <c r="C169" s="89">
        <f t="shared" ref="C169:N169" si="127">C138*(1+$K$86)</f>
        <v>1494049.7641472002</v>
      </c>
      <c r="D169" s="89">
        <f t="shared" si="127"/>
        <v>1278702.2004224004</v>
      </c>
      <c r="E169" s="89">
        <f t="shared" si="127"/>
        <v>1323718.3578112002</v>
      </c>
      <c r="F169" s="89">
        <f t="shared" si="127"/>
        <v>1344401.4571519999</v>
      </c>
      <c r="G169" s="89">
        <f t="shared" si="127"/>
        <v>1807946.2129664002</v>
      </c>
      <c r="H169" s="89">
        <f t="shared" si="127"/>
        <v>1327368.3165184003</v>
      </c>
      <c r="I169" s="89">
        <f t="shared" si="127"/>
        <v>1540282.5744384003</v>
      </c>
      <c r="J169" s="89">
        <f t="shared" si="127"/>
        <v>1219086.2082048</v>
      </c>
      <c r="K169" s="89">
        <f t="shared" si="127"/>
        <v>1585298.7318272004</v>
      </c>
      <c r="L169" s="89">
        <f t="shared" si="127"/>
        <v>1259235.7539840001</v>
      </c>
      <c r="M169" s="89">
        <f t="shared" si="127"/>
        <v>1603548.5253632001</v>
      </c>
      <c r="N169" s="89">
        <f t="shared" si="127"/>
        <v>1526899.3925120002</v>
      </c>
      <c r="O169" s="92">
        <f t="shared" si="119"/>
        <v>17310537.495347202</v>
      </c>
      <c r="P169" s="40"/>
      <c r="Q169" s="40"/>
      <c r="R169" s="40"/>
      <c r="S169" s="40"/>
      <c r="T169" s="40"/>
      <c r="U169" s="40"/>
      <c r="V169" s="40"/>
      <c r="W169" s="40"/>
      <c r="X169" s="40"/>
      <c r="Y169" s="40"/>
    </row>
    <row r="170" spans="1:25" ht="13.2" x14ac:dyDescent="0.25">
      <c r="A170" s="84"/>
      <c r="B170" s="58" t="s">
        <v>180</v>
      </c>
      <c r="C170" s="89">
        <f t="shared" ref="C170:N170" si="128">C139*(1+$K$86)</f>
        <v>1766580.0142848</v>
      </c>
      <c r="D170" s="89">
        <f t="shared" si="128"/>
        <v>1743463.6091392003</v>
      </c>
      <c r="E170" s="89">
        <f t="shared" si="128"/>
        <v>1449033.6067584003</v>
      </c>
      <c r="F170" s="89">
        <f t="shared" si="128"/>
        <v>1599898.5666560004</v>
      </c>
      <c r="G170" s="89">
        <f t="shared" si="128"/>
        <v>1261669.0597888001</v>
      </c>
      <c r="H170" s="89">
        <f t="shared" si="128"/>
        <v>1402800.7964672002</v>
      </c>
      <c r="I170" s="89">
        <f t="shared" si="128"/>
        <v>1451466.9125632003</v>
      </c>
      <c r="J170" s="89">
        <f t="shared" si="128"/>
        <v>1720347.2039936003</v>
      </c>
      <c r="K170" s="89">
        <f t="shared" si="128"/>
        <v>1346834.7629568002</v>
      </c>
      <c r="L170" s="89">
        <f t="shared" si="128"/>
        <v>1441733.6893440001</v>
      </c>
      <c r="M170" s="89">
        <f t="shared" si="128"/>
        <v>1444166.9951488001</v>
      </c>
      <c r="N170" s="89">
        <f t="shared" si="128"/>
        <v>1407667.4080768002</v>
      </c>
      <c r="O170" s="92">
        <f t="shared" si="119"/>
        <v>18035662.625177603</v>
      </c>
      <c r="P170" s="40"/>
      <c r="Q170" s="40"/>
      <c r="R170" s="40"/>
      <c r="S170" s="40"/>
      <c r="T170" s="40"/>
      <c r="U170" s="40"/>
      <c r="V170" s="40"/>
      <c r="W170" s="40"/>
      <c r="X170" s="40"/>
      <c r="Y170" s="40"/>
    </row>
    <row r="171" spans="1:25" ht="13.2" x14ac:dyDescent="0.25">
      <c r="A171" s="84"/>
      <c r="B171" s="58" t="s">
        <v>86</v>
      </c>
      <c r="C171" s="89">
        <f t="shared" ref="C171:N171" si="129">C140*(1+$K$86)</f>
        <v>1286002.1178367999</v>
      </c>
      <c r="D171" s="89">
        <f t="shared" si="129"/>
        <v>1271402.2830080003</v>
      </c>
      <c r="E171" s="89">
        <f t="shared" si="129"/>
        <v>1233686.0430336003</v>
      </c>
      <c r="F171" s="89">
        <f t="shared" si="129"/>
        <v>1609631.7898752003</v>
      </c>
      <c r="G171" s="89">
        <f t="shared" si="129"/>
        <v>1497699.7228544001</v>
      </c>
      <c r="H171" s="89">
        <f t="shared" si="129"/>
        <v>1247069.2249600003</v>
      </c>
      <c r="I171" s="89">
        <f t="shared" si="129"/>
        <v>1691147.5343360002</v>
      </c>
      <c r="J171" s="89">
        <f t="shared" si="129"/>
        <v>1623014.9718016002</v>
      </c>
      <c r="K171" s="89">
        <f t="shared" si="129"/>
        <v>1306685.2171776004</v>
      </c>
      <c r="L171" s="89">
        <f t="shared" si="129"/>
        <v>1351701.3745664002</v>
      </c>
      <c r="M171" s="89">
        <f t="shared" si="129"/>
        <v>1643698.0711424001</v>
      </c>
      <c r="N171" s="89">
        <f t="shared" si="129"/>
        <v>1730080.4272128001</v>
      </c>
      <c r="O171" s="92">
        <f t="shared" si="119"/>
        <v>17491818.777804799</v>
      </c>
      <c r="P171" s="40"/>
      <c r="Q171" s="40"/>
      <c r="R171" s="40"/>
      <c r="S171" s="40"/>
      <c r="T171" s="40"/>
      <c r="U171" s="40"/>
      <c r="V171" s="40"/>
      <c r="W171" s="40"/>
      <c r="X171" s="40"/>
      <c r="Y171" s="40"/>
    </row>
    <row r="172" spans="1:25" ht="13.2" x14ac:dyDescent="0.25">
      <c r="A172" s="82"/>
      <c r="B172" s="46" t="s">
        <v>208</v>
      </c>
      <c r="C172" s="47">
        <f t="shared" ref="C172:N172" si="130">SUM(C166:C171)</f>
        <v>7689246.3431679998</v>
      </c>
      <c r="D172" s="47">
        <f t="shared" si="130"/>
        <v>7748862.335385602</v>
      </c>
      <c r="E172" s="47">
        <f t="shared" si="130"/>
        <v>7618680.4748288002</v>
      </c>
      <c r="F172" s="47">
        <f t="shared" si="130"/>
        <v>7758595.5586048011</v>
      </c>
      <c r="G172" s="47">
        <f t="shared" si="130"/>
        <v>8444787.7955584005</v>
      </c>
      <c r="H172" s="47">
        <f t="shared" si="130"/>
        <v>7617463.821926401</v>
      </c>
      <c r="I172" s="47">
        <f t="shared" si="130"/>
        <v>8323122.5053184014</v>
      </c>
      <c r="J172" s="47">
        <f t="shared" si="130"/>
        <v>8702718.2108672</v>
      </c>
      <c r="K172" s="47">
        <f t="shared" si="130"/>
        <v>8063975.4371072007</v>
      </c>
      <c r="L172" s="47">
        <f t="shared" si="130"/>
        <v>7886344.1133568007</v>
      </c>
      <c r="M172" s="47">
        <f t="shared" si="130"/>
        <v>8222140.3144192006</v>
      </c>
      <c r="N172" s="47">
        <f t="shared" si="130"/>
        <v>8207540.4795904011</v>
      </c>
      <c r="O172" s="47">
        <f t="shared" si="119"/>
        <v>96283477.390131205</v>
      </c>
      <c r="P172" s="40"/>
      <c r="Q172" s="40"/>
      <c r="R172" s="40"/>
      <c r="S172" s="40"/>
      <c r="T172" s="40"/>
      <c r="U172" s="40"/>
      <c r="V172" s="40"/>
      <c r="W172" s="40"/>
      <c r="X172" s="40"/>
      <c r="Y172" s="40"/>
    </row>
    <row r="173" spans="1:25" ht="13.2" x14ac:dyDescent="0.25">
      <c r="A173" s="82"/>
      <c r="B173" s="60" t="s">
        <v>87</v>
      </c>
      <c r="C173" s="47">
        <f t="shared" ref="C173:N173" si="131">C164+C172</f>
        <v>11492503.3160704</v>
      </c>
      <c r="D173" s="47">
        <f t="shared" si="131"/>
        <v>11471820.216729602</v>
      </c>
      <c r="E173" s="47">
        <f t="shared" si="131"/>
        <v>11341638.3561728</v>
      </c>
      <c r="F173" s="47">
        <f t="shared" si="131"/>
        <v>11481553.439948801</v>
      </c>
      <c r="G173" s="47">
        <f t="shared" si="131"/>
        <v>12167745.6769024</v>
      </c>
      <c r="H173" s="47">
        <f t="shared" si="131"/>
        <v>11340421.703270402</v>
      </c>
      <c r="I173" s="47">
        <f t="shared" si="131"/>
        <v>12046080.386662401</v>
      </c>
      <c r="J173" s="47">
        <f t="shared" si="131"/>
        <v>12425676.0922112</v>
      </c>
      <c r="K173" s="47">
        <f t="shared" si="131"/>
        <v>11786933.3184512</v>
      </c>
      <c r="L173" s="47">
        <f t="shared" si="131"/>
        <v>11609301.994700801</v>
      </c>
      <c r="M173" s="47">
        <f t="shared" si="131"/>
        <v>11945098.195763201</v>
      </c>
      <c r="N173" s="47">
        <f t="shared" si="131"/>
        <v>11930498.360934401</v>
      </c>
      <c r="O173" s="47">
        <f t="shared" si="119"/>
        <v>141039271.05781761</v>
      </c>
      <c r="P173" s="40"/>
      <c r="Q173" s="40"/>
      <c r="R173" s="40"/>
      <c r="S173" s="40"/>
      <c r="T173" s="40"/>
      <c r="U173" s="40"/>
      <c r="V173" s="40"/>
      <c r="W173" s="40"/>
      <c r="X173" s="40"/>
      <c r="Y173" s="40"/>
    </row>
    <row r="174" spans="1:25" ht="13.2" x14ac:dyDescent="0.25">
      <c r="A174" s="84"/>
      <c r="B174" s="108" t="s">
        <v>238</v>
      </c>
      <c r="C174" s="119">
        <f>'5. Down payment savings'!$F$2</f>
        <v>22867024.153494995</v>
      </c>
      <c r="D174" s="119">
        <f>'5. Down payment savings'!$F$2</f>
        <v>22867024.153494995</v>
      </c>
      <c r="E174" s="119">
        <f>'5. Down payment savings'!$F$2</f>
        <v>22867024.153494995</v>
      </c>
      <c r="F174" s="119">
        <f>'5. Down payment savings'!$F$2</f>
        <v>22867024.153494995</v>
      </c>
      <c r="G174" s="119">
        <f>'5. Down payment savings'!$F$2</f>
        <v>22867024.153494995</v>
      </c>
      <c r="H174" s="119">
        <f>'5. Down payment savings'!$F$2</f>
        <v>22867024.153494995</v>
      </c>
      <c r="I174" s="119">
        <f>'5. Down payment savings'!$F$2</f>
        <v>22867024.153494995</v>
      </c>
      <c r="J174" s="119">
        <f>'5. Down payment savings'!$F$2</f>
        <v>22867024.153494995</v>
      </c>
      <c r="K174" s="119">
        <f>'5. Down payment savings'!$F$2</f>
        <v>22867024.153494995</v>
      </c>
      <c r="L174" s="119">
        <f>'5. Down payment savings'!$F$2</f>
        <v>22867024.153494995</v>
      </c>
      <c r="M174" s="119">
        <f>'5. Down payment savings'!$F$2</f>
        <v>22867024.153494995</v>
      </c>
      <c r="N174" s="119">
        <f>'5. Down payment savings'!$F$2</f>
        <v>22867024.153494995</v>
      </c>
      <c r="O174" s="109">
        <f>SUM(C174:N174)</f>
        <v>274404289.84193987</v>
      </c>
      <c r="P174" s="40"/>
      <c r="Q174" s="40"/>
      <c r="R174" s="40"/>
      <c r="S174" s="40"/>
      <c r="T174" s="40"/>
      <c r="U174" s="40"/>
      <c r="V174" s="40"/>
      <c r="W174" s="40"/>
      <c r="X174" s="40"/>
      <c r="Y174" s="40"/>
    </row>
    <row r="175" spans="1:25" ht="13.2" x14ac:dyDescent="0.25">
      <c r="A175" s="82"/>
      <c r="B175" s="108" t="s">
        <v>204</v>
      </c>
      <c r="C175" s="109">
        <f>$O173*(3/12)/12</f>
        <v>2938318.147037867</v>
      </c>
      <c r="D175" s="109">
        <f t="shared" ref="D175" si="132">$O173*(3/12)/12</f>
        <v>2938318.147037867</v>
      </c>
      <c r="E175" s="109">
        <f t="shared" ref="E175" si="133">$O173*(3/12)/12</f>
        <v>2938318.147037867</v>
      </c>
      <c r="F175" s="109">
        <f t="shared" ref="F175" si="134">$O173*(3/12)/12</f>
        <v>2938318.147037867</v>
      </c>
      <c r="G175" s="109">
        <f t="shared" ref="G175" si="135">$O173*(3/12)/12</f>
        <v>2938318.147037867</v>
      </c>
      <c r="H175" s="109">
        <f t="shared" ref="H175" si="136">$O173*(3/12)/12</f>
        <v>2938318.147037867</v>
      </c>
      <c r="I175" s="109">
        <f t="shared" ref="I175" si="137">$O173*(3/12)/12</f>
        <v>2938318.147037867</v>
      </c>
      <c r="J175" s="109">
        <f t="shared" ref="J175" si="138">$O173*(3/12)/12</f>
        <v>2938318.147037867</v>
      </c>
      <c r="K175" s="109">
        <f t="shared" ref="K175" si="139">$O173*(3/12)/12</f>
        <v>2938318.147037867</v>
      </c>
      <c r="L175" s="109">
        <f t="shared" ref="L175" si="140">$O173*(3/12)/12</f>
        <v>2938318.147037867</v>
      </c>
      <c r="M175" s="109">
        <f t="shared" ref="M175" si="141">$O173*(3/12)/12</f>
        <v>2938318.147037867</v>
      </c>
      <c r="N175" s="109">
        <f t="shared" ref="N175" si="142">$O173*(3/12)/12</f>
        <v>2938318.147037867</v>
      </c>
      <c r="O175" s="109">
        <f t="shared" ref="O175:O176" si="143">SUM(C175:N175)</f>
        <v>35259817.764454402</v>
      </c>
      <c r="P175" s="43"/>
      <c r="Q175" s="43"/>
      <c r="R175" s="40"/>
      <c r="S175" s="40"/>
      <c r="T175" s="40"/>
      <c r="U175" s="40"/>
      <c r="V175" s="40"/>
      <c r="W175" s="40"/>
      <c r="X175" s="40"/>
      <c r="Y175" s="40"/>
    </row>
    <row r="176" spans="1:25" ht="13.2" x14ac:dyDescent="0.25">
      <c r="A176" s="82"/>
      <c r="B176" s="60" t="s">
        <v>206</v>
      </c>
      <c r="C176" s="61">
        <f t="shared" ref="C176:N176" si="144">C157-C173-C175-C174</f>
        <v>10319654.383396737</v>
      </c>
      <c r="D176" s="61">
        <f t="shared" si="144"/>
        <v>10340337.482737534</v>
      </c>
      <c r="E176" s="61">
        <f t="shared" si="144"/>
        <v>10470519.343294337</v>
      </c>
      <c r="F176" s="61">
        <f t="shared" si="144"/>
        <v>10330604.25951834</v>
      </c>
      <c r="G176" s="61">
        <f t="shared" si="144"/>
        <v>9644412.022564739</v>
      </c>
      <c r="H176" s="61">
        <f t="shared" si="144"/>
        <v>10471735.996196732</v>
      </c>
      <c r="I176" s="61">
        <f t="shared" si="144"/>
        <v>9766077.3128047362</v>
      </c>
      <c r="J176" s="61">
        <f t="shared" si="144"/>
        <v>9386481.6072559357</v>
      </c>
      <c r="K176" s="61">
        <f t="shared" si="144"/>
        <v>10025224.381015942</v>
      </c>
      <c r="L176" s="61">
        <f t="shared" si="144"/>
        <v>10202855.704766333</v>
      </c>
      <c r="M176" s="61">
        <f t="shared" si="144"/>
        <v>9867059.5037039369</v>
      </c>
      <c r="N176" s="61">
        <f t="shared" si="144"/>
        <v>9881659.3385327384</v>
      </c>
      <c r="O176" s="47">
        <f t="shared" si="143"/>
        <v>120706621.33578804</v>
      </c>
      <c r="P176" s="43"/>
      <c r="Q176" s="43"/>
      <c r="R176" s="40"/>
      <c r="S176" s="40"/>
      <c r="T176" s="40"/>
      <c r="U176" s="40"/>
      <c r="V176" s="40"/>
      <c r="W176" s="40"/>
      <c r="X176" s="40"/>
      <c r="Y176" s="40"/>
    </row>
    <row r="177" spans="1:25" ht="13.2" x14ac:dyDescent="0.25">
      <c r="A177" s="85"/>
      <c r="B177" s="40"/>
      <c r="C177" s="40"/>
      <c r="D177" s="40"/>
      <c r="E177" s="40"/>
      <c r="F177" s="40"/>
      <c r="G177" s="40"/>
      <c r="H177" s="40"/>
      <c r="I177" s="40"/>
      <c r="J177" s="40"/>
      <c r="K177" s="40"/>
      <c r="L177" s="353" t="s">
        <v>217</v>
      </c>
      <c r="M177" s="354"/>
      <c r="N177" s="350">
        <f>SUM(C176:N176)+N146</f>
        <v>311709883.44804931</v>
      </c>
      <c r="O177" s="40"/>
      <c r="P177" s="40"/>
      <c r="Q177" s="40"/>
      <c r="R177" s="40"/>
      <c r="S177" s="40"/>
      <c r="T177" s="40"/>
      <c r="U177" s="40"/>
      <c r="V177" s="40"/>
      <c r="W177" s="40"/>
      <c r="X177" s="40"/>
      <c r="Y177" s="40"/>
    </row>
    <row r="178" spans="1:25" ht="13.2" x14ac:dyDescent="0.25">
      <c r="A178" s="85"/>
      <c r="B178" s="40"/>
      <c r="C178" s="40"/>
      <c r="D178" s="40"/>
      <c r="E178" s="40"/>
      <c r="F178" s="40"/>
      <c r="G178" s="40"/>
      <c r="H178" s="40"/>
      <c r="I178" s="40"/>
      <c r="J178" s="40"/>
      <c r="K178" s="40"/>
      <c r="L178" s="320"/>
      <c r="M178" s="355"/>
      <c r="N178" s="351"/>
      <c r="O178" s="40"/>
      <c r="P178" s="40"/>
      <c r="Q178" s="40"/>
      <c r="R178" s="40"/>
      <c r="S178" s="40"/>
      <c r="T178" s="40"/>
      <c r="U178" s="40"/>
      <c r="V178" s="40"/>
      <c r="W178" s="40"/>
      <c r="X178" s="40"/>
      <c r="Y178" s="40"/>
    </row>
    <row r="179" spans="1:25" ht="13.2" x14ac:dyDescent="0.25">
      <c r="A179" s="85"/>
      <c r="B179" s="319" t="s">
        <v>632</v>
      </c>
      <c r="C179" s="352" t="s">
        <v>173</v>
      </c>
      <c r="D179" s="352"/>
      <c r="E179" s="352"/>
      <c r="F179" s="352"/>
      <c r="G179" s="352"/>
      <c r="H179" s="352"/>
      <c r="I179" s="40"/>
      <c r="J179" s="358" t="s">
        <v>231</v>
      </c>
      <c r="K179" s="359">
        <v>0.04</v>
      </c>
      <c r="L179" s="40"/>
      <c r="M179" s="40"/>
      <c r="N179" s="40"/>
      <c r="O179" s="361"/>
      <c r="P179" s="40"/>
      <c r="Q179" s="40"/>
      <c r="R179" s="40"/>
      <c r="S179" s="40"/>
      <c r="T179" s="40"/>
      <c r="U179" s="40"/>
      <c r="V179" s="40"/>
      <c r="W179" s="40"/>
      <c r="X179" s="40"/>
      <c r="Y179" s="40"/>
    </row>
    <row r="180" spans="1:25" ht="13.2" x14ac:dyDescent="0.25">
      <c r="A180" s="85"/>
      <c r="B180" s="319"/>
      <c r="C180" s="352"/>
      <c r="D180" s="352"/>
      <c r="E180" s="352"/>
      <c r="F180" s="352"/>
      <c r="G180" s="352"/>
      <c r="H180" s="352"/>
      <c r="I180" s="40"/>
      <c r="J180" s="358"/>
      <c r="K180" s="360"/>
      <c r="L180" s="40"/>
      <c r="M180" s="40"/>
      <c r="N180" s="40"/>
      <c r="O180" s="362"/>
      <c r="P180" s="40"/>
      <c r="Q180" s="40"/>
      <c r="R180" s="40"/>
      <c r="S180" s="40"/>
      <c r="T180" s="40"/>
      <c r="U180" s="40"/>
      <c r="V180" s="40"/>
      <c r="W180" s="40"/>
      <c r="X180" s="40"/>
      <c r="Y180" s="40"/>
    </row>
    <row r="181" spans="1:25" ht="13.2" x14ac:dyDescent="0.25">
      <c r="A181" s="85"/>
      <c r="B181" s="319"/>
      <c r="C181" s="352"/>
      <c r="D181" s="352"/>
      <c r="E181" s="352"/>
      <c r="F181" s="352"/>
      <c r="G181" s="352"/>
      <c r="H181" s="352"/>
      <c r="I181" s="40"/>
      <c r="J181" s="40"/>
      <c r="K181" s="40"/>
      <c r="L181" s="40"/>
      <c r="M181" s="40"/>
      <c r="N181" s="40"/>
      <c r="O181" s="40"/>
      <c r="P181" s="40"/>
      <c r="Q181" s="40"/>
      <c r="R181" s="40"/>
      <c r="S181" s="40"/>
      <c r="T181" s="40"/>
      <c r="U181" s="40"/>
      <c r="V181" s="40"/>
      <c r="W181" s="40"/>
      <c r="X181" s="40"/>
      <c r="Y181" s="40"/>
    </row>
    <row r="182" spans="1:25" ht="13.2" x14ac:dyDescent="0.25">
      <c r="A182" s="85"/>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row>
    <row r="183" spans="1:25" ht="13.2" x14ac:dyDescent="0.25">
      <c r="A183" s="85"/>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row>
    <row r="184" spans="1:25" ht="13.2" x14ac:dyDescent="0.25">
      <c r="A184" s="85"/>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row>
    <row r="185" spans="1:25" ht="13.2" x14ac:dyDescent="0.25">
      <c r="A185" s="85"/>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row>
    <row r="186" spans="1:25" ht="13.2" x14ac:dyDescent="0.25">
      <c r="A186" s="85"/>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row>
    <row r="187" spans="1:25" ht="13.2" x14ac:dyDescent="0.25">
      <c r="A187" s="85"/>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row>
    <row r="188" spans="1:25" ht="13.2" x14ac:dyDescent="0.25">
      <c r="A188" s="85"/>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row>
    <row r="189" spans="1:25" ht="13.2" x14ac:dyDescent="0.25">
      <c r="A189" s="85"/>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row>
    <row r="190" spans="1:25" ht="13.2" x14ac:dyDescent="0.25">
      <c r="A190" s="85"/>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row>
    <row r="191" spans="1:25" ht="13.2" x14ac:dyDescent="0.25">
      <c r="A191" s="85"/>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row>
    <row r="192" spans="1:25" ht="13.2" x14ac:dyDescent="0.25">
      <c r="A192" s="85"/>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row>
    <row r="193" spans="1:25" ht="13.2" x14ac:dyDescent="0.25">
      <c r="A193" s="85"/>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row>
    <row r="194" spans="1:25" ht="13.2" x14ac:dyDescent="0.25">
      <c r="A194" s="85"/>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row>
    <row r="195" spans="1:25" ht="13.2" x14ac:dyDescent="0.25">
      <c r="A195" s="85"/>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row>
    <row r="196" spans="1:25" ht="13.2" x14ac:dyDescent="0.25">
      <c r="A196" s="85"/>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row>
    <row r="197" spans="1:25" ht="13.2" x14ac:dyDescent="0.25">
      <c r="A197" s="85"/>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row>
    <row r="198" spans="1:25" ht="13.2" x14ac:dyDescent="0.25">
      <c r="A198" s="85"/>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row>
    <row r="199" spans="1:25" ht="13.2" x14ac:dyDescent="0.25">
      <c r="A199" s="85"/>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row>
    <row r="200" spans="1:25" ht="13.2" x14ac:dyDescent="0.25">
      <c r="A200" s="85"/>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row>
    <row r="201" spans="1:25" ht="13.2" x14ac:dyDescent="0.25">
      <c r="A201" s="85"/>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row>
    <row r="202" spans="1:25" ht="13.2" x14ac:dyDescent="0.25">
      <c r="A202" s="85"/>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row>
    <row r="203" spans="1:25" ht="13.2" x14ac:dyDescent="0.25">
      <c r="A203" s="85"/>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row>
    <row r="204" spans="1:25" ht="13.2" x14ac:dyDescent="0.25">
      <c r="A204" s="85"/>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row>
    <row r="205" spans="1:25" ht="13.2" x14ac:dyDescent="0.25">
      <c r="A205" s="85"/>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row>
    <row r="206" spans="1:25" ht="13.2" x14ac:dyDescent="0.25">
      <c r="A206" s="85"/>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row>
    <row r="207" spans="1:25" ht="13.2" x14ac:dyDescent="0.25">
      <c r="A207" s="85"/>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row>
    <row r="208" spans="1:25" ht="13.2" x14ac:dyDescent="0.25">
      <c r="A208" s="85"/>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row>
    <row r="209" spans="1:25" ht="13.2" x14ac:dyDescent="0.25">
      <c r="A209" s="85"/>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row>
    <row r="210" spans="1:25" ht="13.2" x14ac:dyDescent="0.25">
      <c r="A210" s="85"/>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row>
    <row r="211" spans="1:25" ht="13.2" x14ac:dyDescent="0.25">
      <c r="A211" s="85"/>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row>
    <row r="212" spans="1:25" ht="13.2" x14ac:dyDescent="0.25">
      <c r="A212" s="85"/>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row>
    <row r="213" spans="1:25" ht="13.2" x14ac:dyDescent="0.25">
      <c r="A213" s="85"/>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row>
    <row r="214" spans="1:25" ht="13.2" x14ac:dyDescent="0.25">
      <c r="A214" s="85"/>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row>
    <row r="215" spans="1:25" ht="13.2" x14ac:dyDescent="0.25">
      <c r="A215" s="85"/>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row>
    <row r="216" spans="1:25" ht="13.2" x14ac:dyDescent="0.25">
      <c r="A216" s="85"/>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row>
    <row r="217" spans="1:25" ht="13.2" x14ac:dyDescent="0.25">
      <c r="A217" s="85"/>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row>
    <row r="218" spans="1:25" ht="13.2" x14ac:dyDescent="0.25">
      <c r="A218" s="85"/>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row>
    <row r="219" spans="1:25" ht="13.2" x14ac:dyDescent="0.25">
      <c r="A219" s="85"/>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row>
    <row r="220" spans="1:25" ht="13.2" x14ac:dyDescent="0.25">
      <c r="A220" s="85"/>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row>
    <row r="221" spans="1:25" ht="13.2" x14ac:dyDescent="0.25">
      <c r="A221" s="85"/>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row>
    <row r="222" spans="1:25" ht="13.2" x14ac:dyDescent="0.25">
      <c r="A222" s="85"/>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row>
    <row r="223" spans="1:25" ht="13.2" x14ac:dyDescent="0.25">
      <c r="A223" s="85"/>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row>
    <row r="224" spans="1:25" ht="13.2" x14ac:dyDescent="0.25">
      <c r="A224" s="85"/>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row>
    <row r="225" spans="1:25" ht="13.2" x14ac:dyDescent="0.25">
      <c r="A225" s="85"/>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row>
    <row r="226" spans="1:25" ht="13.2" x14ac:dyDescent="0.25">
      <c r="A226" s="85"/>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row>
    <row r="227" spans="1:25" ht="13.2" x14ac:dyDescent="0.25"/>
    <row r="228" spans="1:25" ht="13.2" x14ac:dyDescent="0.25"/>
    <row r="229" spans="1:25" ht="13.2" x14ac:dyDescent="0.25"/>
    <row r="230" spans="1:25" ht="13.2" x14ac:dyDescent="0.25"/>
    <row r="231" spans="1:25" ht="13.2" x14ac:dyDescent="0.25"/>
    <row r="232" spans="1:25" ht="13.2" x14ac:dyDescent="0.25"/>
    <row r="233" spans="1:25" ht="13.2" x14ac:dyDescent="0.25"/>
    <row r="234" spans="1:25" ht="13.2" x14ac:dyDescent="0.25"/>
    <row r="235" spans="1:25" ht="13.2" x14ac:dyDescent="0.25"/>
    <row r="236" spans="1:25" ht="13.2" x14ac:dyDescent="0.25"/>
    <row r="237" spans="1:25" ht="13.2" x14ac:dyDescent="0.25"/>
    <row r="238" spans="1:25" ht="13.2" x14ac:dyDescent="0.25"/>
    <row r="239" spans="1:25" ht="13.2" x14ac:dyDescent="0.25"/>
    <row r="240" spans="1:25"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sheetData>
  <mergeCells count="45">
    <mergeCell ref="O56:O57"/>
    <mergeCell ref="O86:O87"/>
    <mergeCell ref="O117:O118"/>
    <mergeCell ref="O148:O149"/>
    <mergeCell ref="O179:O180"/>
    <mergeCell ref="B61:O62"/>
    <mergeCell ref="B91:O92"/>
    <mergeCell ref="B122:O123"/>
    <mergeCell ref="B153:O154"/>
    <mergeCell ref="L177:M178"/>
    <mergeCell ref="N177:N178"/>
    <mergeCell ref="B179:B181"/>
    <mergeCell ref="C179:H181"/>
    <mergeCell ref="J179:J180"/>
    <mergeCell ref="K179:K180"/>
    <mergeCell ref="L146:M147"/>
    <mergeCell ref="N146:N147"/>
    <mergeCell ref="B148:B150"/>
    <mergeCell ref="C148:H150"/>
    <mergeCell ref="J148:J149"/>
    <mergeCell ref="K148:K149"/>
    <mergeCell ref="L115:M116"/>
    <mergeCell ref="N115:N116"/>
    <mergeCell ref="B117:B119"/>
    <mergeCell ref="C117:H119"/>
    <mergeCell ref="J117:J118"/>
    <mergeCell ref="K117:K118"/>
    <mergeCell ref="N84:N85"/>
    <mergeCell ref="B86:B88"/>
    <mergeCell ref="C86:H88"/>
    <mergeCell ref="J86:J87"/>
    <mergeCell ref="K86:K87"/>
    <mergeCell ref="L84:M85"/>
    <mergeCell ref="N54:N55"/>
    <mergeCell ref="B56:B58"/>
    <mergeCell ref="C56:H58"/>
    <mergeCell ref="J56:J57"/>
    <mergeCell ref="K56:K57"/>
    <mergeCell ref="L54:M55"/>
    <mergeCell ref="B1:O2"/>
    <mergeCell ref="B31:O32"/>
    <mergeCell ref="N24:N25"/>
    <mergeCell ref="B26:B28"/>
    <mergeCell ref="C26:H28"/>
    <mergeCell ref="L24:M25"/>
  </mergeCells>
  <hyperlinks>
    <hyperlink ref="A8" r:id="rId1" xr:uid="{64C77188-BCE5-4483-AB9D-99196F17CE36}"/>
    <hyperlink ref="I117" r:id="rId2" xr:uid="{ED745991-77BD-4560-93B0-AA663F04D240}"/>
    <hyperlink ref="I118" r:id="rId3" xr:uid="{405C432A-E120-4858-8D59-8ED601E0B7DE}"/>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230E-63E3-4B66-BEFC-2715D15593B7}">
  <sheetPr>
    <outlinePr summaryBelow="0" summaryRight="0"/>
  </sheetPr>
  <dimension ref="A1:Y924"/>
  <sheetViews>
    <sheetView showGridLines="0" topLeftCell="A91" zoomScale="70" zoomScaleNormal="70" workbookViewId="0">
      <selection activeCell="I59" sqref="I59"/>
    </sheetView>
  </sheetViews>
  <sheetFormatPr defaultColWidth="12.6640625" defaultRowHeight="15.75" customHeight="1" x14ac:dyDescent="0.25"/>
  <cols>
    <col min="1" max="1" width="17.44140625" style="86" customWidth="1"/>
    <col min="2" max="2" width="48.109375" style="11" customWidth="1"/>
    <col min="3" max="13" width="15.109375" style="11" customWidth="1"/>
    <col min="14" max="14" width="15.44140625" style="11" customWidth="1"/>
    <col min="15" max="15" width="15.109375" style="11" customWidth="1"/>
    <col min="16" max="16384" width="12.6640625" style="11"/>
  </cols>
  <sheetData>
    <row r="1" spans="1:25" ht="24.6" x14ac:dyDescent="0.25">
      <c r="A1" s="80"/>
      <c r="B1" s="348" t="s">
        <v>237</v>
      </c>
      <c r="C1" s="348"/>
      <c r="D1" s="348"/>
      <c r="E1" s="348"/>
      <c r="F1" s="348"/>
      <c r="G1" s="348"/>
      <c r="H1" s="348"/>
      <c r="I1" s="348"/>
      <c r="J1" s="348"/>
      <c r="K1" s="348"/>
      <c r="L1" s="348"/>
      <c r="M1" s="348"/>
      <c r="N1" s="348"/>
      <c r="O1" s="348"/>
      <c r="R1" s="40"/>
      <c r="S1" s="40"/>
      <c r="T1" s="40"/>
      <c r="U1" s="40"/>
      <c r="V1" s="40"/>
      <c r="W1" s="40"/>
      <c r="X1" s="40"/>
      <c r="Y1" s="40"/>
    </row>
    <row r="2" spans="1:25" ht="15.75" customHeight="1" x14ac:dyDescent="0.25">
      <c r="A2" s="81"/>
      <c r="B2" s="349"/>
      <c r="C2" s="349"/>
      <c r="D2" s="349"/>
      <c r="E2" s="349"/>
      <c r="F2" s="349"/>
      <c r="G2" s="349"/>
      <c r="H2" s="349"/>
      <c r="I2" s="349"/>
      <c r="J2" s="349"/>
      <c r="K2" s="349"/>
      <c r="L2" s="349"/>
      <c r="M2" s="349"/>
      <c r="N2" s="349"/>
      <c r="O2" s="349"/>
      <c r="R2" s="40"/>
      <c r="S2" s="40"/>
      <c r="T2" s="40"/>
      <c r="U2" s="40"/>
      <c r="V2" s="40"/>
      <c r="W2" s="40"/>
      <c r="X2" s="40"/>
      <c r="Y2" s="40"/>
    </row>
    <row r="3" spans="1:25" ht="13.2"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c r="P3" s="43"/>
      <c r="Q3" s="43"/>
      <c r="R3" s="40"/>
      <c r="S3" s="40"/>
      <c r="T3" s="40"/>
      <c r="U3" s="40"/>
      <c r="V3" s="40"/>
      <c r="W3" s="40"/>
      <c r="X3" s="40"/>
      <c r="Y3" s="40"/>
    </row>
    <row r="4" spans="1:25" ht="13.2" x14ac:dyDescent="0.25">
      <c r="A4" s="82"/>
      <c r="B4" s="44" t="s">
        <v>194</v>
      </c>
      <c r="C4" s="45">
        <f>'3.1. My Income Tax Calculation'!$P$8/12</f>
        <v>47837827.941176474</v>
      </c>
      <c r="D4" s="45">
        <f>'3.1. My Income Tax Calculation'!$P$8/12</f>
        <v>47837827.941176474</v>
      </c>
      <c r="E4" s="45">
        <f>'3.1. My Income Tax Calculation'!$P$8/12</f>
        <v>47837827.941176474</v>
      </c>
      <c r="F4" s="45">
        <f>'3.1. My Income Tax Calculation'!$P$8/12</f>
        <v>47837827.941176474</v>
      </c>
      <c r="G4" s="45">
        <f>'3.1. My Income Tax Calculation'!$P$8/12</f>
        <v>47837827.941176474</v>
      </c>
      <c r="H4" s="45">
        <f>'3.1. My Income Tax Calculation'!$P$8/12</f>
        <v>47837827.941176474</v>
      </c>
      <c r="I4" s="45">
        <f>'3.1. My Income Tax Calculation'!$P$8/12</f>
        <v>47837827.941176474</v>
      </c>
      <c r="J4" s="45">
        <f>'3.1. My Income Tax Calculation'!$P$8/12</f>
        <v>47837827.941176474</v>
      </c>
      <c r="K4" s="45">
        <f>'3.1. My Income Tax Calculation'!$P$8/12</f>
        <v>47837827.941176474</v>
      </c>
      <c r="L4" s="45">
        <f>'3.1. My Income Tax Calculation'!$P$8/12</f>
        <v>47837827.941176474</v>
      </c>
      <c r="M4" s="45">
        <f>'3.1. My Income Tax Calculation'!$P$8/12</f>
        <v>47837827.941176474</v>
      </c>
      <c r="N4" s="45">
        <f>'3.1. My Income Tax Calculation'!$P$8/12</f>
        <v>47837827.941176474</v>
      </c>
      <c r="O4" s="45" t="s">
        <v>173</v>
      </c>
      <c r="P4" s="43"/>
      <c r="Q4" s="43"/>
      <c r="R4" s="40"/>
      <c r="S4" s="40"/>
      <c r="T4" s="40"/>
      <c r="U4" s="40"/>
      <c r="V4" s="40"/>
      <c r="W4" s="40"/>
      <c r="X4" s="40"/>
      <c r="Y4" s="40"/>
    </row>
    <row r="5" spans="1:25" ht="13.2" x14ac:dyDescent="0.25">
      <c r="A5" s="82"/>
      <c r="B5" s="46" t="s">
        <v>209</v>
      </c>
      <c r="C5" s="47">
        <f>C4</f>
        <v>47837827.941176474</v>
      </c>
      <c r="D5" s="47">
        <f t="shared" ref="D5:N5" si="0">D4</f>
        <v>47837827.941176474</v>
      </c>
      <c r="E5" s="47">
        <f t="shared" si="0"/>
        <v>47837827.941176474</v>
      </c>
      <c r="F5" s="47">
        <f t="shared" si="0"/>
        <v>47837827.941176474</v>
      </c>
      <c r="G5" s="47">
        <f t="shared" si="0"/>
        <v>47837827.941176474</v>
      </c>
      <c r="H5" s="47">
        <f t="shared" si="0"/>
        <v>47837827.941176474</v>
      </c>
      <c r="I5" s="47">
        <f t="shared" si="0"/>
        <v>47837827.941176474</v>
      </c>
      <c r="J5" s="47">
        <f t="shared" si="0"/>
        <v>47837827.941176474</v>
      </c>
      <c r="K5" s="47">
        <f t="shared" si="0"/>
        <v>47837827.941176474</v>
      </c>
      <c r="L5" s="47">
        <f t="shared" si="0"/>
        <v>47837827.941176474</v>
      </c>
      <c r="M5" s="47">
        <f t="shared" si="0"/>
        <v>47837827.941176474</v>
      </c>
      <c r="N5" s="47">
        <f t="shared" si="0"/>
        <v>47837827.941176474</v>
      </c>
      <c r="O5" s="47">
        <f>SUM(C5:N5)</f>
        <v>574053935.29411769</v>
      </c>
      <c r="P5" s="43"/>
      <c r="Q5" s="43"/>
      <c r="R5" s="40"/>
      <c r="S5" s="40"/>
      <c r="T5" s="40"/>
      <c r="U5" s="40"/>
      <c r="V5" s="40"/>
      <c r="W5" s="40"/>
      <c r="X5" s="40"/>
      <c r="Y5" s="40"/>
    </row>
    <row r="6" spans="1:25" ht="13.2" x14ac:dyDescent="0.25">
      <c r="A6" s="82"/>
      <c r="B6" s="52" t="s">
        <v>78</v>
      </c>
      <c r="C6" s="53" t="s">
        <v>173</v>
      </c>
      <c r="D6" s="53" t="s">
        <v>173</v>
      </c>
      <c r="E6" s="53" t="s">
        <v>173</v>
      </c>
      <c r="F6" s="53" t="s">
        <v>173</v>
      </c>
      <c r="G6" s="53" t="s">
        <v>173</v>
      </c>
      <c r="H6" s="53" t="s">
        <v>173</v>
      </c>
      <c r="I6" s="53" t="s">
        <v>173</v>
      </c>
      <c r="J6" s="53" t="s">
        <v>173</v>
      </c>
      <c r="K6" s="53" t="s">
        <v>173</v>
      </c>
      <c r="L6" s="53" t="s">
        <v>173</v>
      </c>
      <c r="M6" s="53" t="s">
        <v>173</v>
      </c>
      <c r="N6" s="53" t="s">
        <v>173</v>
      </c>
      <c r="O6" s="91" t="s">
        <v>173</v>
      </c>
      <c r="P6" s="43"/>
      <c r="Q6" s="43"/>
      <c r="R6" s="40"/>
      <c r="S6" s="40"/>
      <c r="T6" s="40"/>
      <c r="U6" s="40"/>
      <c r="V6" s="40"/>
      <c r="W6" s="40"/>
      <c r="X6" s="40"/>
      <c r="Y6" s="40"/>
    </row>
    <row r="7" spans="1:25" ht="13.2" x14ac:dyDescent="0.25">
      <c r="A7" s="82"/>
      <c r="B7" s="48" t="s">
        <v>79</v>
      </c>
      <c r="C7" s="54" t="s">
        <v>173</v>
      </c>
      <c r="D7" s="54" t="s">
        <v>173</v>
      </c>
      <c r="E7" s="54" t="s">
        <v>173</v>
      </c>
      <c r="F7" s="54" t="s">
        <v>173</v>
      </c>
      <c r="G7" s="54" t="s">
        <v>173</v>
      </c>
      <c r="H7" s="54" t="s">
        <v>173</v>
      </c>
      <c r="I7" s="54" t="s">
        <v>173</v>
      </c>
      <c r="J7" s="54" t="s">
        <v>173</v>
      </c>
      <c r="K7" s="54" t="s">
        <v>173</v>
      </c>
      <c r="L7" s="54" t="s">
        <v>173</v>
      </c>
      <c r="M7" s="54" t="s">
        <v>173</v>
      </c>
      <c r="N7" s="54" t="s">
        <v>173</v>
      </c>
      <c r="O7" s="91" t="s">
        <v>173</v>
      </c>
      <c r="P7" s="43"/>
      <c r="Q7" s="43"/>
      <c r="R7" s="40"/>
      <c r="S7" s="40"/>
      <c r="T7" s="40"/>
      <c r="U7" s="40"/>
      <c r="V7" s="40"/>
      <c r="W7" s="40"/>
      <c r="X7" s="40"/>
      <c r="Y7" s="40"/>
    </row>
    <row r="8" spans="1:25" ht="13.2" x14ac:dyDescent="0.25">
      <c r="A8" s="93"/>
      <c r="B8" s="49" t="s">
        <v>195</v>
      </c>
      <c r="C8" s="50">
        <f>'7.1. Stage 1 budget'!C160*(1+'7.2. Stage 2 budget'!$K$27)</f>
        <v>83511.055220736016</v>
      </c>
      <c r="D8" s="50">
        <f>'7.1. Stage 1 budget'!D160*(1+'7.2. Stage 2 budget'!$K$27)</f>
        <v>0</v>
      </c>
      <c r="E8" s="50">
        <f>'7.1. Stage 1 budget'!E160*(1+'7.2. Stage 2 budget'!$K$27)</f>
        <v>0</v>
      </c>
      <c r="F8" s="50">
        <f>'7.1. Stage 1 budget'!F160*(1+'7.2. Stage 2 budget'!$K$27)</f>
        <v>0</v>
      </c>
      <c r="G8" s="50">
        <f>'7.1. Stage 1 budget'!G160*(1+'7.2. Stage 2 budget'!$K$27)</f>
        <v>0</v>
      </c>
      <c r="H8" s="50">
        <f>'7.1. Stage 1 budget'!H160*(1+'7.2. Stage 2 budget'!$K$27)</f>
        <v>0</v>
      </c>
      <c r="I8" s="50">
        <f>'7.1. Stage 1 budget'!I160*(1+'7.2. Stage 2 budget'!$K$27)</f>
        <v>0</v>
      </c>
      <c r="J8" s="50">
        <f>'7.1. Stage 1 budget'!J160*(1+'7.2. Stage 2 budget'!$K$27)</f>
        <v>0</v>
      </c>
      <c r="K8" s="50">
        <f>'7.1. Stage 1 budget'!K160*(1+'7.2. Stage 2 budget'!$K$27)</f>
        <v>0</v>
      </c>
      <c r="L8" s="50">
        <f>'7.1. Stage 1 budget'!L160*(1+'7.2. Stage 2 budget'!$K$27)</f>
        <v>0</v>
      </c>
      <c r="M8" s="50">
        <f>'7.1. Stage 1 budget'!M160*(1+'7.2. Stage 2 budget'!$K$27)</f>
        <v>0</v>
      </c>
      <c r="N8" s="50">
        <f>'7.1. Stage 1 budget'!N160*(1+'7.2. Stage 2 budget'!$K$27)</f>
        <v>0</v>
      </c>
      <c r="O8" s="90">
        <f t="shared" ref="O8:O21" si="1">SUM(C8:N8)</f>
        <v>83511.055220736016</v>
      </c>
      <c r="P8" s="43"/>
      <c r="Q8" s="43"/>
      <c r="R8" s="40"/>
      <c r="S8" s="40"/>
      <c r="T8" s="40"/>
      <c r="U8" s="40"/>
      <c r="V8" s="40"/>
      <c r="W8" s="40"/>
      <c r="X8" s="40"/>
      <c r="Y8" s="40"/>
    </row>
    <row r="9" spans="1:25" ht="13.2" x14ac:dyDescent="0.25">
      <c r="A9" s="82"/>
      <c r="B9" s="49" t="s">
        <v>202</v>
      </c>
      <c r="C9" s="50">
        <f>'7.1. Stage 1 budget'!C161*(1+'7.2. Stage 2 budget'!$K$27)</f>
        <v>3163297.5462400001</v>
      </c>
      <c r="D9" s="50">
        <f>'7.1. Stage 1 budget'!D161*(1+'7.2. Stage 2 budget'!$K$27)</f>
        <v>3163297.5462400001</v>
      </c>
      <c r="E9" s="50">
        <f>'7.1. Stage 1 budget'!E161*(1+'7.2. Stage 2 budget'!$K$27)</f>
        <v>3163297.5462400001</v>
      </c>
      <c r="F9" s="50">
        <f>'7.1. Stage 1 budget'!F161*(1+'7.2. Stage 2 budget'!$K$27)</f>
        <v>3163297.5462400001</v>
      </c>
      <c r="G9" s="50">
        <f>'7.1. Stage 1 budget'!G161*(1+'7.2. Stage 2 budget'!$K$27)</f>
        <v>3163297.5462400001</v>
      </c>
      <c r="H9" s="50">
        <f>'7.1. Stage 1 budget'!H161*(1+'7.2. Stage 2 budget'!$K$27)</f>
        <v>3163297.5462400001</v>
      </c>
      <c r="I9" s="50">
        <f>'7.1. Stage 1 budget'!I161*(1+'7.2. Stage 2 budget'!$K$27)</f>
        <v>3163297.5462400001</v>
      </c>
      <c r="J9" s="50">
        <f>'7.1. Stage 1 budget'!J161*(1+'7.2. Stage 2 budget'!$K$27)</f>
        <v>3163297.5462400001</v>
      </c>
      <c r="K9" s="50">
        <f>'7.1. Stage 1 budget'!K161*(1+'7.2. Stage 2 budget'!$K$27)</f>
        <v>3163297.5462400001</v>
      </c>
      <c r="L9" s="50">
        <f>'7.1. Stage 1 budget'!L161*(1+'7.2. Stage 2 budget'!$K$27)</f>
        <v>3163297.5462400001</v>
      </c>
      <c r="M9" s="50">
        <f>'7.1. Stage 1 budget'!M161*(1+'7.2. Stage 2 budget'!$K$27)</f>
        <v>3163297.5462400001</v>
      </c>
      <c r="N9" s="50">
        <f>'7.1. Stage 1 budget'!N161*(1+'7.2. Stage 2 budget'!$K$27)</f>
        <v>3163297.5462400001</v>
      </c>
      <c r="O9" s="90">
        <f t="shared" si="1"/>
        <v>37959570.554880008</v>
      </c>
      <c r="P9" s="43"/>
      <c r="Q9" s="43"/>
      <c r="R9" s="40"/>
      <c r="S9" s="40"/>
      <c r="T9" s="40"/>
      <c r="U9" s="40"/>
      <c r="V9" s="40"/>
      <c r="W9" s="40"/>
      <c r="X9" s="40"/>
      <c r="Y9" s="40"/>
    </row>
    <row r="10" spans="1:25" ht="13.2" x14ac:dyDescent="0.25">
      <c r="A10" s="82"/>
      <c r="B10" s="51" t="s">
        <v>178</v>
      </c>
      <c r="C10" s="50">
        <f>'7.1. Stage 1 budget'!C162*(1+'7.2. Stage 2 budget'!$K$27)</f>
        <v>632659.50924799999</v>
      </c>
      <c r="D10" s="50">
        <f>'7.1. Stage 1 budget'!D162*(1+'7.2. Stage 2 budget'!$K$27)</f>
        <v>632659.50924799999</v>
      </c>
      <c r="E10" s="50">
        <f>'7.1. Stage 1 budget'!E162*(1+'7.2. Stage 2 budget'!$K$27)</f>
        <v>632659.50924799999</v>
      </c>
      <c r="F10" s="50">
        <f>'7.1. Stage 1 budget'!F162*(1+'7.2. Stage 2 budget'!$K$27)</f>
        <v>632659.50924799999</v>
      </c>
      <c r="G10" s="50">
        <f>'7.1. Stage 1 budget'!G162*(1+'7.2. Stage 2 budget'!$K$27)</f>
        <v>632659.50924799999</v>
      </c>
      <c r="H10" s="50">
        <f>'7.1. Stage 1 budget'!H162*(1+'7.2. Stage 2 budget'!$K$27)</f>
        <v>632659.50924799999</v>
      </c>
      <c r="I10" s="50">
        <f>'7.1. Stage 1 budget'!I162*(1+'7.2. Stage 2 budget'!$K$27)</f>
        <v>632659.50924799999</v>
      </c>
      <c r="J10" s="50">
        <f>'7.1. Stage 1 budget'!J162*(1+'7.2. Stage 2 budget'!$K$27)</f>
        <v>632659.50924799999</v>
      </c>
      <c r="K10" s="50">
        <f>'7.1. Stage 1 budget'!K162*(1+'7.2. Stage 2 budget'!$K$27)</f>
        <v>632659.50924799999</v>
      </c>
      <c r="L10" s="50">
        <f>'7.1. Stage 1 budget'!L162*(1+'7.2. Stage 2 budget'!$K$27)</f>
        <v>632659.50924799999</v>
      </c>
      <c r="M10" s="50">
        <f>'7.1. Stage 1 budget'!M162*(1+'7.2. Stage 2 budget'!$K$27)</f>
        <v>632659.50924799999</v>
      </c>
      <c r="N10" s="50">
        <f>'7.1. Stage 1 budget'!N162*(1+'7.2. Stage 2 budget'!$K$27)</f>
        <v>632659.50924799999</v>
      </c>
      <c r="O10" s="90">
        <f t="shared" si="1"/>
        <v>7591914.1109759985</v>
      </c>
      <c r="P10" s="43"/>
      <c r="Q10" s="43"/>
      <c r="R10" s="40"/>
      <c r="S10" s="40"/>
      <c r="T10" s="40"/>
      <c r="U10" s="40"/>
      <c r="V10" s="40"/>
      <c r="W10" s="40"/>
      <c r="X10" s="40"/>
      <c r="Y10" s="40"/>
    </row>
    <row r="11" spans="1:25" ht="13.2" x14ac:dyDescent="0.25">
      <c r="A11" s="84"/>
      <c r="B11" s="51" t="s">
        <v>179</v>
      </c>
      <c r="C11" s="50">
        <f>'7.1. Stage 1 budget'!C163*(1+'7.2. Stage 2 budget'!$K$27)</f>
        <v>75919.141109760007</v>
      </c>
      <c r="D11" s="50">
        <f>'7.1. Stage 1 budget'!D163*(1+'7.2. Stage 2 budget'!$K$27)</f>
        <v>75919.141109760007</v>
      </c>
      <c r="E11" s="50">
        <f>'7.1. Stage 1 budget'!E163*(1+'7.2. Stage 2 budget'!$K$27)</f>
        <v>75919.141109760007</v>
      </c>
      <c r="F11" s="50">
        <f>'7.1. Stage 1 budget'!F163*(1+'7.2. Stage 2 budget'!$K$27)</f>
        <v>75919.141109760007</v>
      </c>
      <c r="G11" s="50">
        <f>'7.1. Stage 1 budget'!G163*(1+'7.2. Stage 2 budget'!$K$27)</f>
        <v>75919.141109760007</v>
      </c>
      <c r="H11" s="50">
        <f>'7.1. Stage 1 budget'!H163*(1+'7.2. Stage 2 budget'!$K$27)</f>
        <v>75919.141109760007</v>
      </c>
      <c r="I11" s="50">
        <f>'7.1. Stage 1 budget'!I163*(1+'7.2. Stage 2 budget'!$K$27)</f>
        <v>75919.141109760007</v>
      </c>
      <c r="J11" s="50">
        <f>'7.1. Stage 1 budget'!J163*(1+'7.2. Stage 2 budget'!$K$27)</f>
        <v>75919.141109760007</v>
      </c>
      <c r="K11" s="50">
        <f>'7.1. Stage 1 budget'!K163*(1+'7.2. Stage 2 budget'!$K$27)</f>
        <v>75919.141109760007</v>
      </c>
      <c r="L11" s="50">
        <f>'7.1. Stage 1 budget'!L163*(1+'7.2. Stage 2 budget'!$K$27)</f>
        <v>75919.141109760007</v>
      </c>
      <c r="M11" s="50">
        <f>'7.1. Stage 1 budget'!M163*(1+'7.2. Stage 2 budget'!$K$27)</f>
        <v>75919.141109760007</v>
      </c>
      <c r="N11" s="50">
        <f>'7.1. Stage 1 budget'!N163*(1+'7.2. Stage 2 budget'!$K$27)</f>
        <v>75919.141109760007</v>
      </c>
      <c r="O11" s="90">
        <f t="shared" si="1"/>
        <v>911029.69331712031</v>
      </c>
      <c r="P11" s="43"/>
      <c r="Q11" s="43"/>
      <c r="R11" s="40"/>
      <c r="S11" s="40"/>
      <c r="T11" s="40"/>
      <c r="U11" s="40"/>
      <c r="V11" s="40"/>
      <c r="W11" s="40"/>
      <c r="X11" s="40"/>
      <c r="Y11" s="40"/>
    </row>
    <row r="12" spans="1:25" ht="13.2" x14ac:dyDescent="0.25">
      <c r="A12" s="82"/>
      <c r="B12" s="46" t="s">
        <v>207</v>
      </c>
      <c r="C12" s="47">
        <f>SUM(C8:C11)</f>
        <v>3955387.2518184963</v>
      </c>
      <c r="D12" s="47">
        <f t="shared" ref="D12:N12" si="2">SUM(D8:D11)</f>
        <v>3871876.1965977601</v>
      </c>
      <c r="E12" s="47">
        <f t="shared" si="2"/>
        <v>3871876.1965977601</v>
      </c>
      <c r="F12" s="47">
        <f t="shared" si="2"/>
        <v>3871876.1965977601</v>
      </c>
      <c r="G12" s="47">
        <f t="shared" si="2"/>
        <v>3871876.1965977601</v>
      </c>
      <c r="H12" s="47">
        <f t="shared" si="2"/>
        <v>3871876.1965977601</v>
      </c>
      <c r="I12" s="47">
        <f t="shared" si="2"/>
        <v>3871876.1965977601</v>
      </c>
      <c r="J12" s="47">
        <f t="shared" si="2"/>
        <v>3871876.1965977601</v>
      </c>
      <c r="K12" s="47">
        <f t="shared" si="2"/>
        <v>3871876.1965977601</v>
      </c>
      <c r="L12" s="47">
        <f t="shared" si="2"/>
        <v>3871876.1965977601</v>
      </c>
      <c r="M12" s="47">
        <f t="shared" si="2"/>
        <v>3871876.1965977601</v>
      </c>
      <c r="N12" s="47">
        <f t="shared" si="2"/>
        <v>3871876.1965977601</v>
      </c>
      <c r="O12" s="47">
        <f t="shared" si="1"/>
        <v>46546025.414393857</v>
      </c>
      <c r="P12" s="43"/>
      <c r="Q12" s="43"/>
      <c r="R12" s="40"/>
      <c r="S12" s="40"/>
      <c r="T12" s="40"/>
      <c r="U12" s="40"/>
      <c r="V12" s="40"/>
      <c r="W12" s="40"/>
      <c r="X12" s="40"/>
      <c r="Y12" s="40"/>
    </row>
    <row r="13" spans="1:25" ht="13.2"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c r="P13" s="43"/>
      <c r="Q13" s="43"/>
      <c r="R13" s="40"/>
      <c r="S13" s="40"/>
      <c r="T13" s="40"/>
      <c r="U13" s="40"/>
      <c r="V13" s="40"/>
      <c r="W13" s="40"/>
      <c r="X13" s="40"/>
      <c r="Y13" s="40"/>
    </row>
    <row r="14" spans="1:25" ht="13.2" x14ac:dyDescent="0.25">
      <c r="A14" s="82"/>
      <c r="B14" s="57" t="s">
        <v>210</v>
      </c>
      <c r="C14" s="56">
        <f>'7.1. Stage 1 budget'!C166*(1+'7.2. Stage 2 budget'!$K$27)</f>
        <v>418820.59512217611</v>
      </c>
      <c r="D14" s="56">
        <f>'7.1. Stage 1 budget'!D166*(1+'7.2. Stage 2 budget'!$K$27)</f>
        <v>504862.28837990406</v>
      </c>
      <c r="E14" s="56">
        <f>'7.1. Stage 1 budget'!E166*(1+'7.2. Stage 2 budget'!$K$27)</f>
        <v>465637.39880652801</v>
      </c>
      <c r="F14" s="56">
        <f>'7.1. Stage 1 budget'!F166*(1+'7.2. Stage 2 budget'!$K$27)</f>
        <v>435269.74236262403</v>
      </c>
      <c r="G14" s="56">
        <f>'7.1. Stage 1 budget'!G166*(1+'7.2. Stage 2 budget'!$K$27)</f>
        <v>399840.80984473613</v>
      </c>
      <c r="H14" s="56">
        <f>'7.1. Stage 1 budget'!H166*(1+'7.2. Stage 2 budget'!$K$27)</f>
        <v>501066.33132441604</v>
      </c>
      <c r="I14" s="56">
        <f>'7.1. Stage 1 budget'!I166*(1+'7.2. Stage 2 budget'!$K$27)</f>
        <v>584577.38654515205</v>
      </c>
      <c r="J14" s="56">
        <f>'7.1. Stage 1 budget'!J166*(1+'7.2. Stage 2 budget'!$K$27)</f>
        <v>560536.32519372797</v>
      </c>
      <c r="K14" s="56">
        <f>'7.1. Stage 1 budget'!K166*(1+'7.2. Stage 2 budget'!$K$27)</f>
        <v>432739.10432563204</v>
      </c>
      <c r="L14" s="56">
        <f>'7.1. Stage 1 budget'!L166*(1+'7.2. Stage 2 budget'!$K$27)</f>
        <v>444126.9754920961</v>
      </c>
      <c r="M14" s="56">
        <f>'7.1. Stage 1 budget'!M166*(1+'7.2. Stage 2 budget'!$K$27)</f>
        <v>422616.55217766413</v>
      </c>
      <c r="N14" s="56">
        <f>'7.1. Stage 1 budget'!N166*(1+'7.2. Stage 2 budget'!$K$27)</f>
        <v>456780.16567705607</v>
      </c>
      <c r="O14" s="92">
        <f t="shared" si="1"/>
        <v>5626873.6752517121</v>
      </c>
      <c r="P14" s="43"/>
      <c r="Q14" s="43"/>
      <c r="R14" s="40"/>
      <c r="S14" s="40"/>
      <c r="T14" s="40"/>
      <c r="U14" s="40"/>
      <c r="V14" s="40"/>
      <c r="W14" s="40"/>
      <c r="X14" s="40"/>
      <c r="Y14" s="40"/>
    </row>
    <row r="15" spans="1:25" ht="13.2" x14ac:dyDescent="0.25">
      <c r="A15" s="82"/>
      <c r="B15" s="57" t="s">
        <v>203</v>
      </c>
      <c r="C15" s="56">
        <f>'7.1. Stage 1 budget'!C167*(1+'7.2. Stage 2 budget'!$K$27)</f>
        <v>1512056.2271027199</v>
      </c>
      <c r="D15" s="56">
        <f>'7.1. Stage 1 budget'!D167*(1+'7.2. Stage 2 budget'!$K$27)</f>
        <v>1628465.5768043525</v>
      </c>
      <c r="E15" s="56">
        <f>'7.1. Stage 1 budget'!E167*(1+'7.2. Stage 2 budget'!$K$27)</f>
        <v>1825855.3436897283</v>
      </c>
      <c r="F15" s="56">
        <f>'7.1. Stage 1 budget'!F167*(1+'7.2. Stage 2 budget'!$K$27)</f>
        <v>1384259.0062346244</v>
      </c>
      <c r="G15" s="56">
        <f>'7.1. Stage 1 budget'!G167*(1+'7.2. Stage 2 budget'!$K$27)</f>
        <v>1842304.4909301763</v>
      </c>
      <c r="H15" s="56">
        <f>'7.1. Stage 1 budget'!H167*(1+'7.2. Stage 2 budget'!$K$27)</f>
        <v>1736017.6933765123</v>
      </c>
      <c r="I15" s="56">
        <f>'7.1. Stage 1 budget'!I167*(1+'7.2. Stage 2 budget'!$K$27)</f>
        <v>1593036.6442864644</v>
      </c>
      <c r="J15" s="56">
        <f>'7.1. Stage 1 budget'!J167*(1+'7.2. Stage 2 budget'!$K$27)</f>
        <v>1894182.5706885122</v>
      </c>
      <c r="K15" s="56">
        <f>'7.1. Stage 1 budget'!K167*(1+'7.2. Stage 2 budget'!$K$27)</f>
        <v>1851161.7240596483</v>
      </c>
      <c r="L15" s="56">
        <f>'7.1. Stage 1 budget'!L167*(1+'7.2. Stage 2 budget'!$K$27)</f>
        <v>1851161.7240596483</v>
      </c>
      <c r="M15" s="56">
        <f>'7.1. Stage 1 budget'!M167*(1+'7.2. Stage 2 budget'!$K$27)</f>
        <v>1438667.7240299524</v>
      </c>
      <c r="N15" s="56">
        <f>'7.1. Stage 1 budget'!N167*(1+'7.2. Stage 2 budget'!$K$27)</f>
        <v>1773977.2639313925</v>
      </c>
      <c r="O15" s="92">
        <f t="shared" si="1"/>
        <v>20331145.989193734</v>
      </c>
      <c r="P15" s="43"/>
      <c r="Q15" s="43"/>
      <c r="R15" s="40"/>
      <c r="S15" s="40"/>
      <c r="T15" s="40"/>
      <c r="U15" s="40"/>
      <c r="V15" s="40"/>
      <c r="W15" s="40"/>
      <c r="X15" s="40"/>
      <c r="Y15" s="40"/>
    </row>
    <row r="16" spans="1:25" ht="13.2" x14ac:dyDescent="0.25">
      <c r="A16" s="82"/>
      <c r="B16" s="58" t="s">
        <v>84</v>
      </c>
      <c r="C16" s="56">
        <f>'7.1. Stage 1 budget'!C168*(1+'7.2. Stage 2 budget'!$K$27)</f>
        <v>1337442.202550272</v>
      </c>
      <c r="D16" s="56">
        <f>'7.1. Stage 1 budget'!D168*(1+'7.2. Stage 2 budget'!$K$27)</f>
        <v>1460178.1473443843</v>
      </c>
      <c r="E16" s="56">
        <f>'7.1. Stage 1 budget'!E168*(1+'7.2. Stage 2 budget'!$K$27)</f>
        <v>1465239.4234183684</v>
      </c>
      <c r="F16" s="56">
        <f>'7.1. Stage 1 budget'!F168*(1+'7.2. Stage 2 budget'!$K$27)</f>
        <v>1513321.5461212161</v>
      </c>
      <c r="G16" s="56">
        <f>'7.1. Stage 1 budget'!G168*(1+'7.2. Stage 2 budget'!$K$27)</f>
        <v>1790426.4111718403</v>
      </c>
      <c r="H16" s="56">
        <f>'7.1. Stage 1 budget'!H168*(1+'7.2. Stage 2 budget'!$K$27)</f>
        <v>1548750.4786391042</v>
      </c>
      <c r="I16" s="56">
        <f>'7.1. Stage 1 budget'!I168*(1+'7.2. Stage 2 budget'!$K$27)</f>
        <v>1608220.4725084163</v>
      </c>
      <c r="J16" s="56">
        <f>'7.1. Stage 1 budget'!J168*(1+'7.2. Stage 2 budget'!$K$27)</f>
        <v>1851161.7240596483</v>
      </c>
      <c r="K16" s="56">
        <f>'7.1. Stage 1 budget'!K168*(1+'7.2. Stage 2 budget'!$K$27)</f>
        <v>1694262.1657661442</v>
      </c>
      <c r="L16" s="56">
        <f>'7.1. Stage 1 budget'!L168*(1+'7.2. Stage 2 budget'!$K$27)</f>
        <v>1691731.5277291525</v>
      </c>
      <c r="M16" s="56">
        <f>'7.1. Stage 1 budget'!M168*(1+'7.2. Stage 2 budget'!$K$27)</f>
        <v>1810671.5154677762</v>
      </c>
      <c r="N16" s="56">
        <f>'7.1. Stage 1 budget'!N168*(1+'7.2. Stage 2 budget'!$K$27)</f>
        <v>1453851.5522519047</v>
      </c>
      <c r="O16" s="92">
        <f t="shared" si="1"/>
        <v>19225257.16702823</v>
      </c>
      <c r="P16" s="43"/>
      <c r="Q16" s="43"/>
      <c r="R16" s="40"/>
      <c r="S16" s="40"/>
      <c r="T16" s="40"/>
      <c r="U16" s="40"/>
      <c r="V16" s="40"/>
      <c r="W16" s="40"/>
      <c r="X16" s="40"/>
      <c r="Y16" s="40"/>
    </row>
    <row r="17" spans="1:25" ht="13.2" x14ac:dyDescent="0.25">
      <c r="A17" s="82"/>
      <c r="B17" s="57" t="s">
        <v>85</v>
      </c>
      <c r="C17" s="56">
        <f>'7.1. Stage 1 budget'!C169*(1+'7.2. Stage 2 budget'!$K$27)</f>
        <v>1553811.7547130883</v>
      </c>
      <c r="D17" s="56">
        <f>'7.1. Stage 1 budget'!D169*(1+'7.2. Stage 2 budget'!$K$27)</f>
        <v>1329850.2884392964</v>
      </c>
      <c r="E17" s="56">
        <f>'7.1. Stage 1 budget'!E169*(1+'7.2. Stage 2 budget'!$K$27)</f>
        <v>1376667.0921236482</v>
      </c>
      <c r="F17" s="56">
        <f>'7.1. Stage 1 budget'!F169*(1+'7.2. Stage 2 budget'!$K$27)</f>
        <v>1398177.5154380801</v>
      </c>
      <c r="G17" s="56">
        <f>'7.1. Stage 1 budget'!G169*(1+'7.2. Stage 2 budget'!$K$27)</f>
        <v>1880264.0614850563</v>
      </c>
      <c r="H17" s="56">
        <f>'7.1. Stage 1 budget'!H169*(1+'7.2. Stage 2 budget'!$K$27)</f>
        <v>1380463.0491791363</v>
      </c>
      <c r="I17" s="56">
        <f>'7.1. Stage 1 budget'!I169*(1+'7.2. Stage 2 budget'!$K$27)</f>
        <v>1601893.8774159364</v>
      </c>
      <c r="J17" s="56">
        <f>'7.1. Stage 1 budget'!J169*(1+'7.2. Stage 2 budget'!$K$27)</f>
        <v>1267849.6565329921</v>
      </c>
      <c r="K17" s="56">
        <f>'7.1. Stage 1 budget'!K169*(1+'7.2. Stage 2 budget'!$K$27)</f>
        <v>1648710.6811002884</v>
      </c>
      <c r="L17" s="56">
        <f>'7.1. Stage 1 budget'!L169*(1+'7.2. Stage 2 budget'!$K$27)</f>
        <v>1309605.18414336</v>
      </c>
      <c r="M17" s="56">
        <f>'7.1. Stage 1 budget'!M169*(1+'7.2. Stage 2 budget'!$K$27)</f>
        <v>1667690.4663777282</v>
      </c>
      <c r="N17" s="56">
        <f>'7.1. Stage 1 budget'!N169*(1+'7.2. Stage 2 budget'!$K$27)</f>
        <v>1587975.3682124803</v>
      </c>
      <c r="O17" s="92">
        <f t="shared" si="1"/>
        <v>18002958.99516109</v>
      </c>
      <c r="P17" s="43"/>
      <c r="Q17" s="43"/>
      <c r="R17" s="40"/>
      <c r="S17" s="40"/>
      <c r="T17" s="40"/>
      <c r="U17" s="40"/>
      <c r="V17" s="40"/>
      <c r="W17" s="40"/>
      <c r="X17" s="40"/>
      <c r="Y17" s="40"/>
    </row>
    <row r="18" spans="1:25" ht="13.2" x14ac:dyDescent="0.25">
      <c r="A18" s="84"/>
      <c r="B18" s="58" t="s">
        <v>180</v>
      </c>
      <c r="C18" s="56">
        <f>'7.1. Stage 1 budget'!C170*(1+'7.2. Stage 2 budget'!$K$27)</f>
        <v>1837243.214856192</v>
      </c>
      <c r="D18" s="56">
        <f>'7.1. Stage 1 budget'!D170*(1+'7.2. Stage 2 budget'!$K$27)</f>
        <v>1813202.1535047684</v>
      </c>
      <c r="E18" s="56">
        <f>'7.1. Stage 1 budget'!E170*(1+'7.2. Stage 2 budget'!$K$27)</f>
        <v>1506994.9510287363</v>
      </c>
      <c r="F18" s="56">
        <f>'7.1. Stage 1 budget'!F170*(1+'7.2. Stage 2 budget'!$K$27)</f>
        <v>1663894.5093222405</v>
      </c>
      <c r="G18" s="56">
        <f>'7.1. Stage 1 budget'!G170*(1+'7.2. Stage 2 budget'!$K$27)</f>
        <v>1312135.8221803522</v>
      </c>
      <c r="H18" s="56">
        <f>'7.1. Stage 1 budget'!H170*(1+'7.2. Stage 2 budget'!$K$27)</f>
        <v>1458912.8283258881</v>
      </c>
      <c r="I18" s="56">
        <f>'7.1. Stage 1 budget'!I170*(1+'7.2. Stage 2 budget'!$K$27)</f>
        <v>1509525.5890657285</v>
      </c>
      <c r="J18" s="56">
        <f>'7.1. Stage 1 budget'!J170*(1+'7.2. Stage 2 budget'!$K$27)</f>
        <v>1789161.0921533443</v>
      </c>
      <c r="K18" s="56">
        <f>'7.1. Stage 1 budget'!K170*(1+'7.2. Stage 2 budget'!$K$27)</f>
        <v>1400708.1534750722</v>
      </c>
      <c r="L18" s="56">
        <f>'7.1. Stage 1 budget'!L170*(1+'7.2. Stage 2 budget'!$K$27)</f>
        <v>1499403.03691776</v>
      </c>
      <c r="M18" s="56">
        <f>'7.1. Stage 1 budget'!M170*(1+'7.2. Stage 2 budget'!$K$27)</f>
        <v>1501933.6749547522</v>
      </c>
      <c r="N18" s="56">
        <f>'7.1. Stage 1 budget'!N170*(1+'7.2. Stage 2 budget'!$K$27)</f>
        <v>1463974.1043998722</v>
      </c>
      <c r="O18" s="92">
        <f t="shared" si="1"/>
        <v>18757089.130184706</v>
      </c>
      <c r="P18" s="43"/>
      <c r="Q18" s="43"/>
      <c r="R18" s="40"/>
      <c r="S18" s="40"/>
      <c r="T18" s="40"/>
      <c r="U18" s="40"/>
      <c r="V18" s="40"/>
      <c r="W18" s="40"/>
      <c r="X18" s="40"/>
      <c r="Y18" s="40"/>
    </row>
    <row r="19" spans="1:25" ht="13.2" x14ac:dyDescent="0.25">
      <c r="A19" s="84"/>
      <c r="B19" s="58" t="s">
        <v>86</v>
      </c>
      <c r="C19" s="56">
        <f>'7.1. Stage 1 budget'!C171*(1+'7.2. Stage 2 budget'!$K$27)</f>
        <v>1337442.202550272</v>
      </c>
      <c r="D19" s="56">
        <f>'7.1. Stage 1 budget'!D171*(1+'7.2. Stage 2 budget'!$K$27)</f>
        <v>1322258.3743283204</v>
      </c>
      <c r="E19" s="56">
        <f>'7.1. Stage 1 budget'!E171*(1+'7.2. Stage 2 budget'!$K$27)</f>
        <v>1283033.4847549445</v>
      </c>
      <c r="F19" s="56">
        <f>'7.1. Stage 1 budget'!F171*(1+'7.2. Stage 2 budget'!$K$27)</f>
        <v>1674017.0614702082</v>
      </c>
      <c r="G19" s="56">
        <f>'7.1. Stage 1 budget'!G171*(1+'7.2. Stage 2 budget'!$K$27)</f>
        <v>1557607.7117685762</v>
      </c>
      <c r="H19" s="56">
        <f>'7.1. Stage 1 budget'!H171*(1+'7.2. Stage 2 budget'!$K$27)</f>
        <v>1296951.9939584003</v>
      </c>
      <c r="I19" s="56">
        <f>'7.1. Stage 1 budget'!I171*(1+'7.2. Stage 2 budget'!$K$27)</f>
        <v>1758793.4357094404</v>
      </c>
      <c r="J19" s="56">
        <f>'7.1. Stage 1 budget'!J171*(1+'7.2. Stage 2 budget'!$K$27)</f>
        <v>1687935.5706736643</v>
      </c>
      <c r="K19" s="56">
        <f>'7.1. Stage 1 budget'!K171*(1+'7.2. Stage 2 budget'!$K$27)</f>
        <v>1358952.6258647044</v>
      </c>
      <c r="L19" s="56">
        <f>'7.1. Stage 1 budget'!L171*(1+'7.2. Stage 2 budget'!$K$27)</f>
        <v>1405769.4295490563</v>
      </c>
      <c r="M19" s="56">
        <f>'7.1. Stage 1 budget'!M171*(1+'7.2. Stage 2 budget'!$K$27)</f>
        <v>1709445.9939880962</v>
      </c>
      <c r="N19" s="56">
        <f>'7.1. Stage 1 budget'!N171*(1+'7.2. Stage 2 budget'!$K$27)</f>
        <v>1799283.6443013123</v>
      </c>
      <c r="O19" s="92">
        <f t="shared" si="1"/>
        <v>18191491.528917</v>
      </c>
      <c r="P19" s="43"/>
      <c r="Q19" s="43"/>
      <c r="R19" s="40"/>
      <c r="S19" s="40"/>
      <c r="T19" s="40"/>
      <c r="U19" s="40"/>
      <c r="V19" s="40"/>
      <c r="W19" s="40"/>
      <c r="X19" s="40"/>
      <c r="Y19" s="40"/>
    </row>
    <row r="20" spans="1:25" ht="13.2" x14ac:dyDescent="0.25">
      <c r="A20" s="82"/>
      <c r="B20" s="46" t="s">
        <v>208</v>
      </c>
      <c r="C20" s="47">
        <f t="shared" ref="C20:N20" si="3">SUM(C14:C19)</f>
        <v>7996816.1968947202</v>
      </c>
      <c r="D20" s="47">
        <f t="shared" si="3"/>
        <v>8058816.8288010266</v>
      </c>
      <c r="E20" s="47">
        <f t="shared" si="3"/>
        <v>7923427.6938219536</v>
      </c>
      <c r="F20" s="47">
        <f t="shared" si="3"/>
        <v>8068939.3809489943</v>
      </c>
      <c r="G20" s="47">
        <f t="shared" si="3"/>
        <v>8782579.3073807377</v>
      </c>
      <c r="H20" s="47">
        <f t="shared" si="3"/>
        <v>7922162.3748034574</v>
      </c>
      <c r="I20" s="47">
        <f t="shared" si="3"/>
        <v>8656047.4055311382</v>
      </c>
      <c r="J20" s="47">
        <f t="shared" si="3"/>
        <v>9050826.9393018894</v>
      </c>
      <c r="K20" s="47">
        <f t="shared" si="3"/>
        <v>8386534.4545914894</v>
      </c>
      <c r="L20" s="47">
        <f t="shared" si="3"/>
        <v>8201797.877891073</v>
      </c>
      <c r="M20" s="47">
        <f t="shared" si="3"/>
        <v>8551025.9269959684</v>
      </c>
      <c r="N20" s="47">
        <f t="shared" si="3"/>
        <v>8535842.0987740178</v>
      </c>
      <c r="O20" s="47">
        <f t="shared" si="1"/>
        <v>100134816.48573646</v>
      </c>
      <c r="P20" s="43"/>
      <c r="Q20" s="43"/>
      <c r="R20" s="40"/>
      <c r="S20" s="40"/>
      <c r="T20" s="40"/>
      <c r="U20" s="40"/>
      <c r="V20" s="40"/>
      <c r="W20" s="40"/>
      <c r="X20" s="40"/>
      <c r="Y20" s="40"/>
    </row>
    <row r="21" spans="1:25" ht="13.2" x14ac:dyDescent="0.25">
      <c r="A21" s="82"/>
      <c r="B21" s="60" t="s">
        <v>87</v>
      </c>
      <c r="C21" s="47">
        <f t="shared" ref="C21:N21" si="4">C12+C20</f>
        <v>11952203.448713217</v>
      </c>
      <c r="D21" s="47">
        <f t="shared" si="4"/>
        <v>11930693.025398787</v>
      </c>
      <c r="E21" s="47">
        <f t="shared" si="4"/>
        <v>11795303.890419714</v>
      </c>
      <c r="F21" s="47">
        <f t="shared" si="4"/>
        <v>11940815.577546755</v>
      </c>
      <c r="G21" s="47">
        <f t="shared" si="4"/>
        <v>12654455.503978498</v>
      </c>
      <c r="H21" s="47">
        <f t="shared" si="4"/>
        <v>11794038.571401218</v>
      </c>
      <c r="I21" s="47">
        <f t="shared" si="4"/>
        <v>12527923.602128899</v>
      </c>
      <c r="J21" s="47">
        <f t="shared" si="4"/>
        <v>12922703.13589965</v>
      </c>
      <c r="K21" s="47">
        <f t="shared" si="4"/>
        <v>12258410.651189249</v>
      </c>
      <c r="L21" s="47">
        <f t="shared" si="4"/>
        <v>12073674.074488834</v>
      </c>
      <c r="M21" s="47">
        <f t="shared" si="4"/>
        <v>12422902.123593729</v>
      </c>
      <c r="N21" s="47">
        <f t="shared" si="4"/>
        <v>12407718.295371778</v>
      </c>
      <c r="O21" s="47">
        <f t="shared" si="1"/>
        <v>146680841.9001303</v>
      </c>
      <c r="P21" s="43"/>
      <c r="Q21" s="43"/>
      <c r="R21" s="40"/>
      <c r="S21" s="40"/>
      <c r="T21" s="40"/>
      <c r="U21" s="40"/>
      <c r="V21" s="40"/>
      <c r="W21" s="40"/>
      <c r="X21" s="40"/>
      <c r="Y21" s="40"/>
    </row>
    <row r="22" spans="1:25" ht="13.2" x14ac:dyDescent="0.25">
      <c r="A22" s="84"/>
      <c r="B22" s="108" t="s">
        <v>238</v>
      </c>
      <c r="C22" s="119">
        <f>'5. Down payment savings'!$F$2</f>
        <v>22867024.153494995</v>
      </c>
      <c r="D22" s="119">
        <f>'5. Down payment savings'!$F$2</f>
        <v>22867024.153494995</v>
      </c>
      <c r="E22" s="119">
        <f>'5. Down payment savings'!$F$2</f>
        <v>22867024.153494995</v>
      </c>
      <c r="F22" s="119">
        <f>'5. Down payment savings'!$F$2</f>
        <v>22867024.153494995</v>
      </c>
      <c r="G22" s="119">
        <f>'5. Down payment savings'!$F$2</f>
        <v>22867024.153494995</v>
      </c>
      <c r="H22" s="119">
        <f>'5. Down payment savings'!$F$2</f>
        <v>22867024.153494995</v>
      </c>
      <c r="I22" s="119">
        <f>'5. Down payment savings'!$F$2</f>
        <v>22867024.153494995</v>
      </c>
      <c r="J22" s="119">
        <f>'5. Down payment savings'!$F$2</f>
        <v>22867024.153494995</v>
      </c>
      <c r="K22" s="119">
        <f>'5. Down payment savings'!$F$2</f>
        <v>22867024.153494995</v>
      </c>
      <c r="L22" s="119">
        <f>'5. Down payment savings'!$F$2</f>
        <v>22867024.153494995</v>
      </c>
      <c r="M22" s="119">
        <f>'5. Down payment savings'!$F$2</f>
        <v>22867024.153494995</v>
      </c>
      <c r="N22" s="119">
        <f>'5. Down payment savings'!$F$2</f>
        <v>22867024.153494995</v>
      </c>
      <c r="O22" s="109">
        <f t="shared" ref="O22" si="5">SUM(C22:N22)</f>
        <v>274404289.84193987</v>
      </c>
      <c r="P22" s="40"/>
      <c r="Q22" s="40"/>
      <c r="R22" s="40"/>
      <c r="S22" s="40"/>
      <c r="T22" s="40"/>
      <c r="U22" s="40"/>
      <c r="V22" s="40"/>
      <c r="W22" s="40"/>
      <c r="X22" s="40"/>
      <c r="Y22" s="40"/>
    </row>
    <row r="23" spans="1:25" ht="13.2" x14ac:dyDescent="0.25">
      <c r="A23" s="82"/>
      <c r="B23" s="108" t="s">
        <v>204</v>
      </c>
      <c r="C23" s="109">
        <f>$O21*(3/12)/12</f>
        <v>3055850.8729193811</v>
      </c>
      <c r="D23" s="109">
        <f t="shared" ref="D23:N23" si="6">$O21*(3/12)/12</f>
        <v>3055850.8729193811</v>
      </c>
      <c r="E23" s="109">
        <f t="shared" si="6"/>
        <v>3055850.8729193811</v>
      </c>
      <c r="F23" s="109">
        <f t="shared" si="6"/>
        <v>3055850.8729193811</v>
      </c>
      <c r="G23" s="109">
        <f t="shared" si="6"/>
        <v>3055850.8729193811</v>
      </c>
      <c r="H23" s="109">
        <f t="shared" si="6"/>
        <v>3055850.8729193811</v>
      </c>
      <c r="I23" s="109">
        <f t="shared" si="6"/>
        <v>3055850.8729193811</v>
      </c>
      <c r="J23" s="109">
        <f t="shared" si="6"/>
        <v>3055850.8729193811</v>
      </c>
      <c r="K23" s="109">
        <f t="shared" si="6"/>
        <v>3055850.8729193811</v>
      </c>
      <c r="L23" s="109">
        <f t="shared" si="6"/>
        <v>3055850.8729193811</v>
      </c>
      <c r="M23" s="109">
        <f t="shared" si="6"/>
        <v>3055850.8729193811</v>
      </c>
      <c r="N23" s="109">
        <f t="shared" si="6"/>
        <v>3055850.8729193811</v>
      </c>
      <c r="O23" s="109">
        <f t="shared" ref="O23:O24" si="7">SUM(C23:N23)</f>
        <v>36670210.475032575</v>
      </c>
      <c r="P23" s="43"/>
      <c r="Q23" s="43"/>
      <c r="R23" s="40"/>
      <c r="S23" s="40"/>
      <c r="T23" s="40"/>
      <c r="U23" s="40"/>
      <c r="V23" s="40"/>
      <c r="W23" s="40"/>
      <c r="X23" s="40"/>
      <c r="Y23" s="40"/>
    </row>
    <row r="24" spans="1:25" ht="13.2" x14ac:dyDescent="0.25">
      <c r="A24" s="82"/>
      <c r="B24" s="60" t="s">
        <v>206</v>
      </c>
      <c r="C24" s="61">
        <f t="shared" ref="C24:N24" si="8">C5-C21-C23-C22</f>
        <v>9962749.4660488851</v>
      </c>
      <c r="D24" s="61">
        <f t="shared" si="8"/>
        <v>9984259.8893633075</v>
      </c>
      <c r="E24" s="61">
        <f t="shared" si="8"/>
        <v>10119649.024342384</v>
      </c>
      <c r="F24" s="61">
        <f t="shared" si="8"/>
        <v>9974137.3372153454</v>
      </c>
      <c r="G24" s="61">
        <f t="shared" si="8"/>
        <v>9260497.4107836001</v>
      </c>
      <c r="H24" s="61">
        <f t="shared" si="8"/>
        <v>10120914.343360882</v>
      </c>
      <c r="I24" s="61">
        <f t="shared" si="8"/>
        <v>9387029.3126331978</v>
      </c>
      <c r="J24" s="61">
        <f t="shared" si="8"/>
        <v>8992249.7788624503</v>
      </c>
      <c r="K24" s="61">
        <f t="shared" si="8"/>
        <v>9656542.2635728456</v>
      </c>
      <c r="L24" s="61">
        <f t="shared" si="8"/>
        <v>9841278.8402732648</v>
      </c>
      <c r="M24" s="61">
        <f t="shared" si="8"/>
        <v>9492050.7911683656</v>
      </c>
      <c r="N24" s="61">
        <f t="shared" si="8"/>
        <v>9507234.61939032</v>
      </c>
      <c r="O24" s="47">
        <f t="shared" si="7"/>
        <v>116298593.07701485</v>
      </c>
      <c r="P24" s="43"/>
      <c r="Q24" s="43"/>
      <c r="R24" s="40"/>
      <c r="S24" s="40"/>
      <c r="T24" s="40"/>
      <c r="U24" s="40"/>
      <c r="V24" s="40"/>
      <c r="W24" s="40"/>
      <c r="X24" s="40"/>
      <c r="Y24" s="40"/>
    </row>
    <row r="25" spans="1:25" ht="13.2" x14ac:dyDescent="0.25">
      <c r="A25" s="85"/>
      <c r="B25" s="40"/>
      <c r="C25" s="40"/>
      <c r="D25" s="40"/>
      <c r="E25" s="40"/>
      <c r="F25" s="40"/>
      <c r="G25" s="40"/>
      <c r="H25" s="40"/>
      <c r="I25" s="40"/>
      <c r="J25" s="40"/>
      <c r="K25" s="40"/>
      <c r="L25" s="353" t="s">
        <v>217</v>
      </c>
      <c r="M25" s="354"/>
      <c r="N25" s="350">
        <f>SUM(C24:N24)+'7.1. Stage 1 budget'!N177</f>
        <v>428008476.52506417</v>
      </c>
      <c r="O25" s="40"/>
      <c r="P25" s="40"/>
      <c r="Q25" s="40"/>
      <c r="R25" s="40"/>
      <c r="S25" s="40"/>
      <c r="T25" s="40"/>
      <c r="U25" s="40"/>
      <c r="V25" s="40"/>
      <c r="W25" s="40"/>
      <c r="X25" s="40"/>
      <c r="Y25" s="40"/>
    </row>
    <row r="26" spans="1:25" ht="13.2" x14ac:dyDescent="0.25">
      <c r="A26" s="85"/>
      <c r="B26" s="40"/>
      <c r="C26" s="40"/>
      <c r="D26" s="40"/>
      <c r="E26" s="40"/>
      <c r="F26" s="40"/>
      <c r="G26" s="40"/>
      <c r="H26" s="40"/>
      <c r="I26" s="40"/>
      <c r="J26" s="40"/>
      <c r="K26" s="40"/>
      <c r="L26" s="320"/>
      <c r="M26" s="355"/>
      <c r="N26" s="351"/>
      <c r="O26" s="40"/>
      <c r="P26" s="40"/>
      <c r="Q26" s="40"/>
      <c r="R26" s="40"/>
      <c r="S26" s="40"/>
      <c r="T26" s="40"/>
      <c r="U26" s="40"/>
      <c r="V26" s="40"/>
      <c r="W26" s="40"/>
      <c r="X26" s="40"/>
      <c r="Y26" s="40"/>
    </row>
    <row r="27" spans="1:25" ht="13.2" x14ac:dyDescent="0.25">
      <c r="A27" s="85"/>
      <c r="B27" s="319" t="s">
        <v>632</v>
      </c>
      <c r="C27" s="352" t="s">
        <v>173</v>
      </c>
      <c r="D27" s="352"/>
      <c r="E27" s="352"/>
      <c r="F27" s="352"/>
      <c r="G27" s="352"/>
      <c r="H27" s="352"/>
      <c r="I27" s="40"/>
      <c r="J27" s="358" t="s">
        <v>231</v>
      </c>
      <c r="K27" s="359">
        <v>0.04</v>
      </c>
      <c r="L27" s="40"/>
      <c r="M27" s="40"/>
      <c r="N27" s="40"/>
      <c r="O27" s="40"/>
      <c r="P27" s="40"/>
      <c r="Q27" s="40"/>
      <c r="R27" s="40"/>
      <c r="S27" s="40"/>
      <c r="T27" s="40"/>
      <c r="U27" s="40"/>
      <c r="V27" s="40"/>
      <c r="W27" s="40"/>
      <c r="X27" s="40"/>
      <c r="Y27" s="40"/>
    </row>
    <row r="28" spans="1:25" ht="13.2" x14ac:dyDescent="0.25">
      <c r="A28" s="85"/>
      <c r="B28" s="319"/>
      <c r="C28" s="352"/>
      <c r="D28" s="352"/>
      <c r="E28" s="352"/>
      <c r="F28" s="352"/>
      <c r="G28" s="352"/>
      <c r="H28" s="352"/>
      <c r="I28" s="40"/>
      <c r="J28" s="358"/>
      <c r="K28" s="360"/>
      <c r="L28" s="40"/>
      <c r="M28" s="40"/>
      <c r="N28" s="40"/>
      <c r="O28" s="40"/>
      <c r="P28" s="40"/>
      <c r="Q28" s="40"/>
      <c r="R28" s="40"/>
      <c r="S28" s="40"/>
      <c r="T28" s="40"/>
      <c r="U28" s="40"/>
      <c r="V28" s="40"/>
      <c r="W28" s="40"/>
      <c r="X28" s="40"/>
      <c r="Y28" s="40"/>
    </row>
    <row r="29" spans="1:25" ht="13.2" x14ac:dyDescent="0.25">
      <c r="A29" s="85"/>
      <c r="B29" s="319"/>
      <c r="C29" s="352"/>
      <c r="D29" s="352"/>
      <c r="E29" s="352"/>
      <c r="F29" s="352"/>
      <c r="G29" s="352"/>
      <c r="H29" s="352"/>
      <c r="I29" s="40"/>
      <c r="J29" s="40"/>
      <c r="K29" s="40"/>
      <c r="L29" s="40"/>
      <c r="M29" s="40"/>
      <c r="N29" s="40"/>
      <c r="O29" s="40"/>
      <c r="P29" s="40"/>
      <c r="Q29" s="40"/>
      <c r="R29" s="40"/>
      <c r="S29" s="40"/>
      <c r="T29" s="40"/>
      <c r="U29" s="40"/>
      <c r="V29" s="40"/>
      <c r="W29" s="40"/>
      <c r="X29" s="40"/>
      <c r="Y29" s="40"/>
    </row>
    <row r="30" spans="1:25" ht="13.2" x14ac:dyDescent="0.25">
      <c r="A30" s="85"/>
      <c r="C30" s="40"/>
      <c r="D30" s="40"/>
      <c r="E30" s="40"/>
      <c r="F30" s="40"/>
      <c r="G30" s="40"/>
      <c r="H30" s="40"/>
      <c r="I30" s="40"/>
      <c r="J30" s="40"/>
      <c r="K30" s="40"/>
      <c r="L30" s="40"/>
      <c r="M30" s="40"/>
      <c r="N30" s="40"/>
      <c r="O30" s="40"/>
      <c r="P30" s="40"/>
      <c r="Q30" s="40"/>
      <c r="R30" s="40"/>
      <c r="S30" s="40"/>
      <c r="T30" s="40"/>
      <c r="U30" s="40"/>
      <c r="V30" s="40"/>
      <c r="W30" s="40"/>
      <c r="X30" s="40"/>
      <c r="Y30" s="40"/>
    </row>
    <row r="31" spans="1:25" ht="13.2" x14ac:dyDescent="0.25">
      <c r="A31" s="85"/>
      <c r="B31" s="40"/>
      <c r="C31" s="40"/>
      <c r="D31" s="40"/>
      <c r="E31" s="40"/>
      <c r="F31" s="40"/>
      <c r="G31" s="40"/>
      <c r="H31" s="40"/>
      <c r="I31" s="40"/>
      <c r="J31" s="40"/>
      <c r="K31" s="40"/>
      <c r="L31" s="40"/>
      <c r="M31" s="40"/>
      <c r="N31" s="40"/>
      <c r="O31" s="40"/>
      <c r="P31" s="40"/>
      <c r="Q31" s="40"/>
      <c r="R31" s="40"/>
      <c r="S31" s="40"/>
      <c r="T31" s="40"/>
      <c r="U31" s="40"/>
      <c r="V31" s="40"/>
      <c r="W31" s="40"/>
      <c r="X31" s="40"/>
      <c r="Y31" s="40"/>
    </row>
    <row r="32" spans="1:25" ht="24.6" x14ac:dyDescent="0.25">
      <c r="A32" s="80"/>
      <c r="B32" s="348" t="s">
        <v>241</v>
      </c>
      <c r="C32" s="348"/>
      <c r="D32" s="348"/>
      <c r="E32" s="348"/>
      <c r="F32" s="348"/>
      <c r="G32" s="348"/>
      <c r="H32" s="348"/>
      <c r="I32" s="348"/>
      <c r="J32" s="348"/>
      <c r="K32" s="348"/>
      <c r="L32" s="348"/>
      <c r="M32" s="348"/>
      <c r="N32" s="348"/>
      <c r="O32" s="348"/>
      <c r="P32" s="40"/>
      <c r="Q32" s="40"/>
      <c r="R32" s="40"/>
      <c r="S32" s="40"/>
      <c r="T32" s="40"/>
      <c r="U32" s="40"/>
      <c r="V32" s="40"/>
      <c r="W32" s="40"/>
      <c r="X32" s="40"/>
      <c r="Y32" s="40"/>
    </row>
    <row r="33" spans="1:25" ht="24.6" x14ac:dyDescent="0.25">
      <c r="A33" s="81"/>
      <c r="B33" s="349"/>
      <c r="C33" s="349"/>
      <c r="D33" s="349"/>
      <c r="E33" s="349"/>
      <c r="F33" s="349"/>
      <c r="G33" s="349"/>
      <c r="H33" s="349"/>
      <c r="I33" s="349"/>
      <c r="J33" s="349"/>
      <c r="K33" s="349"/>
      <c r="L33" s="349"/>
      <c r="M33" s="349"/>
      <c r="N33" s="349"/>
      <c r="O33" s="349"/>
      <c r="P33" s="40"/>
      <c r="Q33" s="40"/>
      <c r="R33" s="40"/>
      <c r="S33" s="40"/>
      <c r="T33" s="40"/>
      <c r="U33" s="40"/>
      <c r="V33" s="40"/>
      <c r="W33" s="40"/>
      <c r="X33" s="40"/>
      <c r="Y33" s="40"/>
    </row>
    <row r="34" spans="1:25" ht="13.2" x14ac:dyDescent="0.25">
      <c r="A34" s="82"/>
      <c r="B34" s="41"/>
      <c r="C34" s="42" t="s">
        <v>66</v>
      </c>
      <c r="D34" s="42" t="s">
        <v>67</v>
      </c>
      <c r="E34" s="42" t="s">
        <v>68</v>
      </c>
      <c r="F34" s="42" t="s">
        <v>69</v>
      </c>
      <c r="G34" s="42" t="s">
        <v>70</v>
      </c>
      <c r="H34" s="42" t="s">
        <v>71</v>
      </c>
      <c r="I34" s="42" t="s">
        <v>72</v>
      </c>
      <c r="J34" s="42" t="s">
        <v>73</v>
      </c>
      <c r="K34" s="42" t="s">
        <v>74</v>
      </c>
      <c r="L34" s="42" t="s">
        <v>75</v>
      </c>
      <c r="M34" s="42" t="s">
        <v>76</v>
      </c>
      <c r="N34" s="42" t="s">
        <v>77</v>
      </c>
      <c r="O34" s="42" t="s">
        <v>236</v>
      </c>
      <c r="P34" s="40"/>
      <c r="Q34" s="40"/>
      <c r="R34" s="40"/>
      <c r="S34" s="40"/>
      <c r="T34" s="40"/>
      <c r="U34" s="40"/>
      <c r="V34" s="40"/>
      <c r="W34" s="40"/>
      <c r="X34" s="40"/>
      <c r="Y34" s="40"/>
    </row>
    <row r="35" spans="1:25" ht="13.2" x14ac:dyDescent="0.25">
      <c r="A35" s="82"/>
      <c r="B35" s="44" t="s">
        <v>194</v>
      </c>
      <c r="C35" s="45">
        <f>'3.1. My Income Tax Calculation'!$P$9/12</f>
        <v>59270000</v>
      </c>
      <c r="D35" s="45">
        <f>'3.1. My Income Tax Calculation'!$P$9/12</f>
        <v>59270000</v>
      </c>
      <c r="E35" s="45">
        <f>'3.1. My Income Tax Calculation'!$P$9/12</f>
        <v>59270000</v>
      </c>
      <c r="F35" s="45">
        <f>'3.1. My Income Tax Calculation'!$P$9/12</f>
        <v>59270000</v>
      </c>
      <c r="G35" s="45">
        <f>'3.1. My Income Tax Calculation'!$P$9/12</f>
        <v>59270000</v>
      </c>
      <c r="H35" s="45">
        <f>'3.1. My Income Tax Calculation'!$P$9/12</f>
        <v>59270000</v>
      </c>
      <c r="I35" s="45">
        <f>'3.1. My Income Tax Calculation'!$P$9/12</f>
        <v>59270000</v>
      </c>
      <c r="J35" s="45">
        <f>'3.1. My Income Tax Calculation'!$P$9/12</f>
        <v>59270000</v>
      </c>
      <c r="K35" s="45">
        <f>'3.1. My Income Tax Calculation'!$P$9/12</f>
        <v>59270000</v>
      </c>
      <c r="L35" s="45">
        <f>'3.1. My Income Tax Calculation'!$P$9/12</f>
        <v>59270000</v>
      </c>
      <c r="M35" s="45">
        <f>'3.1. My Income Tax Calculation'!$P$9/12</f>
        <v>59270000</v>
      </c>
      <c r="N35" s="45">
        <f>'3.1. My Income Tax Calculation'!$P$9/12</f>
        <v>59270000</v>
      </c>
      <c r="O35" s="45" t="s">
        <v>173</v>
      </c>
      <c r="P35" s="40"/>
      <c r="Q35" s="40"/>
      <c r="R35" s="40"/>
      <c r="S35" s="40"/>
      <c r="T35" s="40"/>
      <c r="U35" s="40"/>
      <c r="V35" s="40"/>
      <c r="W35" s="40"/>
      <c r="X35" s="40"/>
      <c r="Y35" s="40"/>
    </row>
    <row r="36" spans="1:25" ht="13.2" x14ac:dyDescent="0.25">
      <c r="A36" s="82"/>
      <c r="B36" s="46" t="s">
        <v>209</v>
      </c>
      <c r="C36" s="47">
        <f>C35</f>
        <v>59270000</v>
      </c>
      <c r="D36" s="47">
        <f t="shared" ref="D36:N36" si="9">D35</f>
        <v>59270000</v>
      </c>
      <c r="E36" s="47">
        <f t="shared" si="9"/>
        <v>59270000</v>
      </c>
      <c r="F36" s="47">
        <f t="shared" si="9"/>
        <v>59270000</v>
      </c>
      <c r="G36" s="47">
        <f t="shared" si="9"/>
        <v>59270000</v>
      </c>
      <c r="H36" s="47">
        <f t="shared" si="9"/>
        <v>59270000</v>
      </c>
      <c r="I36" s="47">
        <f t="shared" si="9"/>
        <v>59270000</v>
      </c>
      <c r="J36" s="47">
        <f t="shared" si="9"/>
        <v>59270000</v>
      </c>
      <c r="K36" s="47">
        <f t="shared" si="9"/>
        <v>59270000</v>
      </c>
      <c r="L36" s="47">
        <f t="shared" si="9"/>
        <v>59270000</v>
      </c>
      <c r="M36" s="47">
        <f t="shared" si="9"/>
        <v>59270000</v>
      </c>
      <c r="N36" s="47">
        <f t="shared" si="9"/>
        <v>59270000</v>
      </c>
      <c r="O36" s="47">
        <f>SUM(C36:N36)</f>
        <v>711240000</v>
      </c>
      <c r="P36" s="40"/>
      <c r="Q36" s="40"/>
      <c r="R36" s="40"/>
      <c r="S36" s="40"/>
      <c r="T36" s="40"/>
      <c r="U36" s="40"/>
      <c r="V36" s="40"/>
      <c r="W36" s="40"/>
      <c r="X36" s="40"/>
      <c r="Y36" s="40"/>
    </row>
    <row r="37" spans="1:25" ht="13.2" x14ac:dyDescent="0.25">
      <c r="A37" s="82"/>
      <c r="B37" s="52" t="s">
        <v>78</v>
      </c>
      <c r="C37" s="53" t="s">
        <v>173</v>
      </c>
      <c r="D37" s="53" t="s">
        <v>173</v>
      </c>
      <c r="E37" s="53" t="s">
        <v>173</v>
      </c>
      <c r="F37" s="53" t="s">
        <v>173</v>
      </c>
      <c r="G37" s="53" t="s">
        <v>173</v>
      </c>
      <c r="H37" s="53" t="s">
        <v>173</v>
      </c>
      <c r="I37" s="53" t="s">
        <v>173</v>
      </c>
      <c r="J37" s="53" t="s">
        <v>173</v>
      </c>
      <c r="K37" s="53" t="s">
        <v>173</v>
      </c>
      <c r="L37" s="53" t="s">
        <v>173</v>
      </c>
      <c r="M37" s="53" t="s">
        <v>173</v>
      </c>
      <c r="N37" s="53" t="s">
        <v>173</v>
      </c>
      <c r="O37" s="91" t="s">
        <v>173</v>
      </c>
      <c r="P37" s="40"/>
      <c r="Q37" s="40"/>
      <c r="R37" s="40"/>
      <c r="S37" s="40"/>
      <c r="T37" s="40"/>
      <c r="U37" s="40"/>
      <c r="V37" s="40"/>
      <c r="W37" s="40"/>
      <c r="X37" s="40"/>
      <c r="Y37" s="40"/>
    </row>
    <row r="38" spans="1:25" ht="13.2" x14ac:dyDescent="0.25">
      <c r="A38" s="82"/>
      <c r="B38" s="48" t="s">
        <v>79</v>
      </c>
      <c r="C38" s="54" t="s">
        <v>173</v>
      </c>
      <c r="D38" s="54" t="s">
        <v>173</v>
      </c>
      <c r="E38" s="54" t="s">
        <v>173</v>
      </c>
      <c r="F38" s="54" t="s">
        <v>173</v>
      </c>
      <c r="G38" s="54" t="s">
        <v>173</v>
      </c>
      <c r="H38" s="54" t="s">
        <v>173</v>
      </c>
      <c r="I38" s="54" t="s">
        <v>173</v>
      </c>
      <c r="J38" s="54" t="s">
        <v>173</v>
      </c>
      <c r="K38" s="54" t="s">
        <v>173</v>
      </c>
      <c r="L38" s="54" t="s">
        <v>173</v>
      </c>
      <c r="M38" s="54" t="s">
        <v>173</v>
      </c>
      <c r="N38" s="54" t="s">
        <v>173</v>
      </c>
      <c r="O38" s="91" t="s">
        <v>173</v>
      </c>
      <c r="P38" s="40"/>
      <c r="Q38" s="40"/>
      <c r="R38" s="40"/>
      <c r="S38" s="40"/>
      <c r="T38" s="40"/>
      <c r="U38" s="40"/>
      <c r="V38" s="40"/>
      <c r="W38" s="40"/>
      <c r="X38" s="40"/>
      <c r="Y38" s="40"/>
    </row>
    <row r="39" spans="1:25" ht="13.2" x14ac:dyDescent="0.25">
      <c r="A39" s="83"/>
      <c r="B39" s="49" t="s">
        <v>195</v>
      </c>
      <c r="C39" s="50">
        <f>C8*(1+K59)</f>
        <v>86851.497429565454</v>
      </c>
      <c r="D39" s="50">
        <v>0</v>
      </c>
      <c r="E39" s="50">
        <v>0</v>
      </c>
      <c r="F39" s="50">
        <v>0</v>
      </c>
      <c r="G39" s="50">
        <v>0</v>
      </c>
      <c r="H39" s="50">
        <v>0</v>
      </c>
      <c r="I39" s="50">
        <v>0</v>
      </c>
      <c r="J39" s="50">
        <v>0</v>
      </c>
      <c r="K39" s="50">
        <v>0</v>
      </c>
      <c r="L39" s="50">
        <v>0</v>
      </c>
      <c r="M39" s="50">
        <v>0</v>
      </c>
      <c r="N39" s="50">
        <v>0</v>
      </c>
      <c r="O39" s="90">
        <f t="shared" ref="O39:O52" si="10">SUM(C39:N39)</f>
        <v>86851.497429565454</v>
      </c>
      <c r="P39" s="40"/>
      <c r="Q39" s="40"/>
      <c r="R39" s="40"/>
      <c r="S39" s="40"/>
      <c r="T39" s="40"/>
      <c r="U39" s="40"/>
      <c r="V39" s="40"/>
      <c r="W39" s="40"/>
      <c r="X39" s="40"/>
      <c r="Y39" s="40"/>
    </row>
    <row r="40" spans="1:25" ht="13.2" x14ac:dyDescent="0.25">
      <c r="A40" s="82"/>
      <c r="B40" s="49" t="s">
        <v>202</v>
      </c>
      <c r="C40" s="50">
        <f t="shared" ref="C40:N40" si="11">C9*(1+$K$59)</f>
        <v>3289829.4480896001</v>
      </c>
      <c r="D40" s="50">
        <f t="shared" si="11"/>
        <v>3289829.4480896001</v>
      </c>
      <c r="E40" s="50">
        <f t="shared" si="11"/>
        <v>3289829.4480896001</v>
      </c>
      <c r="F40" s="50">
        <f t="shared" si="11"/>
        <v>3289829.4480896001</v>
      </c>
      <c r="G40" s="50">
        <f t="shared" si="11"/>
        <v>3289829.4480896001</v>
      </c>
      <c r="H40" s="50">
        <f t="shared" si="11"/>
        <v>3289829.4480896001</v>
      </c>
      <c r="I40" s="50">
        <f t="shared" si="11"/>
        <v>3289829.4480896001</v>
      </c>
      <c r="J40" s="50">
        <f t="shared" si="11"/>
        <v>3289829.4480896001</v>
      </c>
      <c r="K40" s="50">
        <f t="shared" si="11"/>
        <v>3289829.4480896001</v>
      </c>
      <c r="L40" s="50">
        <f t="shared" si="11"/>
        <v>3289829.4480896001</v>
      </c>
      <c r="M40" s="50">
        <f t="shared" si="11"/>
        <v>3289829.4480896001</v>
      </c>
      <c r="N40" s="50">
        <f t="shared" si="11"/>
        <v>3289829.4480896001</v>
      </c>
      <c r="O40" s="90">
        <f>SUM(C40:N40)</f>
        <v>39477953.377075203</v>
      </c>
      <c r="P40" s="40"/>
      <c r="Q40" s="40"/>
      <c r="R40" s="40"/>
      <c r="S40" s="40"/>
      <c r="T40" s="40"/>
      <c r="U40" s="40"/>
      <c r="V40" s="40"/>
      <c r="W40" s="40"/>
      <c r="X40" s="40"/>
      <c r="Y40" s="40"/>
    </row>
    <row r="41" spans="1:25" ht="13.2" x14ac:dyDescent="0.25">
      <c r="A41" s="82"/>
      <c r="B41" s="51" t="s">
        <v>178</v>
      </c>
      <c r="C41" s="50">
        <f t="shared" ref="C41:N41" si="12">C10*(1+$K$59)</f>
        <v>657965.88961792004</v>
      </c>
      <c r="D41" s="50">
        <f t="shared" si="12"/>
        <v>657965.88961792004</v>
      </c>
      <c r="E41" s="50">
        <f t="shared" si="12"/>
        <v>657965.88961792004</v>
      </c>
      <c r="F41" s="50">
        <f t="shared" si="12"/>
        <v>657965.88961792004</v>
      </c>
      <c r="G41" s="50">
        <f t="shared" si="12"/>
        <v>657965.88961792004</v>
      </c>
      <c r="H41" s="50">
        <f t="shared" si="12"/>
        <v>657965.88961792004</v>
      </c>
      <c r="I41" s="50">
        <f t="shared" si="12"/>
        <v>657965.88961792004</v>
      </c>
      <c r="J41" s="50">
        <f t="shared" si="12"/>
        <v>657965.88961792004</v>
      </c>
      <c r="K41" s="50">
        <f t="shared" si="12"/>
        <v>657965.88961792004</v>
      </c>
      <c r="L41" s="50">
        <f t="shared" si="12"/>
        <v>657965.88961792004</v>
      </c>
      <c r="M41" s="50">
        <f t="shared" si="12"/>
        <v>657965.88961792004</v>
      </c>
      <c r="N41" s="50">
        <f t="shared" si="12"/>
        <v>657965.88961792004</v>
      </c>
      <c r="O41" s="90">
        <f t="shared" si="10"/>
        <v>7895590.67541504</v>
      </c>
      <c r="P41" s="40"/>
      <c r="Q41" s="40"/>
      <c r="R41" s="40"/>
      <c r="S41" s="40"/>
      <c r="T41" s="40"/>
      <c r="U41" s="40"/>
      <c r="V41" s="40"/>
      <c r="W41" s="40"/>
      <c r="X41" s="40"/>
      <c r="Y41" s="40"/>
    </row>
    <row r="42" spans="1:25" ht="13.2" x14ac:dyDescent="0.25">
      <c r="A42" s="84"/>
      <c r="B42" s="51" t="s">
        <v>179</v>
      </c>
      <c r="C42" s="50">
        <f t="shared" ref="C42:N42" si="13">C11*(1+$K$59)</f>
        <v>78955.906754150405</v>
      </c>
      <c r="D42" s="50">
        <f t="shared" si="13"/>
        <v>78955.906754150405</v>
      </c>
      <c r="E42" s="50">
        <f t="shared" si="13"/>
        <v>78955.906754150405</v>
      </c>
      <c r="F42" s="50">
        <f t="shared" si="13"/>
        <v>78955.906754150405</v>
      </c>
      <c r="G42" s="50">
        <f t="shared" si="13"/>
        <v>78955.906754150405</v>
      </c>
      <c r="H42" s="50">
        <f t="shared" si="13"/>
        <v>78955.906754150405</v>
      </c>
      <c r="I42" s="50">
        <f t="shared" si="13"/>
        <v>78955.906754150405</v>
      </c>
      <c r="J42" s="50">
        <f t="shared" si="13"/>
        <v>78955.906754150405</v>
      </c>
      <c r="K42" s="50">
        <f t="shared" si="13"/>
        <v>78955.906754150405</v>
      </c>
      <c r="L42" s="50">
        <f t="shared" si="13"/>
        <v>78955.906754150405</v>
      </c>
      <c r="M42" s="50">
        <f t="shared" si="13"/>
        <v>78955.906754150405</v>
      </c>
      <c r="N42" s="50">
        <f t="shared" si="13"/>
        <v>78955.906754150405</v>
      </c>
      <c r="O42" s="90">
        <f t="shared" si="10"/>
        <v>947470.88104980486</v>
      </c>
      <c r="P42" s="40"/>
      <c r="Q42" s="40"/>
      <c r="R42" s="40"/>
      <c r="S42" s="40"/>
      <c r="T42" s="40"/>
      <c r="U42" s="40"/>
      <c r="V42" s="40"/>
      <c r="W42" s="40"/>
      <c r="X42" s="40"/>
      <c r="Y42" s="40"/>
    </row>
    <row r="43" spans="1:25" ht="13.2" x14ac:dyDescent="0.25">
      <c r="A43" s="82"/>
      <c r="B43" s="46" t="s">
        <v>207</v>
      </c>
      <c r="C43" s="47">
        <f>SUM(C39:C42)</f>
        <v>4113602.741891236</v>
      </c>
      <c r="D43" s="47">
        <f t="shared" ref="D43:N43" si="14">SUM(D39:D42)</f>
        <v>4026751.2444616705</v>
      </c>
      <c r="E43" s="47">
        <f t="shared" si="14"/>
        <v>4026751.2444616705</v>
      </c>
      <c r="F43" s="47">
        <f t="shared" si="14"/>
        <v>4026751.2444616705</v>
      </c>
      <c r="G43" s="47">
        <f t="shared" si="14"/>
        <v>4026751.2444616705</v>
      </c>
      <c r="H43" s="47">
        <f t="shared" si="14"/>
        <v>4026751.2444616705</v>
      </c>
      <c r="I43" s="47">
        <f t="shared" si="14"/>
        <v>4026751.2444616705</v>
      </c>
      <c r="J43" s="47">
        <f t="shared" si="14"/>
        <v>4026751.2444616705</v>
      </c>
      <c r="K43" s="47">
        <f t="shared" si="14"/>
        <v>4026751.2444616705</v>
      </c>
      <c r="L43" s="47">
        <f t="shared" si="14"/>
        <v>4026751.2444616705</v>
      </c>
      <c r="M43" s="47">
        <f t="shared" si="14"/>
        <v>4026751.2444616705</v>
      </c>
      <c r="N43" s="47">
        <f t="shared" si="14"/>
        <v>4026751.2444616705</v>
      </c>
      <c r="O43" s="47">
        <f t="shared" si="10"/>
        <v>48407866.430969611</v>
      </c>
      <c r="P43" s="40"/>
      <c r="Q43" s="40"/>
      <c r="R43" s="40"/>
      <c r="S43" s="40"/>
      <c r="T43" s="40"/>
      <c r="U43" s="40"/>
      <c r="V43" s="40"/>
      <c r="W43" s="40"/>
      <c r="X43" s="40"/>
      <c r="Y43" s="40"/>
    </row>
    <row r="44" spans="1:25" ht="13.2" x14ac:dyDescent="0.25">
      <c r="A44" s="82"/>
      <c r="B44" s="55" t="s">
        <v>83</v>
      </c>
      <c r="C44" s="59" t="s">
        <v>173</v>
      </c>
      <c r="D44" s="59" t="s">
        <v>173</v>
      </c>
      <c r="E44" s="59" t="s">
        <v>173</v>
      </c>
      <c r="F44" s="59" t="s">
        <v>173</v>
      </c>
      <c r="G44" s="59" t="s">
        <v>173</v>
      </c>
      <c r="H44" s="59" t="s">
        <v>173</v>
      </c>
      <c r="I44" s="59" t="s">
        <v>173</v>
      </c>
      <c r="J44" s="59" t="s">
        <v>173</v>
      </c>
      <c r="K44" s="59" t="s">
        <v>173</v>
      </c>
      <c r="L44" s="59" t="s">
        <v>173</v>
      </c>
      <c r="M44" s="59" t="s">
        <v>173</v>
      </c>
      <c r="N44" s="59" t="s">
        <v>173</v>
      </c>
      <c r="O44" s="91" t="s">
        <v>173</v>
      </c>
      <c r="P44" s="40"/>
      <c r="Q44" s="40"/>
      <c r="R44" s="40"/>
      <c r="S44" s="40"/>
      <c r="T44" s="40"/>
      <c r="U44" s="40"/>
      <c r="V44" s="40"/>
      <c r="W44" s="40"/>
      <c r="X44" s="40"/>
      <c r="Y44" s="40"/>
    </row>
    <row r="45" spans="1:25" ht="13.2" x14ac:dyDescent="0.25">
      <c r="A45" s="82"/>
      <c r="B45" s="57" t="s">
        <v>210</v>
      </c>
      <c r="C45" s="56">
        <f t="shared" ref="C45:N45" si="15">C14*(1+$K$59)</f>
        <v>435573.41892706318</v>
      </c>
      <c r="D45" s="56">
        <f t="shared" si="15"/>
        <v>525056.7799151002</v>
      </c>
      <c r="E45" s="56">
        <f t="shared" si="15"/>
        <v>484262.89475878916</v>
      </c>
      <c r="F45" s="56">
        <f t="shared" si="15"/>
        <v>452680.53205712902</v>
      </c>
      <c r="G45" s="56">
        <f t="shared" si="15"/>
        <v>415834.4422385256</v>
      </c>
      <c r="H45" s="56">
        <f t="shared" si="15"/>
        <v>521108.98457739269</v>
      </c>
      <c r="I45" s="56">
        <f t="shared" si="15"/>
        <v>607960.4820069581</v>
      </c>
      <c r="J45" s="56">
        <f t="shared" si="15"/>
        <v>582957.77820147714</v>
      </c>
      <c r="K45" s="56">
        <f t="shared" si="15"/>
        <v>450048.66849865735</v>
      </c>
      <c r="L45" s="56">
        <f t="shared" si="15"/>
        <v>461892.05451177998</v>
      </c>
      <c r="M45" s="56">
        <f t="shared" si="15"/>
        <v>439521.21426477068</v>
      </c>
      <c r="N45" s="56">
        <f t="shared" si="15"/>
        <v>475051.37230413832</v>
      </c>
      <c r="O45" s="92">
        <f t="shared" si="10"/>
        <v>5851948.6222617822</v>
      </c>
      <c r="P45" s="40"/>
      <c r="Q45" s="40"/>
      <c r="R45" s="40"/>
      <c r="S45" s="40"/>
      <c r="T45" s="40"/>
      <c r="U45" s="40"/>
      <c r="V45" s="40"/>
      <c r="W45" s="40"/>
      <c r="X45" s="40"/>
      <c r="Y45" s="40"/>
    </row>
    <row r="46" spans="1:25" ht="13.2" x14ac:dyDescent="0.25">
      <c r="A46" s="82"/>
      <c r="B46" s="57" t="s">
        <v>203</v>
      </c>
      <c r="C46" s="56">
        <f t="shared" ref="C46:N46" si="16">C15*(1+$K$59)</f>
        <v>1572538.4761868287</v>
      </c>
      <c r="D46" s="56">
        <f t="shared" si="16"/>
        <v>1693604.1998765266</v>
      </c>
      <c r="E46" s="56">
        <f t="shared" si="16"/>
        <v>1898889.5574373174</v>
      </c>
      <c r="F46" s="56">
        <f t="shared" si="16"/>
        <v>1439629.3664840094</v>
      </c>
      <c r="G46" s="56">
        <f t="shared" si="16"/>
        <v>1915996.6705673835</v>
      </c>
      <c r="H46" s="56">
        <f t="shared" si="16"/>
        <v>1805458.4011115727</v>
      </c>
      <c r="I46" s="56">
        <f t="shared" si="16"/>
        <v>1656758.110057923</v>
      </c>
      <c r="J46" s="56">
        <f t="shared" si="16"/>
        <v>1969949.8735160527</v>
      </c>
      <c r="K46" s="56">
        <f t="shared" si="16"/>
        <v>1925208.1930220344</v>
      </c>
      <c r="L46" s="56">
        <f t="shared" si="16"/>
        <v>1925208.1930220344</v>
      </c>
      <c r="M46" s="56">
        <f t="shared" si="16"/>
        <v>1496214.4329911505</v>
      </c>
      <c r="N46" s="56">
        <f t="shared" si="16"/>
        <v>1844936.3544886482</v>
      </c>
      <c r="O46" s="92">
        <f t="shared" si="10"/>
        <v>21144391.828761484</v>
      </c>
      <c r="P46" s="40"/>
      <c r="Q46" s="40"/>
      <c r="R46" s="40"/>
      <c r="S46" s="40"/>
      <c r="T46" s="40"/>
      <c r="U46" s="40"/>
      <c r="V46" s="40"/>
      <c r="W46" s="40"/>
      <c r="X46" s="40"/>
      <c r="Y46" s="40"/>
    </row>
    <row r="47" spans="1:25" ht="13.2" x14ac:dyDescent="0.25">
      <c r="A47" s="82"/>
      <c r="B47" s="58" t="s">
        <v>84</v>
      </c>
      <c r="C47" s="56">
        <f t="shared" ref="C47:N47" si="17">C16*(1+$K$59)</f>
        <v>1390939.8906522829</v>
      </c>
      <c r="D47" s="56">
        <f t="shared" si="17"/>
        <v>1518585.2732381597</v>
      </c>
      <c r="E47" s="56">
        <f t="shared" si="17"/>
        <v>1523849.0003551033</v>
      </c>
      <c r="F47" s="56">
        <f t="shared" si="17"/>
        <v>1573854.4079660648</v>
      </c>
      <c r="G47" s="56">
        <f t="shared" si="17"/>
        <v>1862043.4676187139</v>
      </c>
      <c r="H47" s="56">
        <f t="shared" si="17"/>
        <v>1610700.4977846683</v>
      </c>
      <c r="I47" s="56">
        <f t="shared" si="17"/>
        <v>1672549.291408753</v>
      </c>
      <c r="J47" s="56">
        <f t="shared" si="17"/>
        <v>1925208.1930220344</v>
      </c>
      <c r="K47" s="56">
        <f t="shared" si="17"/>
        <v>1762032.65239679</v>
      </c>
      <c r="L47" s="56">
        <f t="shared" si="17"/>
        <v>1759400.7888383185</v>
      </c>
      <c r="M47" s="56">
        <f t="shared" si="17"/>
        <v>1883098.3760864874</v>
      </c>
      <c r="N47" s="56">
        <f t="shared" si="17"/>
        <v>1512005.614341981</v>
      </c>
      <c r="O47" s="92">
        <f t="shared" si="10"/>
        <v>19994267.45370936</v>
      </c>
      <c r="P47" s="40"/>
      <c r="Q47" s="40"/>
      <c r="R47" s="40"/>
      <c r="S47" s="40"/>
      <c r="T47" s="40"/>
      <c r="U47" s="40"/>
      <c r="V47" s="40"/>
      <c r="W47" s="40"/>
      <c r="X47" s="40"/>
      <c r="Y47" s="40"/>
    </row>
    <row r="48" spans="1:25" ht="13.2" x14ac:dyDescent="0.25">
      <c r="A48" s="82"/>
      <c r="B48" s="57" t="s">
        <v>85</v>
      </c>
      <c r="C48" s="56">
        <f t="shared" ref="C48:N48" si="18">C17*(1+$K$59)</f>
        <v>1615964.2249016119</v>
      </c>
      <c r="D48" s="56">
        <f t="shared" si="18"/>
        <v>1383044.2999768683</v>
      </c>
      <c r="E48" s="56">
        <f t="shared" si="18"/>
        <v>1431733.7758085942</v>
      </c>
      <c r="F48" s="56">
        <f t="shared" si="18"/>
        <v>1454104.6160556034</v>
      </c>
      <c r="G48" s="56">
        <f t="shared" si="18"/>
        <v>1955474.6239444586</v>
      </c>
      <c r="H48" s="56">
        <f t="shared" si="18"/>
        <v>1435681.5711463017</v>
      </c>
      <c r="I48" s="56">
        <f t="shared" si="18"/>
        <v>1665969.6325125739</v>
      </c>
      <c r="J48" s="56">
        <f t="shared" si="18"/>
        <v>1318563.642794312</v>
      </c>
      <c r="K48" s="56">
        <f t="shared" si="18"/>
        <v>1714659.1083443</v>
      </c>
      <c r="L48" s="56">
        <f t="shared" si="18"/>
        <v>1361989.3915090945</v>
      </c>
      <c r="M48" s="56">
        <f t="shared" si="18"/>
        <v>1734398.0850328372</v>
      </c>
      <c r="N48" s="56">
        <f t="shared" si="18"/>
        <v>1651494.3829409797</v>
      </c>
      <c r="O48" s="92">
        <f t="shared" si="10"/>
        <v>18723077.354967535</v>
      </c>
      <c r="P48" s="40"/>
      <c r="Q48" s="40"/>
      <c r="R48" s="40"/>
      <c r="S48" s="40"/>
      <c r="T48" s="40"/>
      <c r="U48" s="40"/>
      <c r="V48" s="40"/>
      <c r="W48" s="40"/>
      <c r="X48" s="40"/>
      <c r="Y48" s="40"/>
    </row>
    <row r="49" spans="1:25" ht="13.2" x14ac:dyDescent="0.25">
      <c r="A49" s="84"/>
      <c r="B49" s="58" t="s">
        <v>180</v>
      </c>
      <c r="C49" s="56">
        <f t="shared" ref="C49:N49" si="19">C18*(1+$K$59)</f>
        <v>1910732.9434504397</v>
      </c>
      <c r="D49" s="56">
        <f t="shared" si="19"/>
        <v>1885730.2396449591</v>
      </c>
      <c r="E49" s="56">
        <f t="shared" si="19"/>
        <v>1567274.7490698858</v>
      </c>
      <c r="F49" s="56">
        <f t="shared" si="19"/>
        <v>1730450.2896951302</v>
      </c>
      <c r="G49" s="56">
        <f t="shared" si="19"/>
        <v>1364621.2550675664</v>
      </c>
      <c r="H49" s="56">
        <f t="shared" si="19"/>
        <v>1517269.3414589236</v>
      </c>
      <c r="I49" s="56">
        <f t="shared" si="19"/>
        <v>1569906.6126283577</v>
      </c>
      <c r="J49" s="56">
        <f t="shared" si="19"/>
        <v>1860727.5358394783</v>
      </c>
      <c r="K49" s="56">
        <f t="shared" si="19"/>
        <v>1456736.4796140753</v>
      </c>
      <c r="L49" s="56">
        <f t="shared" si="19"/>
        <v>1559379.1583944706</v>
      </c>
      <c r="M49" s="56">
        <f t="shared" si="19"/>
        <v>1562011.0219529422</v>
      </c>
      <c r="N49" s="56">
        <f t="shared" si="19"/>
        <v>1522533.0685758672</v>
      </c>
      <c r="O49" s="92">
        <f t="shared" si="10"/>
        <v>19507372.695392095</v>
      </c>
      <c r="P49" s="40"/>
      <c r="Q49" s="40"/>
      <c r="R49" s="40"/>
      <c r="S49" s="40"/>
      <c r="T49" s="40"/>
      <c r="U49" s="40"/>
      <c r="V49" s="40"/>
      <c r="W49" s="40"/>
      <c r="X49" s="40"/>
      <c r="Y49" s="40"/>
    </row>
    <row r="50" spans="1:25" ht="13.2" x14ac:dyDescent="0.25">
      <c r="A50" s="84"/>
      <c r="B50" s="58" t="s">
        <v>86</v>
      </c>
      <c r="C50" s="56">
        <f t="shared" ref="C50:N50" si="20">C19*(1+$K$59)</f>
        <v>1390939.8906522829</v>
      </c>
      <c r="D50" s="56">
        <f t="shared" si="20"/>
        <v>1375148.7093014533</v>
      </c>
      <c r="E50" s="56">
        <f t="shared" si="20"/>
        <v>1334354.8241451422</v>
      </c>
      <c r="F50" s="56">
        <f t="shared" si="20"/>
        <v>1740977.7439290166</v>
      </c>
      <c r="G50" s="56">
        <f t="shared" si="20"/>
        <v>1619912.0202393192</v>
      </c>
      <c r="H50" s="56">
        <f t="shared" si="20"/>
        <v>1348830.0737167364</v>
      </c>
      <c r="I50" s="56">
        <f t="shared" si="20"/>
        <v>1829145.173137818</v>
      </c>
      <c r="J50" s="56">
        <f t="shared" si="20"/>
        <v>1755452.993500611</v>
      </c>
      <c r="K50" s="56">
        <f t="shared" si="20"/>
        <v>1413310.7308992925</v>
      </c>
      <c r="L50" s="56">
        <f t="shared" si="20"/>
        <v>1462000.2067310186</v>
      </c>
      <c r="M50" s="56">
        <f t="shared" si="20"/>
        <v>1777823.8337476202</v>
      </c>
      <c r="N50" s="56">
        <f t="shared" si="20"/>
        <v>1871254.9900733649</v>
      </c>
      <c r="O50" s="92">
        <f t="shared" si="10"/>
        <v>18919151.190073676</v>
      </c>
      <c r="P50" s="40"/>
      <c r="Q50" s="40"/>
      <c r="R50" s="40"/>
      <c r="S50" s="40"/>
      <c r="T50" s="40"/>
      <c r="U50" s="40"/>
      <c r="V50" s="40"/>
      <c r="W50" s="40"/>
      <c r="X50" s="40"/>
      <c r="Y50" s="40"/>
    </row>
    <row r="51" spans="1:25" ht="13.2" x14ac:dyDescent="0.25">
      <c r="A51" s="82"/>
      <c r="B51" s="46" t="s">
        <v>208</v>
      </c>
      <c r="C51" s="47">
        <f t="shared" ref="C51:N51" si="21">SUM(C45:C50)</f>
        <v>8316688.8447705097</v>
      </c>
      <c r="D51" s="47">
        <f t="shared" si="21"/>
        <v>8381169.5019530673</v>
      </c>
      <c r="E51" s="47">
        <f t="shared" si="21"/>
        <v>8240364.8015748318</v>
      </c>
      <c r="F51" s="47">
        <f t="shared" si="21"/>
        <v>8391696.9561869539</v>
      </c>
      <c r="G51" s="47">
        <f t="shared" si="21"/>
        <v>9133882.4796759672</v>
      </c>
      <c r="H51" s="47">
        <f t="shared" si="21"/>
        <v>8239048.8697955953</v>
      </c>
      <c r="I51" s="47">
        <f t="shared" si="21"/>
        <v>9002289.3017523829</v>
      </c>
      <c r="J51" s="47">
        <f t="shared" si="21"/>
        <v>9412860.016873965</v>
      </c>
      <c r="K51" s="47">
        <f t="shared" si="21"/>
        <v>8721995.8327751495</v>
      </c>
      <c r="L51" s="47">
        <f t="shared" si="21"/>
        <v>8529869.7930067182</v>
      </c>
      <c r="M51" s="47">
        <f t="shared" si="21"/>
        <v>8893066.9640758075</v>
      </c>
      <c r="N51" s="47">
        <f t="shared" si="21"/>
        <v>8877275.7827249803</v>
      </c>
      <c r="O51" s="47">
        <f t="shared" si="10"/>
        <v>104140209.14516592</v>
      </c>
      <c r="P51" s="40"/>
      <c r="Q51" s="40"/>
      <c r="R51" s="40"/>
      <c r="S51" s="40"/>
      <c r="T51" s="40"/>
      <c r="U51" s="40"/>
      <c r="V51" s="40"/>
      <c r="W51" s="40"/>
      <c r="X51" s="40"/>
      <c r="Y51" s="40"/>
    </row>
    <row r="52" spans="1:25" ht="13.2" x14ac:dyDescent="0.25">
      <c r="A52" s="82"/>
      <c r="B52" s="60" t="s">
        <v>87</v>
      </c>
      <c r="C52" s="47">
        <f t="shared" ref="C52:N52" si="22">C43+C51</f>
        <v>12430291.586661745</v>
      </c>
      <c r="D52" s="47">
        <f t="shared" si="22"/>
        <v>12407920.746414738</v>
      </c>
      <c r="E52" s="47">
        <f t="shared" si="22"/>
        <v>12267116.046036502</v>
      </c>
      <c r="F52" s="47">
        <f t="shared" si="22"/>
        <v>12418448.200648624</v>
      </c>
      <c r="G52" s="47">
        <f t="shared" si="22"/>
        <v>13160633.724137638</v>
      </c>
      <c r="H52" s="47">
        <f t="shared" si="22"/>
        <v>12265800.114257265</v>
      </c>
      <c r="I52" s="47">
        <f t="shared" si="22"/>
        <v>13029040.546214053</v>
      </c>
      <c r="J52" s="47">
        <f t="shared" si="22"/>
        <v>13439611.261335636</v>
      </c>
      <c r="K52" s="47">
        <f t="shared" si="22"/>
        <v>12748747.07723682</v>
      </c>
      <c r="L52" s="47">
        <f t="shared" si="22"/>
        <v>12556621.037468389</v>
      </c>
      <c r="M52" s="47">
        <f t="shared" si="22"/>
        <v>12919818.208537478</v>
      </c>
      <c r="N52" s="47">
        <f t="shared" si="22"/>
        <v>12904027.027186651</v>
      </c>
      <c r="O52" s="47">
        <f t="shared" si="10"/>
        <v>152548075.57613555</v>
      </c>
      <c r="P52" s="40"/>
      <c r="Q52" s="40"/>
      <c r="R52" s="40"/>
      <c r="S52" s="40"/>
      <c r="T52" s="40"/>
      <c r="U52" s="40"/>
      <c r="V52" s="40"/>
      <c r="W52" s="40"/>
      <c r="X52" s="40"/>
      <c r="Y52" s="40"/>
    </row>
    <row r="53" spans="1:25" ht="13.2" x14ac:dyDescent="0.25">
      <c r="A53" s="84"/>
      <c r="B53" s="108" t="s">
        <v>238</v>
      </c>
      <c r="C53" s="119">
        <f>'5. Down payment savings'!$F$2</f>
        <v>22867024.153494995</v>
      </c>
      <c r="D53" s="119">
        <f>'5. Down payment savings'!$F$2</f>
        <v>22867024.153494995</v>
      </c>
      <c r="E53" s="119">
        <f>'5. Down payment savings'!$F$2</f>
        <v>22867024.153494995</v>
      </c>
      <c r="F53" s="119">
        <f>'5. Down payment savings'!$F$2</f>
        <v>22867024.153494995</v>
      </c>
      <c r="G53" s="119">
        <f>'5. Down payment savings'!$F$2</f>
        <v>22867024.153494995</v>
      </c>
      <c r="H53" s="119">
        <f>'5. Down payment savings'!$F$2</f>
        <v>22867024.153494995</v>
      </c>
      <c r="I53" s="119">
        <f>'5. Down payment savings'!$F$2</f>
        <v>22867024.153494995</v>
      </c>
      <c r="J53" s="119">
        <f>'5. Down payment savings'!$F$2</f>
        <v>22867024.153494995</v>
      </c>
      <c r="K53" s="119">
        <f>'5. Down payment savings'!$F$2</f>
        <v>22867024.153494995</v>
      </c>
      <c r="L53" s="119">
        <f>'5. Down payment savings'!$F$2</f>
        <v>22867024.153494995</v>
      </c>
      <c r="M53" s="119">
        <f>'5. Down payment savings'!$F$2</f>
        <v>22867024.153494995</v>
      </c>
      <c r="N53" s="119">
        <f>'5. Down payment savings'!$F$2</f>
        <v>22867024.153494995</v>
      </c>
      <c r="O53" s="109">
        <f>SUM(C53:N53)</f>
        <v>274404289.84193987</v>
      </c>
      <c r="P53" s="40"/>
      <c r="Q53" s="40"/>
      <c r="R53" s="40"/>
      <c r="S53" s="40"/>
      <c r="T53" s="40"/>
      <c r="U53" s="40"/>
      <c r="V53" s="40"/>
      <c r="W53" s="40"/>
      <c r="X53" s="40"/>
      <c r="Y53" s="40"/>
    </row>
    <row r="54" spans="1:25" ht="13.2" x14ac:dyDescent="0.25">
      <c r="A54" s="84"/>
      <c r="B54" s="108" t="s">
        <v>243</v>
      </c>
      <c r="C54" s="109">
        <f>-PMT(4%,2*12,277000000)</f>
        <v>18167552.281143721</v>
      </c>
      <c r="D54" s="109">
        <f t="shared" ref="D54:N54" si="23">-PMT(4%,2*12,277000000)</f>
        <v>18167552.281143721</v>
      </c>
      <c r="E54" s="109">
        <f t="shared" si="23"/>
        <v>18167552.281143721</v>
      </c>
      <c r="F54" s="109">
        <f t="shared" si="23"/>
        <v>18167552.281143721</v>
      </c>
      <c r="G54" s="109">
        <f t="shared" si="23"/>
        <v>18167552.281143721</v>
      </c>
      <c r="H54" s="109">
        <f t="shared" si="23"/>
        <v>18167552.281143721</v>
      </c>
      <c r="I54" s="109">
        <f t="shared" si="23"/>
        <v>18167552.281143721</v>
      </c>
      <c r="J54" s="109">
        <f t="shared" si="23"/>
        <v>18167552.281143721</v>
      </c>
      <c r="K54" s="109">
        <f t="shared" si="23"/>
        <v>18167552.281143721</v>
      </c>
      <c r="L54" s="109">
        <f t="shared" si="23"/>
        <v>18167552.281143721</v>
      </c>
      <c r="M54" s="109">
        <f t="shared" si="23"/>
        <v>18167552.281143721</v>
      </c>
      <c r="N54" s="109">
        <f t="shared" si="23"/>
        <v>18167552.281143721</v>
      </c>
      <c r="O54" s="109">
        <f>SUM(C54:N54)</f>
        <v>218010627.37372467</v>
      </c>
      <c r="P54" s="40"/>
      <c r="Q54" s="40"/>
      <c r="R54" s="40"/>
      <c r="S54" s="40"/>
      <c r="T54" s="40"/>
      <c r="U54" s="40"/>
      <c r="V54" s="40"/>
      <c r="W54" s="40"/>
      <c r="X54" s="40"/>
      <c r="Y54" s="40"/>
    </row>
    <row r="55" spans="1:25" ht="13.2" x14ac:dyDescent="0.25">
      <c r="A55" s="82"/>
      <c r="B55" s="108" t="s">
        <v>204</v>
      </c>
      <c r="C55" s="109">
        <f t="shared" ref="C55:N55" si="24">$O52*(3/12)/12</f>
        <v>3178084.9078361574</v>
      </c>
      <c r="D55" s="109">
        <f t="shared" si="24"/>
        <v>3178084.9078361574</v>
      </c>
      <c r="E55" s="109">
        <f t="shared" si="24"/>
        <v>3178084.9078361574</v>
      </c>
      <c r="F55" s="109">
        <f t="shared" si="24"/>
        <v>3178084.9078361574</v>
      </c>
      <c r="G55" s="109">
        <f t="shared" si="24"/>
        <v>3178084.9078361574</v>
      </c>
      <c r="H55" s="109">
        <f t="shared" si="24"/>
        <v>3178084.9078361574</v>
      </c>
      <c r="I55" s="109">
        <f t="shared" si="24"/>
        <v>3178084.9078361574</v>
      </c>
      <c r="J55" s="109">
        <f t="shared" si="24"/>
        <v>3178084.9078361574</v>
      </c>
      <c r="K55" s="109">
        <f t="shared" si="24"/>
        <v>3178084.9078361574</v>
      </c>
      <c r="L55" s="109">
        <f t="shared" si="24"/>
        <v>3178084.9078361574</v>
      </c>
      <c r="M55" s="109">
        <f t="shared" si="24"/>
        <v>3178084.9078361574</v>
      </c>
      <c r="N55" s="109">
        <f t="shared" si="24"/>
        <v>3178084.9078361574</v>
      </c>
      <c r="O55" s="109">
        <f t="shared" ref="O55" si="25">SUM(C55:N55)</f>
        <v>38137018.894033886</v>
      </c>
      <c r="P55" s="43"/>
      <c r="Q55" s="43"/>
      <c r="R55" s="40"/>
      <c r="S55" s="40"/>
      <c r="T55" s="40"/>
      <c r="U55" s="40"/>
      <c r="V55" s="40"/>
      <c r="W55" s="40"/>
      <c r="X55" s="40"/>
      <c r="Y55" s="40"/>
    </row>
    <row r="56" spans="1:25" ht="13.2" x14ac:dyDescent="0.25">
      <c r="A56" s="82"/>
      <c r="B56" s="60" t="s">
        <v>206</v>
      </c>
      <c r="C56" s="61">
        <f>C36-C52-C55-C53-C54</f>
        <v>2627047.0708633885</v>
      </c>
      <c r="D56" s="61">
        <f t="shared" ref="D56:N56" si="26">D36-D52-D55-D53-D54</f>
        <v>2649417.9111103937</v>
      </c>
      <c r="E56" s="61">
        <f t="shared" si="26"/>
        <v>2790222.6114886254</v>
      </c>
      <c r="F56" s="61">
        <f t="shared" si="26"/>
        <v>2638890.4568765089</v>
      </c>
      <c r="G56" s="61">
        <f t="shared" si="26"/>
        <v>1896704.9333874956</v>
      </c>
      <c r="H56" s="61">
        <f t="shared" si="26"/>
        <v>2791538.5432678685</v>
      </c>
      <c r="I56" s="61">
        <f t="shared" si="26"/>
        <v>2028298.1113110781</v>
      </c>
      <c r="J56" s="61">
        <f t="shared" si="26"/>
        <v>1617727.3961894959</v>
      </c>
      <c r="K56" s="61">
        <f t="shared" si="26"/>
        <v>2308591.5802883133</v>
      </c>
      <c r="L56" s="61">
        <f t="shared" si="26"/>
        <v>2500717.6200567409</v>
      </c>
      <c r="M56" s="61">
        <f t="shared" si="26"/>
        <v>2137520.4489876553</v>
      </c>
      <c r="N56" s="61">
        <f t="shared" si="26"/>
        <v>2153311.6303384826</v>
      </c>
      <c r="O56" s="47">
        <f t="shared" ref="O56" si="27">SUM(C56:N56)</f>
        <v>28139988.314166047</v>
      </c>
      <c r="P56" s="43"/>
      <c r="Q56" s="43"/>
      <c r="R56" s="40"/>
      <c r="S56" s="40"/>
      <c r="T56" s="40"/>
      <c r="U56" s="40"/>
      <c r="V56" s="40"/>
      <c r="W56" s="40"/>
      <c r="X56" s="40"/>
      <c r="Y56" s="40"/>
    </row>
    <row r="57" spans="1:25" ht="13.2" x14ac:dyDescent="0.25">
      <c r="A57" s="85"/>
      <c r="B57" s="40"/>
      <c r="C57" s="40"/>
      <c r="D57" s="40"/>
      <c r="E57" s="40"/>
      <c r="F57" s="40"/>
      <c r="G57" s="40"/>
      <c r="H57" s="40"/>
      <c r="I57" s="40"/>
      <c r="J57" s="40"/>
      <c r="K57" s="40"/>
      <c r="L57" s="353" t="s">
        <v>217</v>
      </c>
      <c r="M57" s="354"/>
      <c r="N57" s="356">
        <f>SUM(C56:N56)+N25</f>
        <v>456148464.83923024</v>
      </c>
      <c r="O57" s="40"/>
      <c r="P57" s="40"/>
      <c r="Q57" s="40"/>
      <c r="R57" s="40"/>
      <c r="S57" s="40"/>
      <c r="T57" s="40"/>
      <c r="U57" s="40"/>
      <c r="V57" s="40"/>
      <c r="W57" s="40"/>
      <c r="X57" s="40"/>
      <c r="Y57" s="40"/>
    </row>
    <row r="58" spans="1:25" ht="13.2" x14ac:dyDescent="0.25">
      <c r="A58" s="85"/>
      <c r="B58" s="40"/>
      <c r="C58" s="7"/>
      <c r="D58" s="40"/>
      <c r="E58" s="40"/>
      <c r="F58" s="40"/>
      <c r="G58" s="40"/>
      <c r="H58" s="40"/>
      <c r="I58" s="40"/>
      <c r="J58" s="40"/>
      <c r="K58" s="40"/>
      <c r="L58" s="320"/>
      <c r="M58" s="355"/>
      <c r="N58" s="357"/>
      <c r="O58" s="40"/>
      <c r="P58" s="40"/>
      <c r="Q58" s="40"/>
      <c r="R58" s="40"/>
      <c r="S58" s="40"/>
      <c r="T58" s="40"/>
      <c r="U58" s="40"/>
      <c r="V58" s="40"/>
      <c r="W58" s="40"/>
      <c r="X58" s="40"/>
      <c r="Y58" s="40"/>
    </row>
    <row r="59" spans="1:25" ht="39.6" x14ac:dyDescent="0.25">
      <c r="A59" s="85"/>
      <c r="B59" s="319" t="s">
        <v>632</v>
      </c>
      <c r="C59" s="352" t="s">
        <v>244</v>
      </c>
      <c r="D59" s="352"/>
      <c r="E59" s="352"/>
      <c r="F59" s="352"/>
      <c r="G59" s="352"/>
      <c r="H59" s="352"/>
      <c r="I59" s="141" t="s">
        <v>407</v>
      </c>
      <c r="J59" s="358" t="s">
        <v>231</v>
      </c>
      <c r="K59" s="359">
        <v>0.04</v>
      </c>
      <c r="L59" s="40"/>
      <c r="M59" s="40"/>
      <c r="N59" s="40"/>
      <c r="O59" s="361"/>
      <c r="P59" s="40"/>
      <c r="Q59" s="40"/>
      <c r="R59" s="40"/>
      <c r="S59" s="40"/>
      <c r="T59" s="40"/>
      <c r="U59" s="40"/>
      <c r="V59" s="40"/>
      <c r="W59" s="40"/>
      <c r="X59" s="40"/>
      <c r="Y59" s="40"/>
    </row>
    <row r="60" spans="1:25" ht="13.2" x14ac:dyDescent="0.25">
      <c r="A60" s="85"/>
      <c r="B60" s="319"/>
      <c r="C60" s="352"/>
      <c r="D60" s="352"/>
      <c r="E60" s="352"/>
      <c r="F60" s="352"/>
      <c r="G60" s="352"/>
      <c r="H60" s="352"/>
      <c r="I60" s="40"/>
      <c r="J60" s="358"/>
      <c r="K60" s="360"/>
      <c r="L60" s="40"/>
      <c r="M60" s="40"/>
      <c r="N60" s="40"/>
      <c r="O60" s="362"/>
      <c r="P60" s="40"/>
      <c r="Q60" s="40"/>
      <c r="R60" s="40"/>
      <c r="S60" s="40"/>
      <c r="T60" s="40"/>
      <c r="U60" s="40"/>
      <c r="V60" s="40"/>
      <c r="W60" s="40"/>
      <c r="X60" s="40"/>
      <c r="Y60" s="40"/>
    </row>
    <row r="61" spans="1:25" ht="13.2" x14ac:dyDescent="0.25">
      <c r="A61" s="85"/>
      <c r="B61" s="319"/>
      <c r="C61" s="352"/>
      <c r="D61" s="352"/>
      <c r="E61" s="352"/>
      <c r="F61" s="352"/>
      <c r="G61" s="352"/>
      <c r="H61" s="352"/>
      <c r="J61" s="40"/>
      <c r="K61" s="40"/>
      <c r="L61" s="40"/>
      <c r="M61" s="40"/>
      <c r="N61" s="40"/>
      <c r="O61" s="40"/>
      <c r="P61" s="40"/>
      <c r="Q61" s="40"/>
      <c r="R61" s="40"/>
      <c r="S61" s="40"/>
      <c r="T61" s="40"/>
      <c r="U61" s="40"/>
      <c r="V61" s="40"/>
      <c r="W61" s="40"/>
      <c r="X61" s="40"/>
      <c r="Y61" s="40"/>
    </row>
    <row r="62" spans="1:25" ht="13.2" x14ac:dyDescent="0.25">
      <c r="A62" s="85"/>
      <c r="B62" s="40"/>
      <c r="C62" s="40"/>
      <c r="D62" s="40"/>
      <c r="E62" s="40"/>
      <c r="F62" s="40"/>
      <c r="G62" s="40"/>
      <c r="H62" s="40"/>
      <c r="I62" s="40"/>
      <c r="J62" s="40"/>
      <c r="K62" s="40"/>
      <c r="L62" s="40"/>
      <c r="M62" s="40"/>
      <c r="N62" s="40"/>
      <c r="O62" s="40"/>
      <c r="P62" s="40"/>
      <c r="Q62" s="40"/>
      <c r="R62" s="40"/>
      <c r="S62" s="40"/>
      <c r="T62" s="40"/>
      <c r="U62" s="40"/>
      <c r="V62" s="40"/>
      <c r="W62" s="40"/>
      <c r="X62" s="40"/>
      <c r="Y62" s="40"/>
    </row>
    <row r="63" spans="1:25" ht="13.2" x14ac:dyDescent="0.25">
      <c r="A63" s="85"/>
      <c r="B63" s="40"/>
      <c r="C63" s="40"/>
      <c r="D63" s="40"/>
      <c r="E63" s="40"/>
      <c r="F63" s="40"/>
      <c r="G63" s="40"/>
      <c r="H63" s="40"/>
      <c r="I63" s="40"/>
      <c r="J63" s="40"/>
      <c r="K63" s="40"/>
      <c r="L63" s="40"/>
      <c r="M63" s="40"/>
      <c r="N63" s="40"/>
      <c r="O63" s="40"/>
      <c r="P63" s="40"/>
      <c r="Q63" s="40"/>
      <c r="R63" s="40"/>
      <c r="S63" s="40"/>
      <c r="T63" s="40"/>
      <c r="U63" s="40"/>
      <c r="V63" s="40"/>
      <c r="W63" s="40"/>
      <c r="X63" s="40"/>
      <c r="Y63" s="40"/>
    </row>
    <row r="64" spans="1:25" ht="24.6" x14ac:dyDescent="0.25">
      <c r="A64" s="80"/>
      <c r="B64" s="348" t="s">
        <v>242</v>
      </c>
      <c r="C64" s="348"/>
      <c r="D64" s="348"/>
      <c r="E64" s="348"/>
      <c r="F64" s="348"/>
      <c r="G64" s="348"/>
      <c r="H64" s="348"/>
      <c r="I64" s="348"/>
      <c r="J64" s="348"/>
      <c r="K64" s="348"/>
      <c r="L64" s="348"/>
      <c r="M64" s="348"/>
      <c r="N64" s="348"/>
      <c r="O64" s="348"/>
      <c r="P64" s="40"/>
      <c r="Q64" s="40"/>
      <c r="R64" s="40"/>
      <c r="S64" s="40"/>
      <c r="T64" s="40"/>
      <c r="U64" s="40"/>
      <c r="V64" s="40"/>
      <c r="W64" s="40"/>
      <c r="X64" s="40"/>
      <c r="Y64" s="40"/>
    </row>
    <row r="65" spans="1:25" ht="24.6" x14ac:dyDescent="0.25">
      <c r="A65" s="81"/>
      <c r="B65" s="349"/>
      <c r="C65" s="349"/>
      <c r="D65" s="349"/>
      <c r="E65" s="349"/>
      <c r="F65" s="349"/>
      <c r="G65" s="349"/>
      <c r="H65" s="349"/>
      <c r="I65" s="349"/>
      <c r="J65" s="349"/>
      <c r="K65" s="349"/>
      <c r="L65" s="349"/>
      <c r="M65" s="349"/>
      <c r="N65" s="349"/>
      <c r="O65" s="349"/>
      <c r="P65" s="40"/>
      <c r="Q65" s="40"/>
      <c r="R65" s="40"/>
      <c r="S65" s="40"/>
      <c r="T65" s="40"/>
      <c r="U65" s="40"/>
      <c r="V65" s="40"/>
      <c r="W65" s="40"/>
      <c r="X65" s="40"/>
      <c r="Y65" s="40"/>
    </row>
    <row r="66" spans="1:25" ht="13.2" x14ac:dyDescent="0.25">
      <c r="A66" s="82"/>
      <c r="B66" s="41"/>
      <c r="C66" s="42" t="s">
        <v>66</v>
      </c>
      <c r="D66" s="42" t="s">
        <v>67</v>
      </c>
      <c r="E66" s="42" t="s">
        <v>68</v>
      </c>
      <c r="F66" s="42" t="s">
        <v>69</v>
      </c>
      <c r="G66" s="42" t="s">
        <v>70</v>
      </c>
      <c r="H66" s="42" t="s">
        <v>71</v>
      </c>
      <c r="I66" s="42" t="s">
        <v>72</v>
      </c>
      <c r="J66" s="42" t="s">
        <v>73</v>
      </c>
      <c r="K66" s="42" t="s">
        <v>74</v>
      </c>
      <c r="L66" s="42" t="s">
        <v>75</v>
      </c>
      <c r="M66" s="42" t="s">
        <v>76</v>
      </c>
      <c r="N66" s="42" t="s">
        <v>77</v>
      </c>
      <c r="O66" s="42" t="s">
        <v>236</v>
      </c>
      <c r="P66" s="40"/>
      <c r="Q66" s="40"/>
      <c r="R66" s="40"/>
      <c r="S66" s="40"/>
      <c r="T66" s="40"/>
      <c r="U66" s="40"/>
      <c r="V66" s="40"/>
      <c r="W66" s="40"/>
      <c r="X66" s="40"/>
      <c r="Y66" s="40"/>
    </row>
    <row r="67" spans="1:25" ht="13.2" x14ac:dyDescent="0.25">
      <c r="A67" s="82"/>
      <c r="B67" s="44" t="s">
        <v>194</v>
      </c>
      <c r="C67" s="45">
        <f>'3.1. My Income Tax Calculation'!$P$10/12</f>
        <v>71800000</v>
      </c>
      <c r="D67" s="45">
        <f>'3.1. My Income Tax Calculation'!$P$10/12</f>
        <v>71800000</v>
      </c>
      <c r="E67" s="45">
        <f>'3.1. My Income Tax Calculation'!$P$10/12</f>
        <v>71800000</v>
      </c>
      <c r="F67" s="45">
        <f>'3.1. My Income Tax Calculation'!$P$10/12</f>
        <v>71800000</v>
      </c>
      <c r="G67" s="45">
        <f>'3.1. My Income Tax Calculation'!$P$10/12</f>
        <v>71800000</v>
      </c>
      <c r="H67" s="45">
        <f>'3.1. My Income Tax Calculation'!$P$10/12</f>
        <v>71800000</v>
      </c>
      <c r="I67" s="45">
        <f>'3.1. My Income Tax Calculation'!$P$10/12</f>
        <v>71800000</v>
      </c>
      <c r="J67" s="45">
        <f>'3.1. My Income Tax Calculation'!$P$10/12</f>
        <v>71800000</v>
      </c>
      <c r="K67" s="45">
        <f>'3.1. My Income Tax Calculation'!$P$10/12</f>
        <v>71800000</v>
      </c>
      <c r="L67" s="45">
        <f>'3.1. My Income Tax Calculation'!$P$10/12</f>
        <v>71800000</v>
      </c>
      <c r="M67" s="45">
        <f>'3.1. My Income Tax Calculation'!$P$10/12</f>
        <v>71800000</v>
      </c>
      <c r="N67" s="45">
        <f>'3.1. My Income Tax Calculation'!$P$10/12</f>
        <v>71800000</v>
      </c>
      <c r="O67" s="45" t="s">
        <v>173</v>
      </c>
      <c r="P67" s="40"/>
      <c r="Q67" s="40"/>
      <c r="R67" s="40"/>
      <c r="S67" s="40"/>
      <c r="T67" s="40"/>
      <c r="U67" s="40"/>
      <c r="V67" s="40"/>
      <c r="W67" s="40"/>
      <c r="X67" s="40"/>
      <c r="Y67" s="40"/>
    </row>
    <row r="68" spans="1:25" ht="13.2" x14ac:dyDescent="0.25">
      <c r="A68" s="82"/>
      <c r="B68" s="46" t="s">
        <v>209</v>
      </c>
      <c r="C68" s="47">
        <f>C67</f>
        <v>71800000</v>
      </c>
      <c r="D68" s="47">
        <f t="shared" ref="D68:N68" si="28">D67</f>
        <v>71800000</v>
      </c>
      <c r="E68" s="47">
        <f t="shared" si="28"/>
        <v>71800000</v>
      </c>
      <c r="F68" s="47">
        <f t="shared" si="28"/>
        <v>71800000</v>
      </c>
      <c r="G68" s="47">
        <f t="shared" si="28"/>
        <v>71800000</v>
      </c>
      <c r="H68" s="47">
        <f t="shared" si="28"/>
        <v>71800000</v>
      </c>
      <c r="I68" s="47">
        <f t="shared" si="28"/>
        <v>71800000</v>
      </c>
      <c r="J68" s="47">
        <f t="shared" si="28"/>
        <v>71800000</v>
      </c>
      <c r="K68" s="47">
        <f t="shared" si="28"/>
        <v>71800000</v>
      </c>
      <c r="L68" s="47">
        <f t="shared" si="28"/>
        <v>71800000</v>
      </c>
      <c r="M68" s="47">
        <f t="shared" si="28"/>
        <v>71800000</v>
      </c>
      <c r="N68" s="47">
        <f t="shared" si="28"/>
        <v>71800000</v>
      </c>
      <c r="O68" s="47">
        <f>SUM(C68:N68)</f>
        <v>861600000</v>
      </c>
      <c r="P68" s="40"/>
      <c r="Q68" s="40"/>
      <c r="R68" s="40"/>
      <c r="S68" s="40"/>
      <c r="T68" s="40"/>
      <c r="U68" s="40"/>
      <c r="V68" s="40"/>
      <c r="W68" s="40"/>
      <c r="X68" s="40"/>
      <c r="Y68" s="40"/>
    </row>
    <row r="69" spans="1:25" ht="13.2" x14ac:dyDescent="0.25">
      <c r="A69" s="82"/>
      <c r="B69" s="52" t="s">
        <v>78</v>
      </c>
      <c r="C69" s="53" t="s">
        <v>173</v>
      </c>
      <c r="D69" s="53" t="s">
        <v>173</v>
      </c>
      <c r="E69" s="53" t="s">
        <v>173</v>
      </c>
      <c r="F69" s="53" t="s">
        <v>173</v>
      </c>
      <c r="G69" s="53" t="s">
        <v>173</v>
      </c>
      <c r="H69" s="53" t="s">
        <v>173</v>
      </c>
      <c r="I69" s="53" t="s">
        <v>173</v>
      </c>
      <c r="J69" s="53" t="s">
        <v>173</v>
      </c>
      <c r="K69" s="53" t="s">
        <v>173</v>
      </c>
      <c r="L69" s="53" t="s">
        <v>173</v>
      </c>
      <c r="M69" s="53" t="s">
        <v>173</v>
      </c>
      <c r="N69" s="53" t="s">
        <v>173</v>
      </c>
      <c r="O69" s="91" t="s">
        <v>173</v>
      </c>
      <c r="P69" s="40"/>
      <c r="Q69" s="40"/>
      <c r="R69" s="40"/>
      <c r="S69" s="40"/>
      <c r="T69" s="40"/>
      <c r="U69" s="40"/>
      <c r="V69" s="40"/>
      <c r="W69" s="40"/>
      <c r="X69" s="40"/>
      <c r="Y69" s="40"/>
    </row>
    <row r="70" spans="1:25" ht="13.2" x14ac:dyDescent="0.25">
      <c r="A70" s="82"/>
      <c r="B70" s="48" t="s">
        <v>79</v>
      </c>
      <c r="C70" s="54" t="s">
        <v>173</v>
      </c>
      <c r="D70" s="54" t="s">
        <v>173</v>
      </c>
      <c r="E70" s="54" t="s">
        <v>173</v>
      </c>
      <c r="F70" s="54" t="s">
        <v>173</v>
      </c>
      <c r="G70" s="54" t="s">
        <v>173</v>
      </c>
      <c r="H70" s="54" t="s">
        <v>173</v>
      </c>
      <c r="I70" s="54" t="s">
        <v>173</v>
      </c>
      <c r="J70" s="54" t="s">
        <v>173</v>
      </c>
      <c r="K70" s="54" t="s">
        <v>173</v>
      </c>
      <c r="L70" s="54" t="s">
        <v>173</v>
      </c>
      <c r="M70" s="54" t="s">
        <v>173</v>
      </c>
      <c r="N70" s="54" t="s">
        <v>173</v>
      </c>
      <c r="O70" s="91" t="s">
        <v>173</v>
      </c>
      <c r="P70" s="40"/>
      <c r="Q70" s="40"/>
      <c r="R70" s="40"/>
      <c r="S70" s="40"/>
      <c r="T70" s="40"/>
      <c r="U70" s="40"/>
      <c r="V70" s="40"/>
      <c r="W70" s="40"/>
      <c r="X70" s="40"/>
      <c r="Y70" s="40"/>
    </row>
    <row r="71" spans="1:25" ht="13.2" x14ac:dyDescent="0.25">
      <c r="A71" s="83"/>
      <c r="B71" s="49" t="s">
        <v>195</v>
      </c>
      <c r="C71" s="50">
        <f>C39*(1+K91)</f>
        <v>90325.55732674808</v>
      </c>
      <c r="D71" s="50">
        <v>0</v>
      </c>
      <c r="E71" s="50">
        <v>0</v>
      </c>
      <c r="F71" s="50">
        <v>0</v>
      </c>
      <c r="G71" s="50">
        <v>0</v>
      </c>
      <c r="H71" s="50">
        <v>0</v>
      </c>
      <c r="I71" s="50">
        <v>0</v>
      </c>
      <c r="J71" s="50">
        <v>0</v>
      </c>
      <c r="K71" s="50">
        <v>0</v>
      </c>
      <c r="L71" s="50">
        <v>0</v>
      </c>
      <c r="M71" s="50">
        <v>0</v>
      </c>
      <c r="N71" s="50">
        <v>0</v>
      </c>
      <c r="O71" s="90">
        <f t="shared" ref="O71:O84" si="29">SUM(C71:N71)</f>
        <v>90325.55732674808</v>
      </c>
      <c r="P71" s="40"/>
      <c r="Q71" s="40"/>
      <c r="R71" s="40"/>
      <c r="S71" s="40"/>
      <c r="T71" s="40"/>
      <c r="U71" s="40"/>
      <c r="V71" s="40"/>
      <c r="W71" s="40"/>
      <c r="X71" s="40"/>
      <c r="Y71" s="40"/>
    </row>
    <row r="72" spans="1:25" ht="13.2" x14ac:dyDescent="0.25">
      <c r="A72" s="82"/>
      <c r="B72" s="49" t="s">
        <v>202</v>
      </c>
      <c r="C72" s="50">
        <f t="shared" ref="C72:N72" si="30">C40*(1+$K$91)</f>
        <v>3421422.626013184</v>
      </c>
      <c r="D72" s="50">
        <f t="shared" si="30"/>
        <v>3421422.626013184</v>
      </c>
      <c r="E72" s="50">
        <f t="shared" si="30"/>
        <v>3421422.626013184</v>
      </c>
      <c r="F72" s="50">
        <f t="shared" si="30"/>
        <v>3421422.626013184</v>
      </c>
      <c r="G72" s="50">
        <f t="shared" si="30"/>
        <v>3421422.626013184</v>
      </c>
      <c r="H72" s="50">
        <f t="shared" si="30"/>
        <v>3421422.626013184</v>
      </c>
      <c r="I72" s="50">
        <f t="shared" si="30"/>
        <v>3421422.626013184</v>
      </c>
      <c r="J72" s="50">
        <f t="shared" si="30"/>
        <v>3421422.626013184</v>
      </c>
      <c r="K72" s="50">
        <f t="shared" si="30"/>
        <v>3421422.626013184</v>
      </c>
      <c r="L72" s="50">
        <f t="shared" si="30"/>
        <v>3421422.626013184</v>
      </c>
      <c r="M72" s="50">
        <f t="shared" si="30"/>
        <v>3421422.626013184</v>
      </c>
      <c r="N72" s="50">
        <f t="shared" si="30"/>
        <v>3421422.626013184</v>
      </c>
      <c r="O72" s="90">
        <f>SUM(C72:N72)</f>
        <v>41057071.512158193</v>
      </c>
      <c r="P72" s="40"/>
      <c r="Q72" s="40"/>
      <c r="R72" s="40"/>
      <c r="S72" s="40"/>
      <c r="T72" s="40"/>
      <c r="U72" s="40"/>
      <c r="V72" s="40"/>
      <c r="W72" s="40"/>
      <c r="X72" s="40"/>
      <c r="Y72" s="40"/>
    </row>
    <row r="73" spans="1:25" ht="13.2" x14ac:dyDescent="0.25">
      <c r="A73" s="82"/>
      <c r="B73" s="51" t="s">
        <v>178</v>
      </c>
      <c r="C73" s="50">
        <f t="shared" ref="C73:N73" si="31">C41*(1+$K$91)</f>
        <v>684284.52520263684</v>
      </c>
      <c r="D73" s="50">
        <f t="shared" si="31"/>
        <v>684284.52520263684</v>
      </c>
      <c r="E73" s="50">
        <f t="shared" si="31"/>
        <v>684284.52520263684</v>
      </c>
      <c r="F73" s="50">
        <f t="shared" si="31"/>
        <v>684284.52520263684</v>
      </c>
      <c r="G73" s="50">
        <f t="shared" si="31"/>
        <v>684284.52520263684</v>
      </c>
      <c r="H73" s="50">
        <f t="shared" si="31"/>
        <v>684284.52520263684</v>
      </c>
      <c r="I73" s="50">
        <f t="shared" si="31"/>
        <v>684284.52520263684</v>
      </c>
      <c r="J73" s="50">
        <f t="shared" si="31"/>
        <v>684284.52520263684</v>
      </c>
      <c r="K73" s="50">
        <f t="shared" si="31"/>
        <v>684284.52520263684</v>
      </c>
      <c r="L73" s="50">
        <f t="shared" si="31"/>
        <v>684284.52520263684</v>
      </c>
      <c r="M73" s="50">
        <f t="shared" si="31"/>
        <v>684284.52520263684</v>
      </c>
      <c r="N73" s="50">
        <f t="shared" si="31"/>
        <v>684284.52520263684</v>
      </c>
      <c r="O73" s="90">
        <f t="shared" si="29"/>
        <v>8211414.3024316402</v>
      </c>
      <c r="P73" s="40"/>
      <c r="Q73" s="40"/>
      <c r="R73" s="40"/>
      <c r="S73" s="40"/>
      <c r="T73" s="40"/>
      <c r="U73" s="40"/>
      <c r="V73" s="40"/>
      <c r="W73" s="40"/>
      <c r="X73" s="40"/>
      <c r="Y73" s="40"/>
    </row>
    <row r="74" spans="1:25" ht="13.2" x14ac:dyDescent="0.25">
      <c r="A74" s="84"/>
      <c r="B74" s="51" t="s">
        <v>179</v>
      </c>
      <c r="C74" s="50">
        <f t="shared" ref="C74:N74" si="32">C42*(1+$K$91)</f>
        <v>82114.143024316421</v>
      </c>
      <c r="D74" s="50">
        <f t="shared" si="32"/>
        <v>82114.143024316421</v>
      </c>
      <c r="E74" s="50">
        <f t="shared" si="32"/>
        <v>82114.143024316421</v>
      </c>
      <c r="F74" s="50">
        <f t="shared" si="32"/>
        <v>82114.143024316421</v>
      </c>
      <c r="G74" s="50">
        <f t="shared" si="32"/>
        <v>82114.143024316421</v>
      </c>
      <c r="H74" s="50">
        <f t="shared" si="32"/>
        <v>82114.143024316421</v>
      </c>
      <c r="I74" s="50">
        <f t="shared" si="32"/>
        <v>82114.143024316421</v>
      </c>
      <c r="J74" s="50">
        <f t="shared" si="32"/>
        <v>82114.143024316421</v>
      </c>
      <c r="K74" s="50">
        <f t="shared" si="32"/>
        <v>82114.143024316421</v>
      </c>
      <c r="L74" s="50">
        <f t="shared" si="32"/>
        <v>82114.143024316421</v>
      </c>
      <c r="M74" s="50">
        <f t="shared" si="32"/>
        <v>82114.143024316421</v>
      </c>
      <c r="N74" s="50">
        <f t="shared" si="32"/>
        <v>82114.143024316421</v>
      </c>
      <c r="O74" s="90">
        <f t="shared" si="29"/>
        <v>985369.716291797</v>
      </c>
      <c r="P74" s="40"/>
      <c r="Q74" s="40"/>
      <c r="R74" s="40"/>
      <c r="S74" s="40"/>
      <c r="T74" s="40"/>
      <c r="U74" s="40"/>
      <c r="V74" s="40"/>
      <c r="W74" s="40"/>
      <c r="X74" s="40"/>
      <c r="Y74" s="40"/>
    </row>
    <row r="75" spans="1:25" ht="13.2" x14ac:dyDescent="0.25">
      <c r="A75" s="82"/>
      <c r="B75" s="46" t="s">
        <v>207</v>
      </c>
      <c r="C75" s="47">
        <f>SUM(C71:C74)</f>
        <v>4278146.8515668847</v>
      </c>
      <c r="D75" s="47">
        <f t="shared" ref="D75:N75" si="33">SUM(D71:D74)</f>
        <v>4187821.2942401371</v>
      </c>
      <c r="E75" s="47">
        <f t="shared" si="33"/>
        <v>4187821.2942401371</v>
      </c>
      <c r="F75" s="47">
        <f t="shared" si="33"/>
        <v>4187821.2942401371</v>
      </c>
      <c r="G75" s="47">
        <f t="shared" si="33"/>
        <v>4187821.2942401371</v>
      </c>
      <c r="H75" s="47">
        <f t="shared" si="33"/>
        <v>4187821.2942401371</v>
      </c>
      <c r="I75" s="47">
        <f t="shared" si="33"/>
        <v>4187821.2942401371</v>
      </c>
      <c r="J75" s="47">
        <f t="shared" si="33"/>
        <v>4187821.2942401371</v>
      </c>
      <c r="K75" s="47">
        <f t="shared" si="33"/>
        <v>4187821.2942401371</v>
      </c>
      <c r="L75" s="47">
        <f t="shared" si="33"/>
        <v>4187821.2942401371</v>
      </c>
      <c r="M75" s="47">
        <f t="shared" si="33"/>
        <v>4187821.2942401371</v>
      </c>
      <c r="N75" s="47">
        <f t="shared" si="33"/>
        <v>4187821.2942401371</v>
      </c>
      <c r="O75" s="47">
        <f t="shared" si="29"/>
        <v>50344181.0882084</v>
      </c>
      <c r="P75" s="40"/>
      <c r="Q75" s="40"/>
      <c r="R75" s="40"/>
      <c r="S75" s="40"/>
      <c r="T75" s="40"/>
      <c r="U75" s="40"/>
      <c r="V75" s="40"/>
      <c r="W75" s="40"/>
      <c r="X75" s="40"/>
      <c r="Y75" s="40"/>
    </row>
    <row r="76" spans="1:25" ht="13.2" x14ac:dyDescent="0.25">
      <c r="A76" s="82"/>
      <c r="B76" s="55" t="s">
        <v>83</v>
      </c>
      <c r="C76" s="59" t="s">
        <v>173</v>
      </c>
      <c r="D76" s="59" t="s">
        <v>173</v>
      </c>
      <c r="E76" s="59" t="s">
        <v>173</v>
      </c>
      <c r="F76" s="59" t="s">
        <v>173</v>
      </c>
      <c r="G76" s="59" t="s">
        <v>173</v>
      </c>
      <c r="H76" s="59" t="s">
        <v>173</v>
      </c>
      <c r="I76" s="59" t="s">
        <v>173</v>
      </c>
      <c r="J76" s="59" t="s">
        <v>173</v>
      </c>
      <c r="K76" s="59" t="s">
        <v>173</v>
      </c>
      <c r="L76" s="59" t="s">
        <v>173</v>
      </c>
      <c r="M76" s="59" t="s">
        <v>173</v>
      </c>
      <c r="N76" s="59" t="s">
        <v>173</v>
      </c>
      <c r="O76" s="91" t="s">
        <v>173</v>
      </c>
      <c r="P76" s="40"/>
      <c r="Q76" s="40"/>
      <c r="R76" s="40"/>
      <c r="S76" s="40"/>
      <c r="T76" s="40"/>
      <c r="U76" s="40"/>
      <c r="V76" s="40"/>
      <c r="W76" s="40"/>
      <c r="X76" s="40"/>
      <c r="Y76" s="40"/>
    </row>
    <row r="77" spans="1:25" ht="13.2" x14ac:dyDescent="0.25">
      <c r="A77" s="82"/>
      <c r="B77" s="57" t="s">
        <v>210</v>
      </c>
      <c r="C77" s="89">
        <f t="shared" ref="C77:N77" si="34">C45*(1+$K$91)</f>
        <v>452996.3556841457</v>
      </c>
      <c r="D77" s="89">
        <f t="shared" si="34"/>
        <v>546059.0511117042</v>
      </c>
      <c r="E77" s="89">
        <f t="shared" si="34"/>
        <v>503633.41054914077</v>
      </c>
      <c r="F77" s="89">
        <f t="shared" si="34"/>
        <v>470787.75333941419</v>
      </c>
      <c r="G77" s="89">
        <f t="shared" si="34"/>
        <v>432467.81992806663</v>
      </c>
      <c r="H77" s="89">
        <f t="shared" si="34"/>
        <v>541953.34396048845</v>
      </c>
      <c r="I77" s="89">
        <f t="shared" si="34"/>
        <v>632278.90128723648</v>
      </c>
      <c r="J77" s="89">
        <f t="shared" si="34"/>
        <v>606276.08932953619</v>
      </c>
      <c r="K77" s="89">
        <f t="shared" si="34"/>
        <v>468050.61523860367</v>
      </c>
      <c r="L77" s="89">
        <f t="shared" si="34"/>
        <v>480367.73669225117</v>
      </c>
      <c r="M77" s="89">
        <f t="shared" si="34"/>
        <v>457102.06283536152</v>
      </c>
      <c r="N77" s="89">
        <f t="shared" si="34"/>
        <v>494053.42719630385</v>
      </c>
      <c r="O77" s="92">
        <f t="shared" si="29"/>
        <v>6086026.5671522524</v>
      </c>
      <c r="P77" s="40"/>
      <c r="Q77" s="40"/>
      <c r="R77" s="40"/>
      <c r="S77" s="40"/>
      <c r="T77" s="40"/>
      <c r="U77" s="40"/>
      <c r="V77" s="40"/>
      <c r="W77" s="40"/>
      <c r="X77" s="40"/>
      <c r="Y77" s="40"/>
    </row>
    <row r="78" spans="1:25" ht="13.2" x14ac:dyDescent="0.25">
      <c r="A78" s="82"/>
      <c r="B78" s="57" t="s">
        <v>203</v>
      </c>
      <c r="C78" s="89">
        <f t="shared" ref="C78:N78" si="35">C46*(1+$K$91)</f>
        <v>1635440.0152343018</v>
      </c>
      <c r="D78" s="89">
        <f t="shared" si="35"/>
        <v>1761348.3678715876</v>
      </c>
      <c r="E78" s="89">
        <f t="shared" si="35"/>
        <v>1974845.1397348102</v>
      </c>
      <c r="F78" s="89">
        <f t="shared" si="35"/>
        <v>1497214.5411433699</v>
      </c>
      <c r="G78" s="89">
        <f t="shared" si="35"/>
        <v>1992636.5373900789</v>
      </c>
      <c r="H78" s="89">
        <f t="shared" si="35"/>
        <v>1877676.7371560356</v>
      </c>
      <c r="I78" s="89">
        <f t="shared" si="35"/>
        <v>1723028.43446024</v>
      </c>
      <c r="J78" s="89">
        <f t="shared" si="35"/>
        <v>2048747.868456695</v>
      </c>
      <c r="K78" s="89">
        <f t="shared" si="35"/>
        <v>2002216.5207429158</v>
      </c>
      <c r="L78" s="89">
        <f t="shared" si="35"/>
        <v>2002216.5207429158</v>
      </c>
      <c r="M78" s="89">
        <f t="shared" si="35"/>
        <v>1556063.0103107966</v>
      </c>
      <c r="N78" s="89">
        <f t="shared" si="35"/>
        <v>1918733.8086681943</v>
      </c>
      <c r="O78" s="92">
        <f t="shared" si="29"/>
        <v>21990167.501911938</v>
      </c>
      <c r="P78" s="40"/>
      <c r="Q78" s="40"/>
      <c r="R78" s="40"/>
      <c r="S78" s="40"/>
      <c r="T78" s="40"/>
      <c r="U78" s="40"/>
      <c r="V78" s="40"/>
      <c r="W78" s="40"/>
      <c r="X78" s="40"/>
      <c r="Y78" s="40"/>
    </row>
    <row r="79" spans="1:25" ht="13.2" x14ac:dyDescent="0.25">
      <c r="A79" s="82"/>
      <c r="B79" s="58" t="s">
        <v>84</v>
      </c>
      <c r="C79" s="89">
        <f t="shared" ref="C79:N79" si="36">C47*(1+$K$91)</f>
        <v>1446577.4862783742</v>
      </c>
      <c r="D79" s="89">
        <f t="shared" si="36"/>
        <v>1579328.6841676862</v>
      </c>
      <c r="E79" s="89">
        <f t="shared" si="36"/>
        <v>1584802.9603693075</v>
      </c>
      <c r="F79" s="89">
        <f t="shared" si="36"/>
        <v>1636808.5842847074</v>
      </c>
      <c r="G79" s="89">
        <f t="shared" si="36"/>
        <v>1936525.2063234625</v>
      </c>
      <c r="H79" s="89">
        <f t="shared" si="36"/>
        <v>1675128.5176960551</v>
      </c>
      <c r="I79" s="89">
        <f t="shared" si="36"/>
        <v>1739451.2630651032</v>
      </c>
      <c r="J79" s="89">
        <f t="shared" si="36"/>
        <v>2002216.5207429158</v>
      </c>
      <c r="K79" s="89">
        <f t="shared" si="36"/>
        <v>1832513.9584926616</v>
      </c>
      <c r="L79" s="89">
        <f t="shared" si="36"/>
        <v>1829776.8203918512</v>
      </c>
      <c r="M79" s="89">
        <f t="shared" si="36"/>
        <v>1958422.311129947</v>
      </c>
      <c r="N79" s="89">
        <f t="shared" si="36"/>
        <v>1572485.8389156603</v>
      </c>
      <c r="O79" s="92">
        <f t="shared" si="29"/>
        <v>20794038.151857734</v>
      </c>
      <c r="P79" s="40"/>
      <c r="Q79" s="40"/>
      <c r="R79" s="40"/>
      <c r="S79" s="40"/>
      <c r="T79" s="40"/>
      <c r="U79" s="40"/>
      <c r="V79" s="40"/>
      <c r="W79" s="40"/>
      <c r="X79" s="40"/>
      <c r="Y79" s="40"/>
    </row>
    <row r="80" spans="1:25" ht="13.2" x14ac:dyDescent="0.25">
      <c r="A80" s="82"/>
      <c r="B80" s="57" t="s">
        <v>85</v>
      </c>
      <c r="C80" s="89">
        <f t="shared" ref="C80:N80" si="37">C48*(1+$K$91)</f>
        <v>1680602.7938976765</v>
      </c>
      <c r="D80" s="89">
        <f t="shared" si="37"/>
        <v>1438366.0719759432</v>
      </c>
      <c r="E80" s="89">
        <f t="shared" si="37"/>
        <v>1489003.1268409381</v>
      </c>
      <c r="F80" s="89">
        <f t="shared" si="37"/>
        <v>1512268.8006978275</v>
      </c>
      <c r="G80" s="89">
        <f t="shared" si="37"/>
        <v>2033693.6089022369</v>
      </c>
      <c r="H80" s="89">
        <f t="shared" si="37"/>
        <v>1493108.8339921539</v>
      </c>
      <c r="I80" s="89">
        <f t="shared" si="37"/>
        <v>1732608.4178130769</v>
      </c>
      <c r="J80" s="89">
        <f t="shared" si="37"/>
        <v>1371306.1885060845</v>
      </c>
      <c r="K80" s="89">
        <f t="shared" si="37"/>
        <v>1783245.4726780721</v>
      </c>
      <c r="L80" s="89">
        <f t="shared" si="37"/>
        <v>1416468.9671694583</v>
      </c>
      <c r="M80" s="89">
        <f t="shared" si="37"/>
        <v>1803774.0084341508</v>
      </c>
      <c r="N80" s="89">
        <f t="shared" si="37"/>
        <v>1717554.158258619</v>
      </c>
      <c r="O80" s="92">
        <f t="shared" si="29"/>
        <v>19472000.449166242</v>
      </c>
      <c r="P80" s="40"/>
      <c r="Q80" s="40"/>
      <c r="R80" s="40"/>
      <c r="S80" s="40"/>
      <c r="T80" s="40"/>
      <c r="U80" s="40"/>
      <c r="V80" s="40"/>
      <c r="W80" s="40"/>
      <c r="X80" s="40"/>
      <c r="Y80" s="40"/>
    </row>
    <row r="81" spans="1:25" ht="13.2" x14ac:dyDescent="0.25">
      <c r="A81" s="84"/>
      <c r="B81" s="58" t="s">
        <v>180</v>
      </c>
      <c r="C81" s="89">
        <f t="shared" ref="C81:N81" si="38">C49*(1+$K$91)</f>
        <v>1987162.2611884575</v>
      </c>
      <c r="D81" s="89">
        <f t="shared" si="38"/>
        <v>1961159.4492307575</v>
      </c>
      <c r="E81" s="89">
        <f t="shared" si="38"/>
        <v>1629965.7390326813</v>
      </c>
      <c r="F81" s="89">
        <f t="shared" si="38"/>
        <v>1799668.3012829355</v>
      </c>
      <c r="G81" s="89">
        <f t="shared" si="38"/>
        <v>1419206.1052702691</v>
      </c>
      <c r="H81" s="89">
        <f t="shared" si="38"/>
        <v>1577960.1151172807</v>
      </c>
      <c r="I81" s="89">
        <f t="shared" si="38"/>
        <v>1632702.8771334921</v>
      </c>
      <c r="J81" s="89">
        <f t="shared" si="38"/>
        <v>1935156.6372730574</v>
      </c>
      <c r="K81" s="89">
        <f t="shared" si="38"/>
        <v>1515005.9387986383</v>
      </c>
      <c r="L81" s="89">
        <f t="shared" si="38"/>
        <v>1621754.3247302494</v>
      </c>
      <c r="M81" s="89">
        <f t="shared" si="38"/>
        <v>1624491.4628310599</v>
      </c>
      <c r="N81" s="89">
        <f t="shared" si="38"/>
        <v>1583434.3913189019</v>
      </c>
      <c r="O81" s="92">
        <f t="shared" si="29"/>
        <v>20287667.603207782</v>
      </c>
      <c r="P81" s="40"/>
      <c r="Q81" s="40"/>
      <c r="R81" s="40"/>
      <c r="S81" s="40"/>
      <c r="T81" s="40"/>
      <c r="U81" s="40"/>
      <c r="V81" s="40"/>
      <c r="W81" s="40"/>
      <c r="X81" s="40"/>
      <c r="Y81" s="40"/>
    </row>
    <row r="82" spans="1:25" ht="13.2" x14ac:dyDescent="0.25">
      <c r="A82" s="84"/>
      <c r="B82" s="58" t="s">
        <v>86</v>
      </c>
      <c r="C82" s="89">
        <f t="shared" ref="C82:N82" si="39">C50*(1+$K$91)</f>
        <v>1446577.4862783742</v>
      </c>
      <c r="D82" s="89">
        <f t="shared" si="39"/>
        <v>1430154.6576735114</v>
      </c>
      <c r="E82" s="89">
        <f t="shared" si="39"/>
        <v>1387729.017110948</v>
      </c>
      <c r="F82" s="89">
        <f t="shared" si="39"/>
        <v>1810616.8536861774</v>
      </c>
      <c r="G82" s="89">
        <f t="shared" si="39"/>
        <v>1684708.501048892</v>
      </c>
      <c r="H82" s="89">
        <f t="shared" si="39"/>
        <v>1402783.2766654058</v>
      </c>
      <c r="I82" s="89">
        <f t="shared" si="39"/>
        <v>1902310.9800633308</v>
      </c>
      <c r="J82" s="89">
        <f t="shared" si="39"/>
        <v>1825671.1132406355</v>
      </c>
      <c r="K82" s="89">
        <f t="shared" si="39"/>
        <v>1469843.1601352643</v>
      </c>
      <c r="L82" s="89">
        <f t="shared" si="39"/>
        <v>1520480.2150002595</v>
      </c>
      <c r="M82" s="89">
        <f t="shared" si="39"/>
        <v>1848936.7870975251</v>
      </c>
      <c r="N82" s="89">
        <f t="shared" si="39"/>
        <v>1946105.1896762997</v>
      </c>
      <c r="O82" s="92">
        <f t="shared" si="29"/>
        <v>19675917.23767662</v>
      </c>
      <c r="P82" s="40"/>
      <c r="Q82" s="40"/>
      <c r="R82" s="40"/>
      <c r="S82" s="40"/>
      <c r="T82" s="40"/>
      <c r="U82" s="40"/>
      <c r="V82" s="40"/>
      <c r="W82" s="40"/>
      <c r="X82" s="40"/>
      <c r="Y82" s="40"/>
    </row>
    <row r="83" spans="1:25" ht="13.2" x14ac:dyDescent="0.25">
      <c r="A83" s="82"/>
      <c r="B83" s="46" t="s">
        <v>208</v>
      </c>
      <c r="C83" s="47">
        <f t="shared" ref="C83:N83" si="40">SUM(C77:C82)</f>
        <v>8649356.3985613305</v>
      </c>
      <c r="D83" s="47">
        <f t="shared" si="40"/>
        <v>8716416.2820311897</v>
      </c>
      <c r="E83" s="47">
        <f t="shared" si="40"/>
        <v>8569979.3936378248</v>
      </c>
      <c r="F83" s="47">
        <f t="shared" si="40"/>
        <v>8727364.8344344329</v>
      </c>
      <c r="G83" s="47">
        <f t="shared" si="40"/>
        <v>9499237.7788630053</v>
      </c>
      <c r="H83" s="47">
        <f t="shared" si="40"/>
        <v>8568610.8245874196</v>
      </c>
      <c r="I83" s="47">
        <f t="shared" si="40"/>
        <v>9362380.8738224804</v>
      </c>
      <c r="J83" s="47">
        <f t="shared" si="40"/>
        <v>9789374.4175489247</v>
      </c>
      <c r="K83" s="47">
        <f t="shared" si="40"/>
        <v>9070875.6660861559</v>
      </c>
      <c r="L83" s="47">
        <f t="shared" si="40"/>
        <v>8871064.5847269855</v>
      </c>
      <c r="M83" s="47">
        <f t="shared" si="40"/>
        <v>9248789.6426388398</v>
      </c>
      <c r="N83" s="47">
        <f t="shared" si="40"/>
        <v>9232366.8140339796</v>
      </c>
      <c r="O83" s="47">
        <f t="shared" si="29"/>
        <v>108305817.51097259</v>
      </c>
      <c r="P83" s="40"/>
      <c r="Q83" s="40"/>
      <c r="R83" s="40"/>
      <c r="S83" s="40"/>
      <c r="T83" s="40"/>
      <c r="U83" s="40"/>
      <c r="V83" s="40"/>
      <c r="W83" s="40"/>
      <c r="X83" s="40"/>
      <c r="Y83" s="40"/>
    </row>
    <row r="84" spans="1:25" ht="13.2" x14ac:dyDescent="0.25">
      <c r="A84" s="82"/>
      <c r="B84" s="60" t="s">
        <v>87</v>
      </c>
      <c r="C84" s="47">
        <f t="shared" ref="C84:N84" si="41">C75+C83</f>
        <v>12927503.250128215</v>
      </c>
      <c r="D84" s="47">
        <f t="shared" si="41"/>
        <v>12904237.576271327</v>
      </c>
      <c r="E84" s="47">
        <f t="shared" si="41"/>
        <v>12757800.687877962</v>
      </c>
      <c r="F84" s="47">
        <f t="shared" si="41"/>
        <v>12915186.12867457</v>
      </c>
      <c r="G84" s="47">
        <f t="shared" si="41"/>
        <v>13687059.073103143</v>
      </c>
      <c r="H84" s="47">
        <f t="shared" si="41"/>
        <v>12756432.118827557</v>
      </c>
      <c r="I84" s="47">
        <f t="shared" si="41"/>
        <v>13550202.168062618</v>
      </c>
      <c r="J84" s="47">
        <f t="shared" si="41"/>
        <v>13977195.711789062</v>
      </c>
      <c r="K84" s="47">
        <f t="shared" si="41"/>
        <v>13258696.960326293</v>
      </c>
      <c r="L84" s="47">
        <f t="shared" si="41"/>
        <v>13058885.878967123</v>
      </c>
      <c r="M84" s="47">
        <f t="shared" si="41"/>
        <v>13436610.936878977</v>
      </c>
      <c r="N84" s="47">
        <f t="shared" si="41"/>
        <v>13420188.108274117</v>
      </c>
      <c r="O84" s="47">
        <f t="shared" si="29"/>
        <v>158649998.59918094</v>
      </c>
      <c r="P84" s="40"/>
      <c r="Q84" s="40"/>
      <c r="R84" s="40"/>
      <c r="S84" s="40"/>
      <c r="T84" s="40"/>
      <c r="U84" s="40"/>
      <c r="V84" s="40"/>
      <c r="W84" s="40"/>
      <c r="X84" s="40"/>
      <c r="Y84" s="40"/>
    </row>
    <row r="85" spans="1:25" ht="13.2" x14ac:dyDescent="0.25">
      <c r="A85" s="84"/>
      <c r="B85" s="108" t="s">
        <v>238</v>
      </c>
      <c r="C85" s="119">
        <f>'5. Down payment savings'!$F$2</f>
        <v>22867024.153494995</v>
      </c>
      <c r="D85" s="119">
        <f>'5. Down payment savings'!$F$2</f>
        <v>22867024.153494995</v>
      </c>
      <c r="E85" s="119">
        <f>'5. Down payment savings'!$F$2</f>
        <v>22867024.153494995</v>
      </c>
      <c r="F85" s="119">
        <f>'5. Down payment savings'!$F$2</f>
        <v>22867024.153494995</v>
      </c>
      <c r="G85" s="119">
        <f>'5. Down payment savings'!$F$2</f>
        <v>22867024.153494995</v>
      </c>
      <c r="H85" s="119">
        <f>'5. Down payment savings'!$F$2</f>
        <v>22867024.153494995</v>
      </c>
      <c r="I85" s="119">
        <f>'5. Down payment savings'!$F$2</f>
        <v>22867024.153494995</v>
      </c>
      <c r="J85" s="119">
        <f>'5. Down payment savings'!$F$2</f>
        <v>22867024.153494995</v>
      </c>
      <c r="K85" s="119">
        <f>'5. Down payment savings'!$F$2</f>
        <v>22867024.153494995</v>
      </c>
      <c r="L85" s="119">
        <f>'5. Down payment savings'!$F$2</f>
        <v>22867024.153494995</v>
      </c>
      <c r="M85" s="119">
        <f>'5. Down payment savings'!$F$2</f>
        <v>22867024.153494995</v>
      </c>
      <c r="N85" s="119">
        <f>'5. Down payment savings'!$F$2</f>
        <v>22867024.153494995</v>
      </c>
      <c r="O85" s="109">
        <f>SUM(C85:N85)</f>
        <v>274404289.84193987</v>
      </c>
      <c r="P85" s="40"/>
      <c r="Q85" s="40"/>
      <c r="R85" s="40"/>
      <c r="S85" s="40"/>
      <c r="T85" s="40"/>
      <c r="U85" s="40"/>
      <c r="V85" s="40"/>
      <c r="W85" s="40"/>
      <c r="X85" s="40"/>
      <c r="Y85" s="40"/>
    </row>
    <row r="86" spans="1:25" ht="13.2" x14ac:dyDescent="0.25">
      <c r="A86" s="84"/>
      <c r="B86" s="108" t="s">
        <v>243</v>
      </c>
      <c r="C86" s="109">
        <f>-PMT(4%,2*12,277000000)</f>
        <v>18167552.281143721</v>
      </c>
      <c r="D86" s="109">
        <f t="shared" ref="D86:N86" si="42">-PMT(4%,2*12,277000000)</f>
        <v>18167552.281143721</v>
      </c>
      <c r="E86" s="109">
        <f t="shared" si="42"/>
        <v>18167552.281143721</v>
      </c>
      <c r="F86" s="109">
        <f t="shared" si="42"/>
        <v>18167552.281143721</v>
      </c>
      <c r="G86" s="109">
        <f t="shared" si="42"/>
        <v>18167552.281143721</v>
      </c>
      <c r="H86" s="109">
        <f t="shared" si="42"/>
        <v>18167552.281143721</v>
      </c>
      <c r="I86" s="109">
        <f t="shared" si="42"/>
        <v>18167552.281143721</v>
      </c>
      <c r="J86" s="109">
        <f t="shared" si="42"/>
        <v>18167552.281143721</v>
      </c>
      <c r="K86" s="109">
        <f t="shared" si="42"/>
        <v>18167552.281143721</v>
      </c>
      <c r="L86" s="109">
        <f t="shared" si="42"/>
        <v>18167552.281143721</v>
      </c>
      <c r="M86" s="109">
        <f t="shared" si="42"/>
        <v>18167552.281143721</v>
      </c>
      <c r="N86" s="109">
        <f t="shared" si="42"/>
        <v>18167552.281143721</v>
      </c>
      <c r="O86" s="109">
        <f>SUM(C86:N86)</f>
        <v>218010627.37372467</v>
      </c>
      <c r="P86" s="40"/>
      <c r="Q86" s="40"/>
      <c r="R86" s="40"/>
      <c r="S86" s="40"/>
      <c r="T86" s="40"/>
      <c r="U86" s="40"/>
      <c r="V86" s="40"/>
      <c r="W86" s="40"/>
      <c r="X86" s="40"/>
      <c r="Y86" s="40"/>
    </row>
    <row r="87" spans="1:25" ht="13.2" x14ac:dyDescent="0.25">
      <c r="A87" s="82"/>
      <c r="B87" s="108" t="s">
        <v>204</v>
      </c>
      <c r="C87" s="109">
        <f>$O84*(3/12)/12</f>
        <v>3305208.304149603</v>
      </c>
      <c r="D87" s="109">
        <f t="shared" ref="D87" si="43">$O84*(3/12)/12</f>
        <v>3305208.304149603</v>
      </c>
      <c r="E87" s="109">
        <f t="shared" ref="E87" si="44">$O84*(3/12)/12</f>
        <v>3305208.304149603</v>
      </c>
      <c r="F87" s="109">
        <f t="shared" ref="F87" si="45">$O84*(3/12)/12</f>
        <v>3305208.304149603</v>
      </c>
      <c r="G87" s="109">
        <f t="shared" ref="G87" si="46">$O84*(3/12)/12</f>
        <v>3305208.304149603</v>
      </c>
      <c r="H87" s="109">
        <f t="shared" ref="H87" si="47">$O84*(3/12)/12</f>
        <v>3305208.304149603</v>
      </c>
      <c r="I87" s="109">
        <f t="shared" ref="I87" si="48">$O84*(3/12)/12</f>
        <v>3305208.304149603</v>
      </c>
      <c r="J87" s="109">
        <f t="shared" ref="J87" si="49">$O84*(3/12)/12</f>
        <v>3305208.304149603</v>
      </c>
      <c r="K87" s="109">
        <f t="shared" ref="K87" si="50">$O84*(3/12)/12</f>
        <v>3305208.304149603</v>
      </c>
      <c r="L87" s="109">
        <f t="shared" ref="L87" si="51">$O84*(3/12)/12</f>
        <v>3305208.304149603</v>
      </c>
      <c r="M87" s="109">
        <f t="shared" ref="M87" si="52">$O84*(3/12)/12</f>
        <v>3305208.304149603</v>
      </c>
      <c r="N87" s="109">
        <f t="shared" ref="N87" si="53">$O84*(3/12)/12</f>
        <v>3305208.304149603</v>
      </c>
      <c r="O87" s="109">
        <f t="shared" ref="O87" si="54">SUM(C87:N87)</f>
        <v>39662499.649795234</v>
      </c>
      <c r="P87" s="43"/>
      <c r="Q87" s="43"/>
      <c r="R87" s="40"/>
      <c r="S87" s="40"/>
      <c r="T87" s="40"/>
      <c r="U87" s="40"/>
      <c r="V87" s="40"/>
      <c r="W87" s="40"/>
      <c r="X87" s="40"/>
      <c r="Y87" s="40"/>
    </row>
    <row r="88" spans="1:25" ht="13.2" x14ac:dyDescent="0.25">
      <c r="A88" s="82"/>
      <c r="B88" s="60" t="s">
        <v>206</v>
      </c>
      <c r="C88" s="61">
        <f>C68-C84-C87-C85-C86</f>
        <v>14532712.011083461</v>
      </c>
      <c r="D88" s="61">
        <f t="shared" ref="D88:N88" si="55">D68-D84-D87-D85-D86</f>
        <v>14555977.684940353</v>
      </c>
      <c r="E88" s="61">
        <f t="shared" si="55"/>
        <v>14702414.573333718</v>
      </c>
      <c r="F88" s="61">
        <f t="shared" si="55"/>
        <v>14545029.132537112</v>
      </c>
      <c r="G88" s="61">
        <f t="shared" si="55"/>
        <v>13773156.188108534</v>
      </c>
      <c r="H88" s="61">
        <f t="shared" si="55"/>
        <v>14703783.142384119</v>
      </c>
      <c r="I88" s="61">
        <f t="shared" si="55"/>
        <v>13910013.093149059</v>
      </c>
      <c r="J88" s="61">
        <f t="shared" si="55"/>
        <v>13483019.549422614</v>
      </c>
      <c r="K88" s="61">
        <f t="shared" si="55"/>
        <v>14201518.300885387</v>
      </c>
      <c r="L88" s="61">
        <f t="shared" si="55"/>
        <v>14401329.382244557</v>
      </c>
      <c r="M88" s="61">
        <f t="shared" si="55"/>
        <v>14023604.324332699</v>
      </c>
      <c r="N88" s="61">
        <f t="shared" si="55"/>
        <v>14040027.152937561</v>
      </c>
      <c r="O88" s="47">
        <f t="shared" ref="O88" si="56">SUM(C88:N88)</f>
        <v>170872584.53535917</v>
      </c>
      <c r="P88" s="43"/>
      <c r="Q88" s="43"/>
      <c r="R88" s="40"/>
      <c r="S88" s="40"/>
      <c r="T88" s="40"/>
      <c r="U88" s="40"/>
      <c r="V88" s="40"/>
      <c r="W88" s="40"/>
      <c r="X88" s="40"/>
      <c r="Y88" s="40"/>
    </row>
    <row r="89" spans="1:25" ht="13.2" x14ac:dyDescent="0.25">
      <c r="A89" s="85"/>
      <c r="B89" s="40"/>
      <c r="C89" s="40"/>
      <c r="D89" s="40"/>
      <c r="E89" s="40"/>
      <c r="F89" s="40"/>
      <c r="G89" s="40"/>
      <c r="H89" s="40"/>
      <c r="I89" s="40"/>
      <c r="J89" s="40"/>
      <c r="K89" s="40"/>
      <c r="L89" s="353" t="s">
        <v>217</v>
      </c>
      <c r="M89" s="354"/>
      <c r="N89" s="356">
        <f>SUM(C88:N88)+N57</f>
        <v>627021049.37458944</v>
      </c>
      <c r="O89" s="40"/>
      <c r="P89" s="40"/>
      <c r="Q89" s="40"/>
      <c r="R89" s="40"/>
      <c r="S89" s="40"/>
      <c r="T89" s="40"/>
      <c r="U89" s="40"/>
      <c r="V89" s="40"/>
      <c r="W89" s="40"/>
      <c r="X89" s="40"/>
      <c r="Y89" s="40"/>
    </row>
    <row r="90" spans="1:25" ht="13.2" x14ac:dyDescent="0.25">
      <c r="A90" s="85"/>
      <c r="B90" s="40"/>
      <c r="C90" s="40"/>
      <c r="D90" s="40"/>
      <c r="E90" s="40"/>
      <c r="F90" s="40"/>
      <c r="G90" s="40"/>
      <c r="H90" s="40"/>
      <c r="I90" s="40"/>
      <c r="J90" s="40"/>
      <c r="K90" s="40"/>
      <c r="L90" s="320"/>
      <c r="M90" s="355"/>
      <c r="N90" s="357"/>
      <c r="O90" s="40"/>
      <c r="P90" s="40"/>
      <c r="Q90" s="40"/>
      <c r="R90" s="40"/>
      <c r="S90" s="40"/>
      <c r="T90" s="40"/>
      <c r="U90" s="40"/>
      <c r="V90" s="40"/>
      <c r="W90" s="40"/>
      <c r="X90" s="40"/>
      <c r="Y90" s="40"/>
    </row>
    <row r="91" spans="1:25" ht="13.2" customHeight="1" x14ac:dyDescent="0.25">
      <c r="A91" s="85"/>
      <c r="B91" s="319" t="s">
        <v>632</v>
      </c>
      <c r="C91" s="363" t="s">
        <v>245</v>
      </c>
      <c r="D91" s="364"/>
      <c r="E91" s="364"/>
      <c r="F91" s="364"/>
      <c r="G91" s="364"/>
      <c r="H91" s="365"/>
      <c r="I91" s="40"/>
      <c r="J91" s="372" t="s">
        <v>231</v>
      </c>
      <c r="K91" s="373">
        <v>0.04</v>
      </c>
      <c r="L91" s="40"/>
      <c r="M91" s="40"/>
      <c r="N91" s="40"/>
      <c r="O91" s="361"/>
      <c r="P91" s="40"/>
      <c r="Q91" s="40"/>
      <c r="R91" s="40"/>
      <c r="S91" s="40"/>
      <c r="T91" s="40"/>
      <c r="U91" s="40"/>
      <c r="V91" s="40"/>
      <c r="W91" s="40"/>
      <c r="X91" s="40"/>
      <c r="Y91" s="40"/>
    </row>
    <row r="92" spans="1:25" ht="13.2" x14ac:dyDescent="0.25">
      <c r="A92" s="85"/>
      <c r="B92" s="319"/>
      <c r="C92" s="366"/>
      <c r="D92" s="367"/>
      <c r="E92" s="367"/>
      <c r="F92" s="367"/>
      <c r="G92" s="367"/>
      <c r="H92" s="368"/>
      <c r="I92" s="40"/>
      <c r="J92" s="372"/>
      <c r="K92" s="374"/>
      <c r="L92" s="40"/>
      <c r="M92" s="40"/>
      <c r="N92" s="40"/>
      <c r="O92" s="361"/>
      <c r="P92" s="40"/>
      <c r="Q92" s="40"/>
      <c r="R92" s="40"/>
      <c r="S92" s="40"/>
      <c r="T92" s="40"/>
      <c r="U92" s="40"/>
      <c r="V92" s="40"/>
      <c r="W92" s="40"/>
      <c r="X92" s="40"/>
      <c r="Y92" s="40"/>
    </row>
    <row r="93" spans="1:25" ht="13.2" customHeight="1" x14ac:dyDescent="0.25">
      <c r="A93" s="85"/>
      <c r="B93" s="319"/>
      <c r="C93" s="369"/>
      <c r="D93" s="370"/>
      <c r="E93" s="370"/>
      <c r="F93" s="370"/>
      <c r="G93" s="370"/>
      <c r="H93" s="371"/>
      <c r="I93" s="40"/>
      <c r="J93" s="40"/>
      <c r="K93" s="40"/>
      <c r="L93" s="40"/>
      <c r="M93" s="40"/>
      <c r="N93" s="40"/>
      <c r="O93" s="40"/>
      <c r="P93" s="40"/>
      <c r="Q93" s="40"/>
      <c r="R93" s="40"/>
      <c r="S93" s="40"/>
      <c r="T93" s="40"/>
      <c r="U93" s="40"/>
      <c r="V93" s="40"/>
      <c r="W93" s="40"/>
      <c r="X93" s="40"/>
      <c r="Y93" s="40"/>
    </row>
    <row r="94" spans="1:25" ht="13.2" x14ac:dyDescent="0.25">
      <c r="A94" s="85"/>
      <c r="B94" s="40"/>
      <c r="C94" s="40"/>
      <c r="D94" s="40"/>
      <c r="E94" s="40"/>
      <c r="F94" s="40"/>
      <c r="G94" s="40"/>
      <c r="H94" s="40"/>
      <c r="I94" s="40"/>
      <c r="J94" s="40"/>
      <c r="K94" s="40"/>
      <c r="L94" s="40"/>
      <c r="M94" s="40"/>
      <c r="N94" s="40"/>
      <c r="O94" s="40"/>
      <c r="P94" s="40"/>
      <c r="Q94" s="40"/>
      <c r="R94" s="40"/>
      <c r="S94" s="40"/>
      <c r="T94" s="40"/>
      <c r="U94" s="40"/>
      <c r="V94" s="40"/>
      <c r="W94" s="40"/>
      <c r="X94" s="40"/>
      <c r="Y94" s="40"/>
    </row>
    <row r="95" spans="1:25" ht="13.2" x14ac:dyDescent="0.25">
      <c r="A95" s="85"/>
      <c r="B95" s="40"/>
      <c r="C95" s="40"/>
      <c r="D95" s="40"/>
      <c r="E95" s="40"/>
      <c r="F95" s="40"/>
      <c r="G95" s="40"/>
      <c r="H95" s="40"/>
      <c r="I95" s="40"/>
      <c r="J95" s="40"/>
      <c r="K95" s="40"/>
      <c r="L95" s="40"/>
      <c r="M95" s="40"/>
      <c r="N95" s="40"/>
      <c r="O95" s="40"/>
      <c r="P95" s="40"/>
      <c r="Q95" s="40"/>
      <c r="R95" s="40"/>
      <c r="S95" s="40"/>
      <c r="T95" s="40"/>
      <c r="U95" s="40"/>
      <c r="V95" s="40"/>
      <c r="W95" s="40"/>
      <c r="X95" s="40"/>
      <c r="Y95" s="40"/>
    </row>
    <row r="96" spans="1:25" ht="24.6" x14ac:dyDescent="0.25">
      <c r="A96" s="80"/>
      <c r="B96" s="348" t="s">
        <v>247</v>
      </c>
      <c r="C96" s="348"/>
      <c r="D96" s="348"/>
      <c r="E96" s="348"/>
      <c r="F96" s="348"/>
      <c r="G96" s="348"/>
      <c r="H96" s="348"/>
      <c r="I96" s="348"/>
      <c r="J96" s="348"/>
      <c r="K96" s="348"/>
      <c r="L96" s="348"/>
      <c r="M96" s="348"/>
      <c r="N96" s="348"/>
      <c r="O96" s="348"/>
      <c r="P96" s="40"/>
      <c r="Q96" s="40"/>
      <c r="R96" s="40"/>
      <c r="S96" s="40"/>
      <c r="T96" s="40"/>
      <c r="U96" s="40"/>
      <c r="V96" s="40"/>
      <c r="W96" s="40"/>
      <c r="X96" s="40"/>
      <c r="Y96" s="40"/>
    </row>
    <row r="97" spans="1:25" ht="24.6" x14ac:dyDescent="0.25">
      <c r="A97" s="81"/>
      <c r="B97" s="349"/>
      <c r="C97" s="349"/>
      <c r="D97" s="349"/>
      <c r="E97" s="349"/>
      <c r="F97" s="349"/>
      <c r="G97" s="349"/>
      <c r="H97" s="349"/>
      <c r="I97" s="349"/>
      <c r="J97" s="349"/>
      <c r="K97" s="349"/>
      <c r="L97" s="349"/>
      <c r="M97" s="349"/>
      <c r="N97" s="349"/>
      <c r="O97" s="349"/>
      <c r="P97" s="40"/>
      <c r="Q97" s="40"/>
      <c r="R97" s="40"/>
      <c r="S97" s="40"/>
      <c r="T97" s="40"/>
      <c r="U97" s="40"/>
      <c r="V97" s="40"/>
      <c r="W97" s="40"/>
      <c r="X97" s="40"/>
      <c r="Y97" s="40"/>
    </row>
    <row r="98" spans="1:25" ht="13.2" x14ac:dyDescent="0.25">
      <c r="A98" s="82"/>
      <c r="B98" s="41"/>
      <c r="C98" s="42" t="s">
        <v>66</v>
      </c>
      <c r="D98" s="42" t="s">
        <v>67</v>
      </c>
      <c r="E98" s="42" t="s">
        <v>68</v>
      </c>
      <c r="F98" s="42" t="s">
        <v>69</v>
      </c>
      <c r="G98" s="42" t="s">
        <v>70</v>
      </c>
      <c r="H98" s="42" t="s">
        <v>71</v>
      </c>
      <c r="I98" s="42" t="s">
        <v>72</v>
      </c>
      <c r="J98" s="42" t="s">
        <v>73</v>
      </c>
      <c r="K98" s="42" t="s">
        <v>74</v>
      </c>
      <c r="L98" s="42" t="s">
        <v>75</v>
      </c>
      <c r="M98" s="42" t="s">
        <v>76</v>
      </c>
      <c r="N98" s="42" t="s">
        <v>77</v>
      </c>
      <c r="O98" s="42" t="s">
        <v>236</v>
      </c>
      <c r="P98" s="40"/>
      <c r="Q98" s="40"/>
      <c r="R98" s="40"/>
      <c r="S98" s="40"/>
      <c r="T98" s="40"/>
      <c r="U98" s="40"/>
      <c r="V98" s="40"/>
      <c r="W98" s="40"/>
      <c r="X98" s="40"/>
      <c r="Y98" s="40"/>
    </row>
    <row r="99" spans="1:25" ht="13.2" x14ac:dyDescent="0.25">
      <c r="A99" s="82"/>
      <c r="B99" s="44" t="s">
        <v>194</v>
      </c>
      <c r="C99" s="45">
        <f>'3.1. My Income Tax Calculation'!$P$11/12</f>
        <v>100962500</v>
      </c>
      <c r="D99" s="45">
        <f>'3.1. My Income Tax Calculation'!$P$11/12</f>
        <v>100962500</v>
      </c>
      <c r="E99" s="45">
        <f>'3.1. My Income Tax Calculation'!$P$11/12</f>
        <v>100962500</v>
      </c>
      <c r="F99" s="45">
        <f>'3.1. My Income Tax Calculation'!$P$11/12</f>
        <v>100962500</v>
      </c>
      <c r="G99" s="45">
        <f>'3.1. My Income Tax Calculation'!$P$11/12</f>
        <v>100962500</v>
      </c>
      <c r="H99" s="45">
        <f>'3.1. My Income Tax Calculation'!$P$11/12</f>
        <v>100962500</v>
      </c>
      <c r="I99" s="45">
        <f>'3.1. My Income Tax Calculation'!$P$11/12</f>
        <v>100962500</v>
      </c>
      <c r="J99" s="45">
        <f>'3.1. My Income Tax Calculation'!$P$11/12</f>
        <v>100962500</v>
      </c>
      <c r="K99" s="45">
        <f>'3.1. My Income Tax Calculation'!$P$11/12</f>
        <v>100962500</v>
      </c>
      <c r="L99" s="45">
        <f>'3.1. My Income Tax Calculation'!$P$11/12</f>
        <v>100962500</v>
      </c>
      <c r="M99" s="45">
        <f>'3.1. My Income Tax Calculation'!$P$11/12</f>
        <v>100962500</v>
      </c>
      <c r="N99" s="45">
        <f>'3.1. My Income Tax Calculation'!$P$11/12</f>
        <v>100962500</v>
      </c>
      <c r="O99" s="45" t="s">
        <v>173</v>
      </c>
      <c r="P99" s="40"/>
      <c r="Q99" s="40"/>
      <c r="R99" s="40"/>
      <c r="S99" s="40"/>
      <c r="T99" s="40"/>
      <c r="U99" s="40"/>
      <c r="V99" s="40"/>
      <c r="W99" s="40"/>
      <c r="X99" s="40"/>
      <c r="Y99" s="40"/>
    </row>
    <row r="100" spans="1:25" ht="13.2" x14ac:dyDescent="0.25">
      <c r="A100" s="82"/>
      <c r="B100" s="44" t="s">
        <v>246</v>
      </c>
      <c r="C100" s="45">
        <f>'3.2. My wife''s Tax Calc'!$P$11/12</f>
        <v>29176043.550173011</v>
      </c>
      <c r="D100" s="45">
        <f>'3.2. My wife''s Tax Calc'!$P$11/12</f>
        <v>29176043.550173011</v>
      </c>
      <c r="E100" s="45">
        <f>'3.2. My wife''s Tax Calc'!$P$11/12</f>
        <v>29176043.550173011</v>
      </c>
      <c r="F100" s="45">
        <f>'3.2. My wife''s Tax Calc'!$P$11/12</f>
        <v>29176043.550173011</v>
      </c>
      <c r="G100" s="45">
        <f>'3.2. My wife''s Tax Calc'!$P$11/12</f>
        <v>29176043.550173011</v>
      </c>
      <c r="H100" s="45">
        <f>'3.2. My wife''s Tax Calc'!$P$11/12</f>
        <v>29176043.550173011</v>
      </c>
      <c r="I100" s="45">
        <f>'3.2. My wife''s Tax Calc'!$P$11/12</f>
        <v>29176043.550173011</v>
      </c>
      <c r="J100" s="45">
        <f>'3.2. My wife''s Tax Calc'!$P$11/12</f>
        <v>29176043.550173011</v>
      </c>
      <c r="K100" s="45">
        <f>'3.2. My wife''s Tax Calc'!$P$11/12</f>
        <v>29176043.550173011</v>
      </c>
      <c r="L100" s="45">
        <f>'3.2. My wife''s Tax Calc'!$P$11/12</f>
        <v>29176043.550173011</v>
      </c>
      <c r="M100" s="45">
        <f>'3.2. My wife''s Tax Calc'!$P$11/12</f>
        <v>29176043.550173011</v>
      </c>
      <c r="N100" s="45">
        <f>'3.2. My wife''s Tax Calc'!$P$11/12</f>
        <v>29176043.550173011</v>
      </c>
      <c r="O100" s="45" t="s">
        <v>173</v>
      </c>
      <c r="P100" s="40"/>
      <c r="Q100" s="40"/>
      <c r="R100" s="40"/>
      <c r="S100" s="40"/>
      <c r="T100" s="40"/>
      <c r="U100" s="40"/>
      <c r="V100" s="40"/>
      <c r="W100" s="40"/>
      <c r="X100" s="40"/>
      <c r="Y100" s="40"/>
    </row>
    <row r="101" spans="1:25" ht="13.2" x14ac:dyDescent="0.25">
      <c r="A101" s="82"/>
      <c r="B101" s="46" t="s">
        <v>209</v>
      </c>
      <c r="C101" s="47">
        <f>SUM(C99:C100)</f>
        <v>130138543.55017301</v>
      </c>
      <c r="D101" s="47">
        <f t="shared" ref="D101:N101" si="57">SUM(D99:D100)</f>
        <v>130138543.55017301</v>
      </c>
      <c r="E101" s="47">
        <f t="shared" si="57"/>
        <v>130138543.55017301</v>
      </c>
      <c r="F101" s="47">
        <f t="shared" si="57"/>
        <v>130138543.55017301</v>
      </c>
      <c r="G101" s="47">
        <f t="shared" si="57"/>
        <v>130138543.55017301</v>
      </c>
      <c r="H101" s="47">
        <f t="shared" si="57"/>
        <v>130138543.55017301</v>
      </c>
      <c r="I101" s="47">
        <f t="shared" si="57"/>
        <v>130138543.55017301</v>
      </c>
      <c r="J101" s="47">
        <f t="shared" si="57"/>
        <v>130138543.55017301</v>
      </c>
      <c r="K101" s="47">
        <f t="shared" si="57"/>
        <v>130138543.55017301</v>
      </c>
      <c r="L101" s="47">
        <f t="shared" si="57"/>
        <v>130138543.55017301</v>
      </c>
      <c r="M101" s="47">
        <f t="shared" si="57"/>
        <v>130138543.55017301</v>
      </c>
      <c r="N101" s="47">
        <f t="shared" si="57"/>
        <v>130138543.55017301</v>
      </c>
      <c r="O101" s="47">
        <f>SUM(C101:N101)</f>
        <v>1561662522.6020763</v>
      </c>
      <c r="P101" s="40"/>
      <c r="Q101" s="40"/>
      <c r="R101" s="40"/>
      <c r="S101" s="40"/>
      <c r="T101" s="40"/>
      <c r="U101" s="40"/>
      <c r="V101" s="40"/>
      <c r="W101" s="40"/>
      <c r="X101" s="40"/>
      <c r="Y101" s="40"/>
    </row>
    <row r="102" spans="1:25" ht="13.2" x14ac:dyDescent="0.25">
      <c r="A102" s="82"/>
      <c r="B102" s="52" t="s">
        <v>78</v>
      </c>
      <c r="C102" s="53" t="s">
        <v>173</v>
      </c>
      <c r="D102" s="53" t="s">
        <v>173</v>
      </c>
      <c r="E102" s="53" t="s">
        <v>173</v>
      </c>
      <c r="F102" s="53" t="s">
        <v>173</v>
      </c>
      <c r="G102" s="53" t="s">
        <v>173</v>
      </c>
      <c r="H102" s="53" t="s">
        <v>173</v>
      </c>
      <c r="I102" s="53" t="s">
        <v>173</v>
      </c>
      <c r="J102" s="53" t="s">
        <v>173</v>
      </c>
      <c r="K102" s="53" t="s">
        <v>173</v>
      </c>
      <c r="L102" s="53" t="s">
        <v>173</v>
      </c>
      <c r="M102" s="53" t="s">
        <v>173</v>
      </c>
      <c r="N102" s="53" t="s">
        <v>173</v>
      </c>
      <c r="O102" s="91" t="s">
        <v>173</v>
      </c>
      <c r="P102" s="40"/>
      <c r="Q102" s="40"/>
      <c r="R102" s="40"/>
      <c r="S102" s="40"/>
      <c r="T102" s="40"/>
      <c r="U102" s="40"/>
      <c r="V102" s="40"/>
      <c r="W102" s="40"/>
      <c r="X102" s="40"/>
      <c r="Y102" s="40"/>
    </row>
    <row r="103" spans="1:25" ht="13.2" x14ac:dyDescent="0.25">
      <c r="A103" s="82"/>
      <c r="B103" s="48" t="s">
        <v>79</v>
      </c>
      <c r="C103" s="54" t="s">
        <v>173</v>
      </c>
      <c r="D103" s="54" t="s">
        <v>173</v>
      </c>
      <c r="E103" s="54" t="s">
        <v>173</v>
      </c>
      <c r="F103" s="54" t="s">
        <v>173</v>
      </c>
      <c r="G103" s="54" t="s">
        <v>173</v>
      </c>
      <c r="H103" s="54" t="s">
        <v>173</v>
      </c>
      <c r="I103" s="54" t="s">
        <v>173</v>
      </c>
      <c r="J103" s="54" t="s">
        <v>173</v>
      </c>
      <c r="K103" s="54" t="s">
        <v>173</v>
      </c>
      <c r="L103" s="54" t="s">
        <v>173</v>
      </c>
      <c r="M103" s="54" t="s">
        <v>173</v>
      </c>
      <c r="N103" s="54" t="s">
        <v>173</v>
      </c>
      <c r="O103" s="91" t="s">
        <v>173</v>
      </c>
      <c r="P103" s="40"/>
      <c r="Q103" s="40"/>
      <c r="R103" s="40"/>
      <c r="S103" s="40"/>
      <c r="T103" s="40"/>
      <c r="U103" s="40"/>
      <c r="V103" s="40"/>
      <c r="W103" s="40"/>
      <c r="X103" s="40"/>
      <c r="Y103" s="40"/>
    </row>
    <row r="104" spans="1:25" ht="13.2" x14ac:dyDescent="0.25">
      <c r="A104" s="83"/>
      <c r="B104" s="49" t="s">
        <v>195</v>
      </c>
      <c r="C104" s="50">
        <f>(C71*(1+K124))*2</f>
        <v>187877.15923963601</v>
      </c>
      <c r="D104" s="50">
        <v>0</v>
      </c>
      <c r="E104" s="50">
        <v>0</v>
      </c>
      <c r="F104" s="50">
        <v>0</v>
      </c>
      <c r="G104" s="50">
        <v>0</v>
      </c>
      <c r="H104" s="50">
        <v>0</v>
      </c>
      <c r="I104" s="50">
        <v>0</v>
      </c>
      <c r="J104" s="50">
        <v>0</v>
      </c>
      <c r="K104" s="50">
        <v>0</v>
      </c>
      <c r="L104" s="50">
        <v>0</v>
      </c>
      <c r="M104" s="50">
        <v>0</v>
      </c>
      <c r="N104" s="50">
        <v>0</v>
      </c>
      <c r="O104" s="90">
        <f t="shared" ref="O104:O117" si="58">SUM(C104:N104)</f>
        <v>187877.15923963601</v>
      </c>
      <c r="P104" s="40"/>
      <c r="Q104" s="40"/>
      <c r="R104" s="40"/>
      <c r="S104" s="40"/>
      <c r="T104" s="40"/>
      <c r="U104" s="40"/>
      <c r="V104" s="40"/>
      <c r="W104" s="40"/>
      <c r="X104" s="40"/>
      <c r="Y104" s="40"/>
    </row>
    <row r="105" spans="1:25" ht="13.2" x14ac:dyDescent="0.25">
      <c r="A105" s="82"/>
      <c r="B105" s="51" t="s">
        <v>178</v>
      </c>
      <c r="C105" s="50">
        <f t="shared" ref="C105:N105" si="59">(C73*(1+$K$91))*2</f>
        <v>1423311.8124214846</v>
      </c>
      <c r="D105" s="50">
        <f t="shared" si="59"/>
        <v>1423311.8124214846</v>
      </c>
      <c r="E105" s="50">
        <f t="shared" si="59"/>
        <v>1423311.8124214846</v>
      </c>
      <c r="F105" s="50">
        <f t="shared" si="59"/>
        <v>1423311.8124214846</v>
      </c>
      <c r="G105" s="50">
        <f t="shared" si="59"/>
        <v>1423311.8124214846</v>
      </c>
      <c r="H105" s="50">
        <f t="shared" si="59"/>
        <v>1423311.8124214846</v>
      </c>
      <c r="I105" s="50">
        <f t="shared" si="59"/>
        <v>1423311.8124214846</v>
      </c>
      <c r="J105" s="50">
        <f t="shared" si="59"/>
        <v>1423311.8124214846</v>
      </c>
      <c r="K105" s="50">
        <f t="shared" si="59"/>
        <v>1423311.8124214846</v>
      </c>
      <c r="L105" s="50">
        <f t="shared" si="59"/>
        <v>1423311.8124214846</v>
      </c>
      <c r="M105" s="50">
        <f t="shared" si="59"/>
        <v>1423311.8124214846</v>
      </c>
      <c r="N105" s="50">
        <f t="shared" si="59"/>
        <v>1423311.8124214846</v>
      </c>
      <c r="O105" s="90">
        <f t="shared" si="58"/>
        <v>17079741.749057811</v>
      </c>
      <c r="P105" s="40"/>
      <c r="Q105" s="40"/>
      <c r="R105" s="40"/>
      <c r="S105" s="40"/>
      <c r="T105" s="40"/>
      <c r="U105" s="40"/>
      <c r="V105" s="40"/>
      <c r="W105" s="40"/>
      <c r="X105" s="40"/>
      <c r="Y105" s="40"/>
    </row>
    <row r="106" spans="1:25" ht="13.2" x14ac:dyDescent="0.25">
      <c r="A106" s="84"/>
      <c r="B106" s="51" t="s">
        <v>248</v>
      </c>
      <c r="C106" s="50">
        <f t="shared" ref="C106:N106" si="60">(C74*(1+$K$91))*2</f>
        <v>170797.41749057817</v>
      </c>
      <c r="D106" s="50">
        <f t="shared" si="60"/>
        <v>170797.41749057817</v>
      </c>
      <c r="E106" s="50">
        <f t="shared" si="60"/>
        <v>170797.41749057817</v>
      </c>
      <c r="F106" s="50">
        <f t="shared" si="60"/>
        <v>170797.41749057817</v>
      </c>
      <c r="G106" s="50">
        <f t="shared" si="60"/>
        <v>170797.41749057817</v>
      </c>
      <c r="H106" s="50">
        <f t="shared" si="60"/>
        <v>170797.41749057817</v>
      </c>
      <c r="I106" s="50">
        <f t="shared" si="60"/>
        <v>170797.41749057817</v>
      </c>
      <c r="J106" s="50">
        <f t="shared" si="60"/>
        <v>170797.41749057817</v>
      </c>
      <c r="K106" s="50">
        <f t="shared" si="60"/>
        <v>170797.41749057817</v>
      </c>
      <c r="L106" s="50">
        <f t="shared" si="60"/>
        <v>170797.41749057817</v>
      </c>
      <c r="M106" s="50">
        <f t="shared" si="60"/>
        <v>170797.41749057817</v>
      </c>
      <c r="N106" s="50">
        <f t="shared" si="60"/>
        <v>170797.41749057817</v>
      </c>
      <c r="O106" s="90">
        <f t="shared" si="58"/>
        <v>2049569.0098869384</v>
      </c>
      <c r="P106" s="40"/>
      <c r="Q106" s="40"/>
      <c r="R106" s="40"/>
      <c r="S106" s="40"/>
      <c r="T106" s="40"/>
      <c r="U106" s="40"/>
      <c r="V106" s="40"/>
      <c r="W106" s="40"/>
      <c r="X106" s="40"/>
      <c r="Y106" s="40"/>
    </row>
    <row r="107" spans="1:25" ht="13.2" x14ac:dyDescent="0.25">
      <c r="A107" s="82"/>
      <c r="B107" s="46" t="s">
        <v>207</v>
      </c>
      <c r="C107" s="47">
        <f t="shared" ref="C107:N107" si="61">SUM(C104:C106)</f>
        <v>1781986.3891516989</v>
      </c>
      <c r="D107" s="47">
        <f t="shared" si="61"/>
        <v>1594109.2299120629</v>
      </c>
      <c r="E107" s="47">
        <f t="shared" si="61"/>
        <v>1594109.2299120629</v>
      </c>
      <c r="F107" s="47">
        <f t="shared" si="61"/>
        <v>1594109.2299120629</v>
      </c>
      <c r="G107" s="47">
        <f t="shared" si="61"/>
        <v>1594109.2299120629</v>
      </c>
      <c r="H107" s="47">
        <f t="shared" si="61"/>
        <v>1594109.2299120629</v>
      </c>
      <c r="I107" s="47">
        <f t="shared" si="61"/>
        <v>1594109.2299120629</v>
      </c>
      <c r="J107" s="47">
        <f t="shared" si="61"/>
        <v>1594109.2299120629</v>
      </c>
      <c r="K107" s="47">
        <f t="shared" si="61"/>
        <v>1594109.2299120629</v>
      </c>
      <c r="L107" s="47">
        <f t="shared" si="61"/>
        <v>1594109.2299120629</v>
      </c>
      <c r="M107" s="47">
        <f t="shared" si="61"/>
        <v>1594109.2299120629</v>
      </c>
      <c r="N107" s="47">
        <f t="shared" si="61"/>
        <v>1594109.2299120629</v>
      </c>
      <c r="O107" s="47">
        <f t="shared" si="58"/>
        <v>19317187.918184388</v>
      </c>
      <c r="P107" s="40"/>
      <c r="Q107" s="40"/>
      <c r="R107" s="40"/>
      <c r="S107" s="40"/>
      <c r="T107" s="40"/>
      <c r="U107" s="40"/>
      <c r="V107" s="40"/>
      <c r="W107" s="40"/>
      <c r="X107" s="40"/>
      <c r="Y107" s="40"/>
    </row>
    <row r="108" spans="1:25" ht="13.2" x14ac:dyDescent="0.25">
      <c r="A108" s="82"/>
      <c r="B108" s="55" t="s">
        <v>83</v>
      </c>
      <c r="C108" s="59" t="s">
        <v>173</v>
      </c>
      <c r="D108" s="59" t="s">
        <v>173</v>
      </c>
      <c r="E108" s="59" t="s">
        <v>173</v>
      </c>
      <c r="F108" s="59" t="s">
        <v>173</v>
      </c>
      <c r="G108" s="59" t="s">
        <v>173</v>
      </c>
      <c r="H108" s="59" t="s">
        <v>173</v>
      </c>
      <c r="I108" s="59" t="s">
        <v>173</v>
      </c>
      <c r="J108" s="59" t="s">
        <v>173</v>
      </c>
      <c r="K108" s="59" t="s">
        <v>173</v>
      </c>
      <c r="L108" s="59" t="s">
        <v>173</v>
      </c>
      <c r="M108" s="59" t="s">
        <v>173</v>
      </c>
      <c r="N108" s="59" t="s">
        <v>173</v>
      </c>
      <c r="O108" s="91" t="s">
        <v>173</v>
      </c>
      <c r="P108" s="40"/>
      <c r="Q108" s="40"/>
      <c r="R108" s="40"/>
      <c r="S108" s="40"/>
      <c r="T108" s="40"/>
      <c r="U108" s="40"/>
      <c r="V108" s="40"/>
      <c r="W108" s="40"/>
      <c r="X108" s="40"/>
      <c r="Y108" s="40"/>
    </row>
    <row r="109" spans="1:25" ht="13.2" x14ac:dyDescent="0.25">
      <c r="A109" s="82"/>
      <c r="B109" s="57" t="s">
        <v>210</v>
      </c>
      <c r="C109" s="89">
        <f t="shared" ref="C109:N109" si="62">(C77*(1+$K$91))*2</f>
        <v>942232.41982302314</v>
      </c>
      <c r="D109" s="89">
        <f t="shared" si="62"/>
        <v>1135802.8263123448</v>
      </c>
      <c r="E109" s="89">
        <f t="shared" si="62"/>
        <v>1047557.4939422128</v>
      </c>
      <c r="F109" s="89">
        <f t="shared" si="62"/>
        <v>979238.52694598155</v>
      </c>
      <c r="G109" s="89">
        <f t="shared" si="62"/>
        <v>899533.06545037858</v>
      </c>
      <c r="H109" s="89">
        <f t="shared" si="62"/>
        <v>1127262.955437816</v>
      </c>
      <c r="I109" s="89">
        <f t="shared" si="62"/>
        <v>1315140.114677452</v>
      </c>
      <c r="J109" s="89">
        <f t="shared" si="62"/>
        <v>1261054.2658054354</v>
      </c>
      <c r="K109" s="89">
        <f t="shared" si="62"/>
        <v>973545.27969629562</v>
      </c>
      <c r="L109" s="89">
        <f t="shared" si="62"/>
        <v>999164.89231988252</v>
      </c>
      <c r="M109" s="89">
        <f t="shared" si="62"/>
        <v>950772.29069755203</v>
      </c>
      <c r="N109" s="89">
        <f t="shared" si="62"/>
        <v>1027631.128568312</v>
      </c>
      <c r="O109" s="92">
        <f t="shared" si="58"/>
        <v>12658935.259676686</v>
      </c>
      <c r="P109" s="40"/>
      <c r="Q109" s="40"/>
      <c r="R109" s="40"/>
      <c r="S109" s="40"/>
      <c r="T109" s="40"/>
      <c r="U109" s="40"/>
      <c r="V109" s="40"/>
      <c r="W109" s="40"/>
      <c r="X109" s="40"/>
      <c r="Y109" s="40"/>
    </row>
    <row r="110" spans="1:25" ht="13.2" x14ac:dyDescent="0.25">
      <c r="A110" s="82"/>
      <c r="B110" s="57" t="s">
        <v>203</v>
      </c>
      <c r="C110" s="89">
        <f t="shared" ref="C110:N110" si="63">(C78*(1+$K$91))*2</f>
        <v>3401715.2316873479</v>
      </c>
      <c r="D110" s="89">
        <f t="shared" si="63"/>
        <v>3663604.6051729023</v>
      </c>
      <c r="E110" s="89">
        <f t="shared" si="63"/>
        <v>4107677.8906484055</v>
      </c>
      <c r="F110" s="89">
        <f t="shared" si="63"/>
        <v>3114206.2455782094</v>
      </c>
      <c r="G110" s="89">
        <f t="shared" si="63"/>
        <v>4144683.9977713642</v>
      </c>
      <c r="H110" s="89">
        <f t="shared" si="63"/>
        <v>3905567.6132845543</v>
      </c>
      <c r="I110" s="89">
        <f t="shared" si="63"/>
        <v>3583899.1436772994</v>
      </c>
      <c r="J110" s="89">
        <f t="shared" si="63"/>
        <v>4261395.5663899258</v>
      </c>
      <c r="K110" s="89">
        <f t="shared" si="63"/>
        <v>4164610.3631452648</v>
      </c>
      <c r="L110" s="89">
        <f t="shared" si="63"/>
        <v>4164610.3631452648</v>
      </c>
      <c r="M110" s="89">
        <f t="shared" si="63"/>
        <v>3236611.0614464572</v>
      </c>
      <c r="N110" s="89">
        <f t="shared" si="63"/>
        <v>3990966.3220298444</v>
      </c>
      <c r="O110" s="92">
        <f t="shared" si="58"/>
        <v>45739548.403976835</v>
      </c>
      <c r="P110" s="40"/>
      <c r="Q110" s="40"/>
      <c r="R110" s="40"/>
      <c r="S110" s="40"/>
      <c r="T110" s="40"/>
      <c r="U110" s="40"/>
      <c r="V110" s="40"/>
      <c r="W110" s="40"/>
      <c r="X110" s="40"/>
      <c r="Y110" s="40"/>
    </row>
    <row r="111" spans="1:25" ht="13.2" x14ac:dyDescent="0.25">
      <c r="A111" s="82"/>
      <c r="B111" s="58" t="s">
        <v>84</v>
      </c>
      <c r="C111" s="89">
        <f t="shared" ref="C111:N111" si="64">(C79*(1+$K$91))*2</f>
        <v>3008881.1714590183</v>
      </c>
      <c r="D111" s="89">
        <f t="shared" si="64"/>
        <v>3285003.6630687872</v>
      </c>
      <c r="E111" s="89">
        <f t="shared" si="64"/>
        <v>3296390.15756816</v>
      </c>
      <c r="F111" s="89">
        <f t="shared" si="64"/>
        <v>3404561.8553121914</v>
      </c>
      <c r="G111" s="89">
        <f t="shared" si="64"/>
        <v>4027972.4291528021</v>
      </c>
      <c r="H111" s="89">
        <f t="shared" si="64"/>
        <v>3484267.3168077949</v>
      </c>
      <c r="I111" s="89">
        <f t="shared" si="64"/>
        <v>3618058.6271754149</v>
      </c>
      <c r="J111" s="89">
        <f t="shared" si="64"/>
        <v>4164610.3631452648</v>
      </c>
      <c r="K111" s="89">
        <f t="shared" si="64"/>
        <v>3811629.0336647364</v>
      </c>
      <c r="L111" s="89">
        <f t="shared" si="64"/>
        <v>3805935.7864150507</v>
      </c>
      <c r="M111" s="89">
        <f t="shared" si="64"/>
        <v>4073518.40715029</v>
      </c>
      <c r="N111" s="89">
        <f t="shared" si="64"/>
        <v>3270770.5449445737</v>
      </c>
      <c r="O111" s="92">
        <f t="shared" si="58"/>
        <v>43251599.355864085</v>
      </c>
      <c r="P111" s="40"/>
      <c r="Q111" s="40"/>
      <c r="R111" s="40"/>
      <c r="S111" s="40"/>
      <c r="T111" s="40"/>
      <c r="U111" s="40"/>
      <c r="V111" s="40"/>
      <c r="W111" s="40"/>
      <c r="X111" s="40"/>
      <c r="Y111" s="40"/>
    </row>
    <row r="112" spans="1:25" ht="13.2" x14ac:dyDescent="0.25">
      <c r="A112" s="82"/>
      <c r="B112" s="57" t="s">
        <v>85</v>
      </c>
      <c r="C112" s="89">
        <f t="shared" ref="C112:N112" si="65">(C80*(1+$K$91))*2</f>
        <v>3495653.8113071672</v>
      </c>
      <c r="D112" s="89">
        <f t="shared" si="65"/>
        <v>2991801.4297099621</v>
      </c>
      <c r="E112" s="89">
        <f t="shared" si="65"/>
        <v>3097126.5038291514</v>
      </c>
      <c r="F112" s="89">
        <f t="shared" si="65"/>
        <v>3145519.1054514814</v>
      </c>
      <c r="G112" s="89">
        <f t="shared" si="65"/>
        <v>4230082.7065166533</v>
      </c>
      <c r="H112" s="89">
        <f t="shared" si="65"/>
        <v>3105666.3747036802</v>
      </c>
      <c r="I112" s="89">
        <f t="shared" si="65"/>
        <v>3603825.5090512</v>
      </c>
      <c r="J112" s="89">
        <f t="shared" si="65"/>
        <v>2852316.8720926559</v>
      </c>
      <c r="K112" s="89">
        <f t="shared" si="65"/>
        <v>3709150.5831703902</v>
      </c>
      <c r="L112" s="89">
        <f t="shared" si="65"/>
        <v>2946255.4517124733</v>
      </c>
      <c r="M112" s="89">
        <f t="shared" si="65"/>
        <v>3751849.9375430341</v>
      </c>
      <c r="N112" s="89">
        <f t="shared" si="65"/>
        <v>3572512.6491779275</v>
      </c>
      <c r="O112" s="92">
        <f t="shared" si="58"/>
        <v>40501760.934265777</v>
      </c>
      <c r="P112" s="40"/>
      <c r="Q112" s="40"/>
      <c r="R112" s="40"/>
      <c r="S112" s="40"/>
      <c r="T112" s="40"/>
      <c r="U112" s="40"/>
      <c r="V112" s="40"/>
      <c r="W112" s="40"/>
      <c r="X112" s="40"/>
      <c r="Y112" s="40"/>
    </row>
    <row r="113" spans="1:25" ht="13.2" x14ac:dyDescent="0.25">
      <c r="A113" s="84"/>
      <c r="B113" s="58" t="s">
        <v>249</v>
      </c>
      <c r="C113" s="89">
        <f t="shared" ref="C113:N113" si="66">C101*5%</f>
        <v>6506927.1775086513</v>
      </c>
      <c r="D113" s="89">
        <f t="shared" si="66"/>
        <v>6506927.1775086513</v>
      </c>
      <c r="E113" s="89">
        <f t="shared" si="66"/>
        <v>6506927.1775086513</v>
      </c>
      <c r="F113" s="89">
        <f t="shared" si="66"/>
        <v>6506927.1775086513</v>
      </c>
      <c r="G113" s="89">
        <f t="shared" si="66"/>
        <v>6506927.1775086513</v>
      </c>
      <c r="H113" s="89">
        <f t="shared" si="66"/>
        <v>6506927.1775086513</v>
      </c>
      <c r="I113" s="89">
        <f t="shared" si="66"/>
        <v>6506927.1775086513</v>
      </c>
      <c r="J113" s="89">
        <f t="shared" si="66"/>
        <v>6506927.1775086513</v>
      </c>
      <c r="K113" s="89">
        <f t="shared" si="66"/>
        <v>6506927.1775086513</v>
      </c>
      <c r="L113" s="89">
        <f t="shared" si="66"/>
        <v>6506927.1775086513</v>
      </c>
      <c r="M113" s="89">
        <f t="shared" si="66"/>
        <v>6506927.1775086513</v>
      </c>
      <c r="N113" s="89">
        <f t="shared" si="66"/>
        <v>6506927.1775086513</v>
      </c>
      <c r="O113" s="92">
        <f t="shared" si="58"/>
        <v>78083126.130103812</v>
      </c>
      <c r="P113" s="40"/>
      <c r="Q113" s="40"/>
      <c r="R113" s="40"/>
      <c r="S113" s="40"/>
      <c r="T113" s="40"/>
      <c r="U113" s="40"/>
      <c r="V113" s="40"/>
      <c r="W113" s="40"/>
      <c r="X113" s="40"/>
      <c r="Y113" s="40"/>
    </row>
    <row r="114" spans="1:25" ht="13.2" x14ac:dyDescent="0.25">
      <c r="A114" s="84"/>
      <c r="B114" s="58" t="s">
        <v>180</v>
      </c>
      <c r="C114" s="89">
        <f t="shared" ref="C114:N114" si="67">(C81*(1+$K$91))*2</f>
        <v>4133297.5032719919</v>
      </c>
      <c r="D114" s="89">
        <f t="shared" si="67"/>
        <v>4079211.6543999757</v>
      </c>
      <c r="E114" s="89">
        <f t="shared" si="67"/>
        <v>3390328.7371879774</v>
      </c>
      <c r="F114" s="89">
        <f t="shared" si="67"/>
        <v>3743310.0666685062</v>
      </c>
      <c r="G114" s="89">
        <f t="shared" si="67"/>
        <v>2951948.6989621599</v>
      </c>
      <c r="H114" s="89">
        <f t="shared" si="67"/>
        <v>3282157.0394439441</v>
      </c>
      <c r="I114" s="89">
        <f t="shared" si="67"/>
        <v>3396021.9844376636</v>
      </c>
      <c r="J114" s="89">
        <f t="shared" si="67"/>
        <v>4025125.8055279595</v>
      </c>
      <c r="K114" s="89">
        <f t="shared" si="67"/>
        <v>3151212.3527011676</v>
      </c>
      <c r="L114" s="89">
        <f t="shared" si="67"/>
        <v>3373248.9954389189</v>
      </c>
      <c r="M114" s="89">
        <f t="shared" si="67"/>
        <v>3378942.2426886046</v>
      </c>
      <c r="N114" s="89">
        <f t="shared" si="67"/>
        <v>3293543.533943316</v>
      </c>
      <c r="O114" s="92">
        <f t="shared" si="58"/>
        <v>42198348.614672191</v>
      </c>
      <c r="P114" s="40"/>
      <c r="Q114" s="40"/>
      <c r="R114" s="40"/>
      <c r="S114" s="40"/>
      <c r="T114" s="40"/>
      <c r="U114" s="40"/>
      <c r="V114" s="40"/>
      <c r="W114" s="40"/>
      <c r="X114" s="40"/>
      <c r="Y114" s="40"/>
    </row>
    <row r="115" spans="1:25" ht="13.2" x14ac:dyDescent="0.25">
      <c r="A115" s="84"/>
      <c r="B115" s="58" t="s">
        <v>86</v>
      </c>
      <c r="C115" s="89">
        <f t="shared" ref="C115:N115" si="68">(C82*(1+$K$91))*2</f>
        <v>3008881.1714590183</v>
      </c>
      <c r="D115" s="89">
        <f t="shared" si="68"/>
        <v>2974721.6879609036</v>
      </c>
      <c r="E115" s="89">
        <f t="shared" si="68"/>
        <v>2886476.3555907719</v>
      </c>
      <c r="F115" s="89">
        <f t="shared" si="68"/>
        <v>3766083.055667249</v>
      </c>
      <c r="G115" s="89">
        <f t="shared" si="68"/>
        <v>3504193.6821816955</v>
      </c>
      <c r="H115" s="89">
        <f t="shared" si="68"/>
        <v>2917789.2154640444</v>
      </c>
      <c r="I115" s="89">
        <f t="shared" si="68"/>
        <v>3956806.8385317284</v>
      </c>
      <c r="J115" s="89">
        <f t="shared" si="68"/>
        <v>3797395.915540522</v>
      </c>
      <c r="K115" s="89">
        <f t="shared" si="68"/>
        <v>3057273.7730813497</v>
      </c>
      <c r="L115" s="89">
        <f t="shared" si="68"/>
        <v>3162598.8472005399</v>
      </c>
      <c r="M115" s="89">
        <f t="shared" si="68"/>
        <v>3845788.5171628525</v>
      </c>
      <c r="N115" s="89">
        <f t="shared" si="68"/>
        <v>4047898.7945267037</v>
      </c>
      <c r="O115" s="92">
        <f t="shared" si="58"/>
        <v>40925907.854367375</v>
      </c>
      <c r="P115" s="40"/>
      <c r="Q115" s="40"/>
      <c r="R115" s="40"/>
      <c r="S115" s="40"/>
      <c r="T115" s="40"/>
      <c r="U115" s="40"/>
      <c r="V115" s="40"/>
      <c r="W115" s="40"/>
      <c r="X115" s="40"/>
      <c r="Y115" s="40"/>
    </row>
    <row r="116" spans="1:25" ht="13.2" x14ac:dyDescent="0.25">
      <c r="A116" s="82"/>
      <c r="B116" s="46" t="s">
        <v>208</v>
      </c>
      <c r="C116" s="47">
        <f>SUM(C109:C115)</f>
        <v>24497588.486516219</v>
      </c>
      <c r="D116" s="47">
        <f t="shared" ref="D116:N116" si="69">SUM(D109:D115)</f>
        <v>24637073.044133529</v>
      </c>
      <c r="E116" s="47">
        <f t="shared" si="69"/>
        <v>24332484.316275332</v>
      </c>
      <c r="F116" s="47">
        <f t="shared" si="69"/>
        <v>24659846.03313227</v>
      </c>
      <c r="G116" s="47">
        <f t="shared" si="69"/>
        <v>26265341.757543705</v>
      </c>
      <c r="H116" s="47">
        <f t="shared" si="69"/>
        <v>24329637.692650486</v>
      </c>
      <c r="I116" s="47">
        <f t="shared" si="69"/>
        <v>25980679.39505941</v>
      </c>
      <c r="J116" s="47">
        <f t="shared" si="69"/>
        <v>26868825.966010414</v>
      </c>
      <c r="K116" s="47">
        <f t="shared" si="69"/>
        <v>25374348.562967859</v>
      </c>
      <c r="L116" s="47">
        <f t="shared" si="69"/>
        <v>24958741.513740782</v>
      </c>
      <c r="M116" s="47">
        <f t="shared" si="69"/>
        <v>25744409.63419744</v>
      </c>
      <c r="N116" s="47">
        <f t="shared" si="69"/>
        <v>25710250.150699325</v>
      </c>
      <c r="O116" s="47">
        <f t="shared" si="58"/>
        <v>303359226.55292678</v>
      </c>
      <c r="P116" s="40"/>
      <c r="Q116" s="40"/>
      <c r="R116" s="40"/>
      <c r="S116" s="40"/>
      <c r="T116" s="40"/>
      <c r="U116" s="40"/>
      <c r="V116" s="40"/>
      <c r="W116" s="40"/>
      <c r="X116" s="40"/>
      <c r="Y116" s="40"/>
    </row>
    <row r="117" spans="1:25" ht="13.2" x14ac:dyDescent="0.25">
      <c r="A117" s="82"/>
      <c r="B117" s="60" t="s">
        <v>87</v>
      </c>
      <c r="C117" s="47">
        <f>C107+C116</f>
        <v>26279574.875667918</v>
      </c>
      <c r="D117" s="47">
        <f t="shared" ref="D117:N117" si="70">D107+D116</f>
        <v>26231182.27404559</v>
      </c>
      <c r="E117" s="47">
        <f t="shared" si="70"/>
        <v>25926593.546187393</v>
      </c>
      <c r="F117" s="47">
        <f t="shared" si="70"/>
        <v>26253955.263044331</v>
      </c>
      <c r="G117" s="47">
        <f t="shared" si="70"/>
        <v>27859450.987455767</v>
      </c>
      <c r="H117" s="47">
        <f t="shared" si="70"/>
        <v>25923746.922562547</v>
      </c>
      <c r="I117" s="47">
        <f t="shared" si="70"/>
        <v>27574788.624971472</v>
      </c>
      <c r="J117" s="47">
        <f t="shared" si="70"/>
        <v>28462935.195922475</v>
      </c>
      <c r="K117" s="47">
        <f t="shared" si="70"/>
        <v>26968457.79287992</v>
      </c>
      <c r="L117" s="47">
        <f t="shared" si="70"/>
        <v>26552850.743652843</v>
      </c>
      <c r="M117" s="47">
        <f t="shared" si="70"/>
        <v>27338518.864109501</v>
      </c>
      <c r="N117" s="47">
        <f t="shared" si="70"/>
        <v>27304359.380611386</v>
      </c>
      <c r="O117" s="47">
        <f t="shared" si="58"/>
        <v>322676414.47111112</v>
      </c>
      <c r="P117" s="40"/>
      <c r="Q117" s="40"/>
      <c r="R117" s="40"/>
      <c r="S117" s="40"/>
      <c r="T117" s="40"/>
      <c r="U117" s="40"/>
      <c r="V117" s="40"/>
      <c r="W117" s="40"/>
      <c r="X117" s="40"/>
      <c r="Y117" s="40"/>
    </row>
    <row r="118" spans="1:25" ht="13.2" x14ac:dyDescent="0.25">
      <c r="A118" s="82"/>
      <c r="B118" s="108" t="s">
        <v>204</v>
      </c>
      <c r="C118" s="109">
        <f>$O117*(3/12)/12</f>
        <v>6722425.3014814816</v>
      </c>
      <c r="D118" s="109">
        <f t="shared" ref="D118" si="71">$O117*(3/12)/12</f>
        <v>6722425.3014814816</v>
      </c>
      <c r="E118" s="109">
        <f t="shared" ref="E118" si="72">$O117*(3/12)/12</f>
        <v>6722425.3014814816</v>
      </c>
      <c r="F118" s="109">
        <f t="shared" ref="F118" si="73">$O117*(3/12)/12</f>
        <v>6722425.3014814816</v>
      </c>
      <c r="G118" s="109">
        <f t="shared" ref="G118" si="74">$O117*(3/12)/12</f>
        <v>6722425.3014814816</v>
      </c>
      <c r="H118" s="109">
        <f t="shared" ref="H118" si="75">$O117*(3/12)/12</f>
        <v>6722425.3014814816</v>
      </c>
      <c r="I118" s="109">
        <f t="shared" ref="I118" si="76">$O117*(3/12)/12</f>
        <v>6722425.3014814816</v>
      </c>
      <c r="J118" s="109">
        <f t="shared" ref="J118" si="77">$O117*(3/12)/12</f>
        <v>6722425.3014814816</v>
      </c>
      <c r="K118" s="109">
        <f t="shared" ref="K118" si="78">$O117*(3/12)/12</f>
        <v>6722425.3014814816</v>
      </c>
      <c r="L118" s="109">
        <f t="shared" ref="L118" si="79">$O117*(3/12)/12</f>
        <v>6722425.3014814816</v>
      </c>
      <c r="M118" s="109">
        <f t="shared" ref="M118" si="80">$O117*(3/12)/12</f>
        <v>6722425.3014814816</v>
      </c>
      <c r="N118" s="109">
        <f t="shared" ref="N118" si="81">$O117*(3/12)/12</f>
        <v>6722425.3014814816</v>
      </c>
      <c r="O118" s="109">
        <f t="shared" ref="O118:O120" si="82">SUM(C118:N118)</f>
        <v>80669103.61777781</v>
      </c>
      <c r="P118" s="43"/>
      <c r="Q118" s="43"/>
      <c r="R118" s="40"/>
      <c r="S118" s="40"/>
      <c r="T118" s="40"/>
      <c r="U118" s="40"/>
      <c r="V118" s="40"/>
      <c r="W118" s="40"/>
      <c r="X118" s="40"/>
      <c r="Y118" s="40"/>
    </row>
    <row r="119" spans="1:25" ht="13.2" x14ac:dyDescent="0.25">
      <c r="A119" s="82"/>
      <c r="B119" s="108" t="s">
        <v>82</v>
      </c>
      <c r="C119" s="109">
        <f>'6. Mortgage payment'!$C$7</f>
        <v>28168245.060798287</v>
      </c>
      <c r="D119" s="109">
        <f>'6. Mortgage payment'!$C$7</f>
        <v>28168245.060798287</v>
      </c>
      <c r="E119" s="109">
        <f>'6. Mortgage payment'!$C$7</f>
        <v>28168245.060798287</v>
      </c>
      <c r="F119" s="109">
        <f>'6. Mortgage payment'!$C$7</f>
        <v>28168245.060798287</v>
      </c>
      <c r="G119" s="109">
        <f>'6. Mortgage payment'!$C$7</f>
        <v>28168245.060798287</v>
      </c>
      <c r="H119" s="109">
        <f>'6. Mortgage payment'!$C$7</f>
        <v>28168245.060798287</v>
      </c>
      <c r="I119" s="109">
        <f>'6. Mortgage payment'!$C$7</f>
        <v>28168245.060798287</v>
      </c>
      <c r="J119" s="109">
        <f>'6. Mortgage payment'!$C$7</f>
        <v>28168245.060798287</v>
      </c>
      <c r="K119" s="109">
        <f>'6. Mortgage payment'!$C$7</f>
        <v>28168245.060798287</v>
      </c>
      <c r="L119" s="109">
        <f>'6. Mortgage payment'!$C$7</f>
        <v>28168245.060798287</v>
      </c>
      <c r="M119" s="109">
        <f>'6. Mortgage payment'!$C$7</f>
        <v>28168245.060798287</v>
      </c>
      <c r="N119" s="109">
        <f>'6. Mortgage payment'!$C$7</f>
        <v>28168245.060798287</v>
      </c>
      <c r="O119" s="109">
        <f t="shared" si="82"/>
        <v>338018940.72957945</v>
      </c>
      <c r="P119" s="43"/>
      <c r="Q119" s="43"/>
      <c r="R119" s="40"/>
      <c r="S119" s="40"/>
      <c r="T119" s="40"/>
      <c r="U119" s="40"/>
      <c r="V119" s="40"/>
      <c r="W119" s="40"/>
      <c r="X119" s="40"/>
      <c r="Y119" s="40"/>
    </row>
    <row r="120" spans="1:25" ht="13.2" x14ac:dyDescent="0.25">
      <c r="A120" s="82"/>
      <c r="B120" s="108" t="s">
        <v>384</v>
      </c>
      <c r="C120" s="109">
        <f>'4. Car'!$F$18</f>
        <v>20512430.142180242</v>
      </c>
      <c r="D120" s="109">
        <f>'4. Car'!$F$18</f>
        <v>20512430.142180242</v>
      </c>
      <c r="E120" s="109">
        <f>'4. Car'!$F$18</f>
        <v>20512430.142180242</v>
      </c>
      <c r="F120" s="109">
        <f>'4. Car'!$F$18</f>
        <v>20512430.142180242</v>
      </c>
      <c r="G120" s="109">
        <f>'4. Car'!$F$18</f>
        <v>20512430.142180242</v>
      </c>
      <c r="H120" s="109">
        <f>'4. Car'!$F$18</f>
        <v>20512430.142180242</v>
      </c>
      <c r="I120" s="109">
        <f>'4. Car'!$F$18</f>
        <v>20512430.142180242</v>
      </c>
      <c r="J120" s="109">
        <f>'4. Car'!$F$18</f>
        <v>20512430.142180242</v>
      </c>
      <c r="K120" s="109">
        <f>'4. Car'!$F$18</f>
        <v>20512430.142180242</v>
      </c>
      <c r="L120" s="109">
        <f>'4. Car'!$F$18</f>
        <v>20512430.142180242</v>
      </c>
      <c r="M120" s="109">
        <f>'4. Car'!$F$18</f>
        <v>20512430.142180242</v>
      </c>
      <c r="N120" s="109">
        <f>'4. Car'!$F$18</f>
        <v>20512430.142180242</v>
      </c>
      <c r="O120" s="109">
        <f t="shared" si="82"/>
        <v>246149161.70616284</v>
      </c>
      <c r="P120" s="43"/>
      <c r="Q120" s="43"/>
      <c r="R120" s="40"/>
      <c r="S120" s="40"/>
      <c r="T120" s="40"/>
      <c r="U120" s="40"/>
      <c r="V120" s="40"/>
      <c r="W120" s="40"/>
      <c r="X120" s="40"/>
      <c r="Y120" s="40"/>
    </row>
    <row r="121" spans="1:25" ht="13.2" x14ac:dyDescent="0.25">
      <c r="A121" s="82"/>
      <c r="B121" s="60" t="s">
        <v>206</v>
      </c>
      <c r="C121" s="61">
        <f>C99-C117-C118-C119-C120</f>
        <v>19279824.619872071</v>
      </c>
      <c r="D121" s="61">
        <f t="shared" ref="D121:N121" si="83">D99-D117-D118-D119-D120</f>
        <v>19328217.221494399</v>
      </c>
      <c r="E121" s="61">
        <f t="shared" si="83"/>
        <v>19632805.949352585</v>
      </c>
      <c r="F121" s="61">
        <f t="shared" si="83"/>
        <v>19305444.232495658</v>
      </c>
      <c r="G121" s="61">
        <f t="shared" si="83"/>
        <v>17699948.508084215</v>
      </c>
      <c r="H121" s="61">
        <f t="shared" si="83"/>
        <v>19635652.572977446</v>
      </c>
      <c r="I121" s="61">
        <f t="shared" si="83"/>
        <v>17984610.870568506</v>
      </c>
      <c r="J121" s="61">
        <f t="shared" si="83"/>
        <v>17096464.299617507</v>
      </c>
      <c r="K121" s="61">
        <f t="shared" si="83"/>
        <v>18590941.702660061</v>
      </c>
      <c r="L121" s="61">
        <f t="shared" si="83"/>
        <v>19006548.751887135</v>
      </c>
      <c r="M121" s="61">
        <f t="shared" si="83"/>
        <v>18220880.631430484</v>
      </c>
      <c r="N121" s="61">
        <f t="shared" si="83"/>
        <v>18255040.114928596</v>
      </c>
      <c r="O121" s="47">
        <f t="shared" ref="O121" si="84">SUM(C121:N121)</f>
        <v>224036379.47536868</v>
      </c>
      <c r="P121" s="43"/>
      <c r="Q121" s="43"/>
      <c r="R121" s="40"/>
      <c r="S121" s="40"/>
      <c r="T121" s="40"/>
      <c r="U121" s="40"/>
      <c r="V121" s="40"/>
      <c r="W121" s="40"/>
      <c r="X121" s="40"/>
      <c r="Y121" s="40"/>
    </row>
    <row r="122" spans="1:25" ht="13.2" x14ac:dyDescent="0.25">
      <c r="A122" s="85"/>
      <c r="B122" s="40"/>
      <c r="C122" s="40"/>
      <c r="D122" s="40"/>
      <c r="E122" s="40"/>
      <c r="F122" s="40"/>
      <c r="G122" s="40"/>
      <c r="H122" s="40"/>
      <c r="I122" s="40"/>
      <c r="J122" s="40"/>
      <c r="K122" s="40"/>
      <c r="L122" s="353" t="s">
        <v>217</v>
      </c>
      <c r="M122" s="354"/>
      <c r="N122" s="350">
        <f>SUM(C121:N121)+N89</f>
        <v>851057428.84995818</v>
      </c>
      <c r="O122" s="40"/>
      <c r="P122" s="40"/>
      <c r="Q122" s="40"/>
      <c r="R122" s="40"/>
      <c r="S122" s="40"/>
      <c r="T122" s="40"/>
      <c r="U122" s="40"/>
      <c r="V122" s="40"/>
      <c r="W122" s="40"/>
      <c r="X122" s="40"/>
      <c r="Y122" s="40"/>
    </row>
    <row r="123" spans="1:25" ht="13.2" x14ac:dyDescent="0.25">
      <c r="A123" s="85"/>
      <c r="B123" s="40"/>
      <c r="C123" s="40"/>
      <c r="D123" s="40"/>
      <c r="E123" s="40"/>
      <c r="F123" s="40"/>
      <c r="G123" s="40"/>
      <c r="H123" s="40"/>
      <c r="I123" s="40"/>
      <c r="J123" s="40"/>
      <c r="K123" s="40"/>
      <c r="L123" s="320"/>
      <c r="M123" s="355"/>
      <c r="N123" s="351"/>
      <c r="O123" s="40"/>
      <c r="P123" s="40"/>
      <c r="Q123" s="40"/>
      <c r="R123" s="40"/>
      <c r="S123" s="40"/>
      <c r="T123" s="40"/>
      <c r="U123" s="40"/>
      <c r="V123" s="40"/>
      <c r="W123" s="40"/>
      <c r="X123" s="40"/>
      <c r="Y123" s="40"/>
    </row>
    <row r="124" spans="1:25" ht="13.2" customHeight="1" x14ac:dyDescent="0.25">
      <c r="A124" s="85"/>
      <c r="B124" s="319" t="s">
        <v>632</v>
      </c>
      <c r="C124" s="352" t="s">
        <v>385</v>
      </c>
      <c r="D124" s="352"/>
      <c r="E124" s="352"/>
      <c r="F124" s="352"/>
      <c r="G124" s="352"/>
      <c r="H124" s="352"/>
      <c r="I124" s="40"/>
      <c r="J124" s="358" t="s">
        <v>231</v>
      </c>
      <c r="K124" s="359">
        <v>0.04</v>
      </c>
      <c r="L124" s="40"/>
      <c r="M124" s="40"/>
      <c r="N124" s="40"/>
      <c r="O124" s="361"/>
      <c r="P124" s="40"/>
      <c r="Q124" s="40"/>
      <c r="R124" s="40"/>
      <c r="S124" s="40"/>
      <c r="T124" s="40"/>
      <c r="U124" s="40"/>
      <c r="V124" s="40"/>
      <c r="W124" s="40"/>
      <c r="X124" s="40"/>
      <c r="Y124" s="40"/>
    </row>
    <row r="125" spans="1:25" ht="13.2" x14ac:dyDescent="0.25">
      <c r="A125" s="85"/>
      <c r="B125" s="319"/>
      <c r="C125" s="352"/>
      <c r="D125" s="352"/>
      <c r="E125" s="352"/>
      <c r="F125" s="352"/>
      <c r="G125" s="352"/>
      <c r="H125" s="352"/>
      <c r="I125" s="40"/>
      <c r="J125" s="358"/>
      <c r="K125" s="360"/>
      <c r="L125" s="40"/>
      <c r="M125" s="40"/>
      <c r="N125" s="40"/>
      <c r="O125" s="362"/>
      <c r="P125" s="40"/>
      <c r="Q125" s="40"/>
      <c r="R125" s="40"/>
      <c r="S125" s="40"/>
      <c r="T125" s="40"/>
      <c r="U125" s="40"/>
      <c r="V125" s="40"/>
      <c r="W125" s="40"/>
      <c r="X125" s="40"/>
      <c r="Y125" s="40"/>
    </row>
    <row r="126" spans="1:25" ht="13.2" x14ac:dyDescent="0.25">
      <c r="A126" s="85"/>
      <c r="B126" s="319"/>
      <c r="C126" s="352"/>
      <c r="D126" s="352"/>
      <c r="E126" s="352"/>
      <c r="F126" s="352"/>
      <c r="G126" s="352"/>
      <c r="H126" s="352"/>
      <c r="I126" s="40"/>
      <c r="J126" s="40"/>
      <c r="K126" s="40"/>
      <c r="L126" s="40"/>
      <c r="M126" s="40"/>
      <c r="N126" s="40"/>
      <c r="O126" s="40"/>
      <c r="P126" s="40"/>
      <c r="Q126" s="40"/>
      <c r="R126" s="40"/>
      <c r="S126" s="40"/>
      <c r="T126" s="40"/>
      <c r="U126" s="40"/>
      <c r="V126" s="40"/>
      <c r="W126" s="40"/>
      <c r="X126" s="40"/>
      <c r="Y126" s="40"/>
    </row>
    <row r="127" spans="1:25" ht="13.2" x14ac:dyDescent="0.25">
      <c r="A127" s="85"/>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row>
    <row r="128" spans="1:25" ht="13.2" x14ac:dyDescent="0.25">
      <c r="A128" s="85"/>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row>
    <row r="129" spans="1:25" ht="13.2" x14ac:dyDescent="0.25">
      <c r="A129" s="85"/>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row>
    <row r="130" spans="1:25" ht="13.2" x14ac:dyDescent="0.25">
      <c r="A130" s="85"/>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row>
    <row r="131" spans="1:25" ht="13.2" x14ac:dyDescent="0.25">
      <c r="A131" s="85"/>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row>
    <row r="132" spans="1:25" ht="13.2" x14ac:dyDescent="0.25">
      <c r="A132" s="85"/>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row>
    <row r="133" spans="1:25" ht="13.2" x14ac:dyDescent="0.25">
      <c r="A133" s="85"/>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row>
    <row r="134" spans="1:25" ht="13.2" x14ac:dyDescent="0.25">
      <c r="A134" s="85"/>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row>
    <row r="135" spans="1:25" ht="13.2" x14ac:dyDescent="0.25">
      <c r="A135" s="85"/>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row>
    <row r="136" spans="1:25" ht="13.2" x14ac:dyDescent="0.25">
      <c r="A136" s="85"/>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row>
    <row r="137" spans="1:25" ht="13.2" x14ac:dyDescent="0.25">
      <c r="A137" s="85"/>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row>
    <row r="138" spans="1:25" ht="13.2" x14ac:dyDescent="0.25">
      <c r="A138" s="85"/>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row>
    <row r="139" spans="1:25" ht="13.2" x14ac:dyDescent="0.25">
      <c r="A139" s="85"/>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row>
    <row r="140" spans="1:25" ht="13.2" x14ac:dyDescent="0.25">
      <c r="A140" s="85"/>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row>
    <row r="141" spans="1:25" ht="13.2" x14ac:dyDescent="0.25">
      <c r="A141" s="85"/>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row>
    <row r="142" spans="1:25" ht="13.2" x14ac:dyDescent="0.25">
      <c r="A142" s="85"/>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row>
    <row r="143" spans="1:25" ht="13.2" x14ac:dyDescent="0.25">
      <c r="A143" s="85"/>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row>
    <row r="144" spans="1:25" ht="13.2" x14ac:dyDescent="0.25">
      <c r="A144" s="85"/>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row>
    <row r="145" spans="1:25" ht="13.2" x14ac:dyDescent="0.25">
      <c r="A145" s="85"/>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row>
    <row r="146" spans="1:25" ht="13.2" x14ac:dyDescent="0.25">
      <c r="A146" s="85"/>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row>
    <row r="147" spans="1:25" ht="13.2" x14ac:dyDescent="0.25">
      <c r="A147" s="85"/>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row>
    <row r="148" spans="1:25" ht="13.2" x14ac:dyDescent="0.25">
      <c r="A148" s="85"/>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row>
    <row r="149" spans="1:25" ht="13.2" x14ac:dyDescent="0.25">
      <c r="A149" s="85"/>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row>
    <row r="150" spans="1:25" ht="13.2" x14ac:dyDescent="0.25">
      <c r="A150" s="85"/>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row>
    <row r="151" spans="1:25" ht="13.2" x14ac:dyDescent="0.25">
      <c r="A151" s="85"/>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row>
    <row r="152" spans="1:25" ht="13.2" x14ac:dyDescent="0.25">
      <c r="A152" s="85"/>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row>
    <row r="153" spans="1:25" ht="13.2" x14ac:dyDescent="0.25">
      <c r="A153" s="85"/>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row>
    <row r="154" spans="1:25" ht="13.2" x14ac:dyDescent="0.25">
      <c r="A154" s="85"/>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row>
    <row r="155" spans="1:25" ht="13.2" x14ac:dyDescent="0.25">
      <c r="A155" s="85"/>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row>
    <row r="156" spans="1:25" ht="13.2" x14ac:dyDescent="0.25">
      <c r="A156" s="85"/>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row>
    <row r="157" spans="1:25" ht="13.2" x14ac:dyDescent="0.25">
      <c r="A157" s="85"/>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row>
    <row r="158" spans="1:25" ht="13.2" x14ac:dyDescent="0.25">
      <c r="A158" s="85"/>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row>
    <row r="159" spans="1:25" ht="13.2" x14ac:dyDescent="0.25">
      <c r="A159" s="85"/>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row>
    <row r="160" spans="1:25" ht="13.2" x14ac:dyDescent="0.25">
      <c r="A160" s="85"/>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row>
    <row r="161" spans="1:25" ht="13.2" x14ac:dyDescent="0.25">
      <c r="A161" s="85"/>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row>
    <row r="162" spans="1:25" ht="13.2" x14ac:dyDescent="0.25">
      <c r="A162" s="85"/>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row>
    <row r="163" spans="1:25" ht="13.2" x14ac:dyDescent="0.25">
      <c r="A163" s="85"/>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row>
    <row r="164" spans="1:25" ht="13.2" x14ac:dyDescent="0.25">
      <c r="A164" s="85"/>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row>
    <row r="165" spans="1:25" ht="13.2" x14ac:dyDescent="0.25">
      <c r="A165" s="85"/>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row>
    <row r="166" spans="1:25" ht="13.2" x14ac:dyDescent="0.25">
      <c r="A166" s="85"/>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row>
    <row r="167" spans="1:25" ht="13.2" x14ac:dyDescent="0.25">
      <c r="A167" s="85"/>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row>
    <row r="168" spans="1:25" ht="13.2" x14ac:dyDescent="0.25">
      <c r="A168" s="85"/>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row>
    <row r="169" spans="1:25" ht="13.2" x14ac:dyDescent="0.25">
      <c r="A169" s="85"/>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row>
    <row r="170" spans="1:25" ht="13.2" x14ac:dyDescent="0.25">
      <c r="A170" s="85"/>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row>
    <row r="171" spans="1:25" ht="13.2" x14ac:dyDescent="0.25">
      <c r="A171" s="85"/>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row>
    <row r="172" spans="1:25" ht="13.2" x14ac:dyDescent="0.25">
      <c r="A172" s="85"/>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row>
    <row r="173" spans="1:25" ht="13.2" x14ac:dyDescent="0.25"/>
    <row r="174" spans="1:25" ht="13.2" x14ac:dyDescent="0.25"/>
    <row r="175" spans="1:25" ht="13.2" x14ac:dyDescent="0.25"/>
    <row r="176" spans="1:25" ht="13.2" x14ac:dyDescent="0.25"/>
    <row r="177" spans="2:25" ht="13.2" x14ac:dyDescent="0.25"/>
    <row r="178" spans="2:25" ht="13.2" x14ac:dyDescent="0.25"/>
    <row r="179" spans="2:25" ht="13.2" x14ac:dyDescent="0.25"/>
    <row r="180" spans="2:25" ht="13.2" x14ac:dyDescent="0.25"/>
    <row r="181" spans="2:25" ht="13.2" x14ac:dyDescent="0.25"/>
    <row r="182" spans="2:25" ht="13.2" x14ac:dyDescent="0.25"/>
    <row r="183" spans="2:25" ht="13.2" x14ac:dyDescent="0.25"/>
    <row r="184" spans="2:25" s="86" customFormat="1" ht="13.2" x14ac:dyDescent="0.25">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row>
    <row r="185" spans="2:25" s="86" customFormat="1" ht="13.2" x14ac:dyDescent="0.25">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2:25" s="86" customFormat="1" ht="13.2" x14ac:dyDescent="0.25">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row>
    <row r="187" spans="2:25" s="86" customFormat="1" ht="13.2" x14ac:dyDescent="0.25">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2:25" s="86" customFormat="1" ht="13.2" x14ac:dyDescent="0.25">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row>
    <row r="189" spans="2:25" s="86" customFormat="1" ht="13.2" x14ac:dyDescent="0.25">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2:25" s="86" customFormat="1" ht="13.2" x14ac:dyDescent="0.25">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row>
    <row r="191" spans="2:25" s="86" customFormat="1" ht="13.2" x14ac:dyDescent="0.25">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2:25" s="86" customFormat="1" ht="13.2" x14ac:dyDescent="0.25">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row>
    <row r="193" spans="2:25" s="86" customFormat="1" ht="13.2" x14ac:dyDescent="0.25">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2:25" s="86" customFormat="1" ht="13.2" x14ac:dyDescent="0.25">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row>
    <row r="195" spans="2:25" s="86" customFormat="1" ht="13.2" x14ac:dyDescent="0.25">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2:25" s="86" customFormat="1" ht="13.2" x14ac:dyDescent="0.25">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row>
    <row r="197" spans="2:25" s="86" customFormat="1" ht="13.2" x14ac:dyDescent="0.25">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row>
    <row r="198" spans="2:25" s="86" customFormat="1" ht="13.2" x14ac:dyDescent="0.25">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2:25" s="86" customFormat="1" ht="13.2" x14ac:dyDescent="0.25">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row r="200" spans="2:25" s="86" customFormat="1" ht="13.2" x14ac:dyDescent="0.25">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2:25" s="86" customFormat="1" ht="13.2" x14ac:dyDescent="0.25">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2:25" s="86" customFormat="1" ht="13.2" x14ac:dyDescent="0.25">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row>
    <row r="203" spans="2:25" s="86" customFormat="1" ht="13.2" x14ac:dyDescent="0.25">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2:25" s="86" customFormat="1" ht="13.2" x14ac:dyDescent="0.25">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row>
    <row r="205" spans="2:25" s="86" customFormat="1" ht="13.2" x14ac:dyDescent="0.25">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row>
    <row r="206" spans="2:25" s="86" customFormat="1" ht="13.2" x14ac:dyDescent="0.25">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row>
    <row r="207" spans="2:25" s="86" customFormat="1" ht="13.2" x14ac:dyDescent="0.25">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row>
    <row r="208" spans="2:25" s="86" customFormat="1" ht="13.2" x14ac:dyDescent="0.25">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row>
    <row r="209" spans="2:25" s="86" customFormat="1" ht="13.2" x14ac:dyDescent="0.25">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2:25" s="86" customFormat="1" ht="13.2" x14ac:dyDescent="0.25">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row>
    <row r="211" spans="2:25" s="86" customFormat="1" ht="13.2" x14ac:dyDescent="0.25">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row>
    <row r="212" spans="2:25" s="86" customFormat="1" ht="13.2" x14ac:dyDescent="0.25">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row>
    <row r="213" spans="2:25" s="86" customFormat="1" ht="13.2" x14ac:dyDescent="0.25">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row>
    <row r="214" spans="2:25" s="86" customFormat="1" ht="13.2" x14ac:dyDescent="0.25">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row>
    <row r="215" spans="2:25" s="86" customFormat="1" ht="13.2" x14ac:dyDescent="0.25">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row>
    <row r="216" spans="2:25" s="86" customFormat="1" ht="13.2" x14ac:dyDescent="0.25">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row>
    <row r="217" spans="2:25" s="86" customFormat="1" ht="13.2" x14ac:dyDescent="0.25">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18" spans="2:25" s="86" customFormat="1" ht="13.2" x14ac:dyDescent="0.25">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2:25" s="86" customFormat="1" ht="13.2" x14ac:dyDescent="0.25">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row>
    <row r="220" spans="2:25" s="86" customFormat="1" ht="13.2" x14ac:dyDescent="0.25">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row>
    <row r="221" spans="2:25" s="86" customFormat="1" ht="13.2" x14ac:dyDescent="0.25">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row>
    <row r="222" spans="2:25" s="86" customFormat="1" ht="13.2" x14ac:dyDescent="0.25">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row>
    <row r="223" spans="2:25" s="86" customFormat="1" ht="13.2" x14ac:dyDescent="0.25">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2:25" s="86" customFormat="1" ht="13.2" x14ac:dyDescent="0.25">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row>
    <row r="225" spans="2:25" s="86" customFormat="1" ht="13.2" x14ac:dyDescent="0.25">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2:25" s="86" customFormat="1" ht="13.2" x14ac:dyDescent="0.25">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row>
    <row r="227" spans="2:25" s="86" customFormat="1" ht="13.2" x14ac:dyDescent="0.25">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2:25" s="86" customFormat="1" ht="13.2" x14ac:dyDescent="0.25">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row>
    <row r="229" spans="2:25" s="86" customFormat="1" ht="13.2" x14ac:dyDescent="0.25">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2:25" s="86" customFormat="1" ht="13.2" x14ac:dyDescent="0.25">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2:25" s="86" customFormat="1" ht="13.2" x14ac:dyDescent="0.25">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2:25" s="86" customFormat="1" ht="13.2" x14ac:dyDescent="0.25">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row>
    <row r="233" spans="2:25" s="86" customFormat="1" ht="13.2" x14ac:dyDescent="0.25">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row>
    <row r="234" spans="2:25" s="86" customFormat="1" ht="13.2" x14ac:dyDescent="0.25">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row>
    <row r="235" spans="2:25" s="86" customFormat="1" ht="13.2" x14ac:dyDescent="0.25">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row>
    <row r="236" spans="2:25" s="86" customFormat="1" ht="13.2" x14ac:dyDescent="0.25">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row>
    <row r="237" spans="2:25" s="86" customFormat="1" ht="13.2" x14ac:dyDescent="0.25">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2:25" s="86" customFormat="1" ht="13.2" x14ac:dyDescent="0.25">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2:25" s="86" customFormat="1" ht="13.2" x14ac:dyDescent="0.25">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row>
    <row r="240" spans="2:25" s="86" customFormat="1" ht="13.2" x14ac:dyDescent="0.25">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row>
    <row r="241" spans="2:25" s="86" customFormat="1" ht="13.2" x14ac:dyDescent="0.25">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row>
    <row r="242" spans="2:25" s="86" customFormat="1" ht="13.2" x14ac:dyDescent="0.25">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2:25" s="86" customFormat="1" ht="13.2" x14ac:dyDescent="0.25">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2:25" s="86" customFormat="1" ht="13.2" x14ac:dyDescent="0.25">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2:25" s="86" customFormat="1" ht="13.2" x14ac:dyDescent="0.25">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row>
    <row r="246" spans="2:25" s="86" customFormat="1" ht="13.2" x14ac:dyDescent="0.25">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2:25" s="86" customFormat="1" ht="13.2" x14ac:dyDescent="0.25">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row>
    <row r="248" spans="2:25" s="86" customFormat="1" ht="13.2" x14ac:dyDescent="0.25">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2:25" s="86" customFormat="1" ht="13.2" x14ac:dyDescent="0.25">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row>
    <row r="250" spans="2:25" s="86" customFormat="1" ht="13.2" x14ac:dyDescent="0.25">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2:25" s="86" customFormat="1" ht="13.2" x14ac:dyDescent="0.25">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row>
    <row r="252" spans="2:25" s="86" customFormat="1" ht="13.2" x14ac:dyDescent="0.25">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row>
    <row r="253" spans="2:25" s="86" customFormat="1" ht="13.2" x14ac:dyDescent="0.25">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row>
    <row r="254" spans="2:25" s="86" customFormat="1" ht="13.2" x14ac:dyDescent="0.25">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row>
    <row r="255" spans="2:25" s="86" customFormat="1" ht="13.2" x14ac:dyDescent="0.25">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row>
    <row r="256" spans="2:25" s="86" customFormat="1" ht="13.2" x14ac:dyDescent="0.25">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row>
    <row r="257" spans="2:25" s="86" customFormat="1" ht="13.2" x14ac:dyDescent="0.25">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2:25" s="86" customFormat="1" ht="13.2" x14ac:dyDescent="0.25">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2:25" s="86" customFormat="1" ht="13.2" x14ac:dyDescent="0.25">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row>
    <row r="260" spans="2:25" s="86" customFormat="1" ht="13.2" x14ac:dyDescent="0.25">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row>
    <row r="261" spans="2:25" s="86" customFormat="1" ht="13.2" x14ac:dyDescent="0.25">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row>
    <row r="262" spans="2:25" s="86" customFormat="1" ht="13.2" x14ac:dyDescent="0.25">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row>
    <row r="263" spans="2:25" s="86" customFormat="1" ht="13.2" x14ac:dyDescent="0.25">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row>
    <row r="264" spans="2:25" s="86" customFormat="1" ht="13.2" x14ac:dyDescent="0.25">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row>
    <row r="265" spans="2:25" s="86" customFormat="1" ht="13.2" x14ac:dyDescent="0.25">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row>
    <row r="266" spans="2:25" s="86" customFormat="1" ht="13.2" x14ac:dyDescent="0.25">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row>
    <row r="267" spans="2:25" s="86" customFormat="1" ht="13.2" x14ac:dyDescent="0.25">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row>
    <row r="268" spans="2:25" s="86" customFormat="1" ht="13.2" x14ac:dyDescent="0.25">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2:25" s="86" customFormat="1" ht="13.2" x14ac:dyDescent="0.25">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row>
    <row r="270" spans="2:25" s="86" customFormat="1" ht="13.2" x14ac:dyDescent="0.25">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row>
    <row r="271" spans="2:25" s="86" customFormat="1" ht="13.2" x14ac:dyDescent="0.25">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row>
    <row r="272" spans="2:25" s="86" customFormat="1" ht="13.2" x14ac:dyDescent="0.25">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row>
    <row r="273" spans="2:25" s="86" customFormat="1" ht="13.2" x14ac:dyDescent="0.25">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row>
    <row r="274" spans="2:25" s="86" customFormat="1" ht="13.2" x14ac:dyDescent="0.25">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2:25" s="86" customFormat="1" ht="13.2" x14ac:dyDescent="0.25">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row>
    <row r="276" spans="2:25" s="86" customFormat="1" ht="13.2" x14ac:dyDescent="0.25">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row>
    <row r="277" spans="2:25" s="86" customFormat="1" ht="13.2" x14ac:dyDescent="0.25">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row>
    <row r="278" spans="2:25" s="86" customFormat="1" ht="13.2" x14ac:dyDescent="0.25">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2:25" s="86" customFormat="1" ht="13.2" x14ac:dyDescent="0.25">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row>
    <row r="280" spans="2:25" s="86" customFormat="1" ht="13.2" x14ac:dyDescent="0.25">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2:25" s="86" customFormat="1" ht="13.2" x14ac:dyDescent="0.25">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2:25" s="86" customFormat="1" ht="13.2" x14ac:dyDescent="0.25">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row>
    <row r="283" spans="2:25" s="86" customFormat="1" ht="13.2" x14ac:dyDescent="0.25">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row>
    <row r="284" spans="2:25" s="86" customFormat="1" ht="13.2" x14ac:dyDescent="0.25">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row>
    <row r="285" spans="2:25" s="86" customFormat="1" ht="13.2" x14ac:dyDescent="0.25">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row>
    <row r="286" spans="2:25" s="86" customFormat="1" ht="13.2" x14ac:dyDescent="0.25">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row>
    <row r="287" spans="2:25" s="86" customFormat="1" ht="13.2" x14ac:dyDescent="0.25">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row>
    <row r="288" spans="2:25" s="86" customFormat="1" ht="13.2" x14ac:dyDescent="0.25">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row>
    <row r="289" spans="2:25" s="86" customFormat="1" ht="13.2" x14ac:dyDescent="0.25">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row>
    <row r="290" spans="2:25" s="86" customFormat="1" ht="13.2" x14ac:dyDescent="0.25">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row>
    <row r="291" spans="2:25" s="86" customFormat="1" ht="13.2" x14ac:dyDescent="0.25">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row>
    <row r="292" spans="2:25" s="86" customFormat="1" ht="13.2" x14ac:dyDescent="0.25">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2:25" s="86" customFormat="1" ht="13.2" x14ac:dyDescent="0.25">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row>
    <row r="294" spans="2:25" s="86" customFormat="1" ht="13.2" x14ac:dyDescent="0.25">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2:25" s="86" customFormat="1" ht="13.2" x14ac:dyDescent="0.25">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2:25" s="86" customFormat="1" ht="13.2" x14ac:dyDescent="0.25">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row>
    <row r="297" spans="2:25" s="86" customFormat="1" ht="13.2" x14ac:dyDescent="0.25">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row>
    <row r="298" spans="2:25" s="86" customFormat="1" ht="13.2" x14ac:dyDescent="0.25">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row>
    <row r="299" spans="2:25" s="86" customFormat="1" ht="13.2" x14ac:dyDescent="0.25">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2:25" s="86" customFormat="1" ht="13.2" x14ac:dyDescent="0.25">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row>
    <row r="301" spans="2:25" s="86" customFormat="1" ht="13.2" x14ac:dyDescent="0.25">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2:25" s="86" customFormat="1" ht="13.2" x14ac:dyDescent="0.25">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row>
    <row r="303" spans="2:25" s="86" customFormat="1" ht="13.2" x14ac:dyDescent="0.25">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row>
    <row r="304" spans="2:25" s="86" customFormat="1" ht="13.2" x14ac:dyDescent="0.25">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row>
    <row r="305" spans="2:25" s="86" customFormat="1" ht="13.2" x14ac:dyDescent="0.25">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row>
    <row r="306" spans="2:25" s="86" customFormat="1" ht="13.2" x14ac:dyDescent="0.25">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row>
    <row r="307" spans="2:25" s="86" customFormat="1" ht="13.2" x14ac:dyDescent="0.25">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row>
    <row r="308" spans="2:25" s="86" customFormat="1" ht="13.2" x14ac:dyDescent="0.25">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2:25" s="86" customFormat="1" ht="13.2" x14ac:dyDescent="0.25">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2:25" s="86" customFormat="1" ht="13.2" x14ac:dyDescent="0.25">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row>
    <row r="311" spans="2:25" s="86" customFormat="1" ht="13.2" x14ac:dyDescent="0.25">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2:25" s="86" customFormat="1" ht="13.2" x14ac:dyDescent="0.25">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2:25" s="86" customFormat="1" ht="13.2" x14ac:dyDescent="0.25">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2:25" s="86" customFormat="1" ht="13.2" x14ac:dyDescent="0.25">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row>
    <row r="315" spans="2:25" s="86" customFormat="1" ht="13.2" x14ac:dyDescent="0.25">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row>
    <row r="316" spans="2:25" s="86" customFormat="1" ht="13.2" x14ac:dyDescent="0.25">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row>
    <row r="317" spans="2:25" s="86" customFormat="1" ht="13.2" x14ac:dyDescent="0.25">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2:25" s="86" customFormat="1" ht="13.2" x14ac:dyDescent="0.25">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2:25" s="86" customFormat="1" ht="13.2" x14ac:dyDescent="0.25">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row>
    <row r="320" spans="2:25" s="86" customFormat="1" ht="13.2" x14ac:dyDescent="0.25">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2:25" s="86" customFormat="1" ht="13.2" x14ac:dyDescent="0.25">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row>
    <row r="322" spans="2:25" s="86" customFormat="1" ht="13.2" x14ac:dyDescent="0.25">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row>
    <row r="323" spans="2:25" s="86" customFormat="1" ht="13.2" x14ac:dyDescent="0.25">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row>
    <row r="324" spans="2:25" s="86" customFormat="1" ht="13.2" x14ac:dyDescent="0.25">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row>
    <row r="325" spans="2:25" s="86" customFormat="1" ht="13.2" x14ac:dyDescent="0.25">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row>
    <row r="326" spans="2:25" s="86" customFormat="1" ht="13.2" x14ac:dyDescent="0.25">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2:25" s="86" customFormat="1" ht="13.2" x14ac:dyDescent="0.25">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2:25" s="86" customFormat="1" ht="13.2" x14ac:dyDescent="0.25">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row>
    <row r="329" spans="2:25" s="86" customFormat="1" ht="13.2" x14ac:dyDescent="0.25">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row>
    <row r="330" spans="2:25" s="86" customFormat="1" ht="13.2" x14ac:dyDescent="0.25">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row>
    <row r="331" spans="2:25" s="86" customFormat="1" ht="13.2" x14ac:dyDescent="0.25">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row>
    <row r="332" spans="2:25" s="86" customFormat="1" ht="13.2" x14ac:dyDescent="0.25">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row>
    <row r="333" spans="2:25" s="86" customFormat="1" ht="13.2" x14ac:dyDescent="0.25">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row>
    <row r="334" spans="2:25" s="86" customFormat="1" ht="13.2" x14ac:dyDescent="0.25">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row>
    <row r="335" spans="2:25" s="86" customFormat="1" ht="13.2" x14ac:dyDescent="0.25">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row>
    <row r="336" spans="2:25" s="86" customFormat="1" ht="13.2" x14ac:dyDescent="0.25">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row>
    <row r="337" spans="2:25" s="86" customFormat="1" ht="13.2" x14ac:dyDescent="0.25">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row>
    <row r="338" spans="2:25" s="86" customFormat="1" ht="13.2" x14ac:dyDescent="0.25">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2:25" s="86" customFormat="1" ht="13.2" x14ac:dyDescent="0.25">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row>
    <row r="340" spans="2:25" s="86" customFormat="1" ht="13.2" x14ac:dyDescent="0.25">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2:25" s="86" customFormat="1" ht="13.2" x14ac:dyDescent="0.25">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row>
    <row r="342" spans="2:25" s="86" customFormat="1" ht="13.2" x14ac:dyDescent="0.25">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2:25" s="86" customFormat="1" ht="13.2" x14ac:dyDescent="0.25">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row>
    <row r="344" spans="2:25" s="86" customFormat="1" ht="13.2" x14ac:dyDescent="0.25">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2:25" s="86" customFormat="1" ht="13.2" x14ac:dyDescent="0.25">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row>
    <row r="346" spans="2:25" s="86" customFormat="1" ht="13.2" x14ac:dyDescent="0.25">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2:25" s="86" customFormat="1" ht="13.2" x14ac:dyDescent="0.25">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row>
    <row r="348" spans="2:25" s="86" customFormat="1" ht="13.2" x14ac:dyDescent="0.25">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2:25" s="86" customFormat="1" ht="13.2" x14ac:dyDescent="0.25">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row>
    <row r="350" spans="2:25" s="86" customFormat="1" ht="13.2" x14ac:dyDescent="0.25">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2:25" s="86" customFormat="1" ht="13.2" x14ac:dyDescent="0.25">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row>
    <row r="352" spans="2:25" s="86" customFormat="1" ht="13.2" x14ac:dyDescent="0.25">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2:25" s="86" customFormat="1" ht="13.2" x14ac:dyDescent="0.25">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row>
    <row r="354" spans="2:25" s="86" customFormat="1" ht="13.2" x14ac:dyDescent="0.25">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2:25" s="86" customFormat="1" ht="13.2" x14ac:dyDescent="0.25">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row>
    <row r="356" spans="2:25" s="86" customFormat="1" ht="13.2" x14ac:dyDescent="0.25">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2:25" s="86" customFormat="1" ht="13.2" x14ac:dyDescent="0.25">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row>
    <row r="358" spans="2:25" s="86" customFormat="1" ht="13.2" x14ac:dyDescent="0.25">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2:25" s="86" customFormat="1" ht="13.2" x14ac:dyDescent="0.25">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row>
    <row r="360" spans="2:25" s="86" customFormat="1" ht="13.2" x14ac:dyDescent="0.25">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2:25" s="86" customFormat="1" ht="13.2" x14ac:dyDescent="0.25">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row>
    <row r="362" spans="2:25" s="86" customFormat="1" ht="13.2" x14ac:dyDescent="0.25">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2:25" s="86" customFormat="1" ht="13.2" x14ac:dyDescent="0.25">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row>
    <row r="364" spans="2:25" s="86" customFormat="1" ht="13.2" x14ac:dyDescent="0.25">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2:25" s="86" customFormat="1" ht="13.2" x14ac:dyDescent="0.25">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row>
    <row r="366" spans="2:25" s="86" customFormat="1" ht="13.2" x14ac:dyDescent="0.25">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2:25" s="86" customFormat="1" ht="13.2" x14ac:dyDescent="0.25">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row>
    <row r="368" spans="2:25" s="86" customFormat="1" ht="13.2" x14ac:dyDescent="0.25">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2:25" s="86" customFormat="1" ht="13.2" x14ac:dyDescent="0.25">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row>
    <row r="370" spans="2:25" s="86" customFormat="1" ht="13.2" x14ac:dyDescent="0.25">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2:25" s="86" customFormat="1" ht="13.2" x14ac:dyDescent="0.25">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row>
    <row r="372" spans="2:25" s="86" customFormat="1" ht="13.2" x14ac:dyDescent="0.25">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2:25" s="86" customFormat="1" ht="13.2" x14ac:dyDescent="0.25">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row>
    <row r="374" spans="2:25" s="86" customFormat="1" ht="13.2" x14ac:dyDescent="0.25">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2:25" s="86" customFormat="1" ht="13.2" x14ac:dyDescent="0.25">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row>
    <row r="376" spans="2:25" s="86" customFormat="1" ht="13.2" x14ac:dyDescent="0.25">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2:25" s="86" customFormat="1" ht="13.2" x14ac:dyDescent="0.25">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row>
    <row r="378" spans="2:25" s="86" customFormat="1" ht="13.2" x14ac:dyDescent="0.25">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2:25" s="86" customFormat="1" ht="13.2" x14ac:dyDescent="0.25">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row>
    <row r="380" spans="2:25" s="86" customFormat="1" ht="13.2" x14ac:dyDescent="0.25">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2:25" s="86" customFormat="1" ht="13.2" x14ac:dyDescent="0.25">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row>
    <row r="382" spans="2:25" s="86" customFormat="1" ht="13.2" x14ac:dyDescent="0.25">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2:25" s="86" customFormat="1" ht="13.2" x14ac:dyDescent="0.25">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row>
    <row r="384" spans="2:25" s="86" customFormat="1" ht="13.2" x14ac:dyDescent="0.25">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2:25" s="86" customFormat="1" ht="13.2" x14ac:dyDescent="0.25">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row>
    <row r="386" spans="2:25" s="86" customFormat="1" ht="13.2" x14ac:dyDescent="0.25">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2:25" s="86" customFormat="1" ht="13.2" x14ac:dyDescent="0.25">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row>
    <row r="388" spans="2:25" s="86" customFormat="1" ht="13.2" x14ac:dyDescent="0.25">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2:25" s="86" customFormat="1" ht="13.2" x14ac:dyDescent="0.25">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row>
    <row r="390" spans="2:25" s="86" customFormat="1" ht="13.2" x14ac:dyDescent="0.25">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2:25" s="86" customFormat="1" ht="13.2" x14ac:dyDescent="0.25">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row>
    <row r="392" spans="2:25" s="86" customFormat="1" ht="13.2" x14ac:dyDescent="0.25">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2:25" s="86" customFormat="1" ht="13.2" x14ac:dyDescent="0.25">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row>
    <row r="394" spans="2:25" s="86" customFormat="1" ht="13.2" x14ac:dyDescent="0.25">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2:25" s="86" customFormat="1" ht="13.2" x14ac:dyDescent="0.25">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row>
    <row r="396" spans="2:25" s="86" customFormat="1" ht="13.2" x14ac:dyDescent="0.25">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2:25" s="86" customFormat="1" ht="13.2" x14ac:dyDescent="0.25">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row>
    <row r="398" spans="2:25" s="86" customFormat="1" ht="13.2" x14ac:dyDescent="0.25">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2:25" s="86" customFormat="1" ht="13.2" x14ac:dyDescent="0.25">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row>
    <row r="400" spans="2:25" s="86" customFormat="1" ht="13.2" x14ac:dyDescent="0.25">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2:25" s="86" customFormat="1" ht="13.2" x14ac:dyDescent="0.25">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row>
    <row r="402" spans="2:25" s="86" customFormat="1" ht="13.2" x14ac:dyDescent="0.25">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2:25" s="86" customFormat="1" ht="13.2" x14ac:dyDescent="0.25">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row>
    <row r="404" spans="2:25" s="86" customFormat="1" ht="13.2" x14ac:dyDescent="0.25">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2:25" s="86" customFormat="1" ht="13.2" x14ac:dyDescent="0.25">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row>
    <row r="406" spans="2:25" s="86" customFormat="1" ht="13.2" x14ac:dyDescent="0.25">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2:25" s="86" customFormat="1" ht="13.2" x14ac:dyDescent="0.25">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row>
    <row r="408" spans="2:25" s="86" customFormat="1" ht="13.2" x14ac:dyDescent="0.25">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2:25" s="86" customFormat="1" ht="13.2" x14ac:dyDescent="0.25">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row>
    <row r="410" spans="2:25" s="86" customFormat="1" ht="13.2" x14ac:dyDescent="0.25">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2:25" s="86" customFormat="1" ht="13.2" x14ac:dyDescent="0.25">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row>
    <row r="412" spans="2:25" s="86" customFormat="1" ht="13.2" x14ac:dyDescent="0.25">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2:25" s="86" customFormat="1" ht="13.2" x14ac:dyDescent="0.25">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row>
    <row r="414" spans="2:25" s="86" customFormat="1" ht="13.2" x14ac:dyDescent="0.25">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2:25" s="86" customFormat="1" ht="13.2" x14ac:dyDescent="0.25">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row>
    <row r="416" spans="2:25" s="86" customFormat="1" ht="13.2" x14ac:dyDescent="0.25">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2:25" s="86" customFormat="1" ht="13.2" x14ac:dyDescent="0.25">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2:25" s="86" customFormat="1" ht="13.2" x14ac:dyDescent="0.25">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2:25" s="86" customFormat="1" ht="13.2" x14ac:dyDescent="0.25">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row>
    <row r="420" spans="2:25" s="86" customFormat="1" ht="13.2" x14ac:dyDescent="0.25">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2:25" s="86" customFormat="1" ht="13.2" x14ac:dyDescent="0.25">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row>
    <row r="422" spans="2:25" s="86" customFormat="1" ht="13.2" x14ac:dyDescent="0.25">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2:25" s="86" customFormat="1" ht="13.2" x14ac:dyDescent="0.25">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row>
    <row r="424" spans="2:25" s="86" customFormat="1" ht="13.2" x14ac:dyDescent="0.25">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2:25" s="86" customFormat="1" ht="13.2" x14ac:dyDescent="0.25">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row>
    <row r="426" spans="2:25" s="86" customFormat="1" ht="13.2" x14ac:dyDescent="0.25">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2:25" s="86" customFormat="1" ht="13.2" x14ac:dyDescent="0.25">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row>
    <row r="428" spans="2:25" s="86" customFormat="1" ht="13.2" x14ac:dyDescent="0.25">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row>
    <row r="429" spans="2:25" s="86" customFormat="1" ht="13.2" x14ac:dyDescent="0.25">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2:25" s="86" customFormat="1" ht="13.2" x14ac:dyDescent="0.25">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row>
    <row r="431" spans="2:25" s="86" customFormat="1" ht="13.2" x14ac:dyDescent="0.25">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2:25" s="86" customFormat="1" ht="13.2" x14ac:dyDescent="0.25">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row>
    <row r="433" spans="2:25" s="86" customFormat="1" ht="13.2" x14ac:dyDescent="0.25">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row>
    <row r="434" spans="2:25" s="86" customFormat="1" ht="13.2" x14ac:dyDescent="0.25">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row>
    <row r="435" spans="2:25" s="86" customFormat="1" ht="13.2" x14ac:dyDescent="0.25">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row>
    <row r="436" spans="2:25" s="86" customFormat="1" ht="13.2" x14ac:dyDescent="0.25">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row>
    <row r="437" spans="2:25" s="86" customFormat="1" ht="13.2" x14ac:dyDescent="0.25">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2:25" s="86" customFormat="1" ht="13.2" x14ac:dyDescent="0.25">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2:25" s="86" customFormat="1" ht="13.2" x14ac:dyDescent="0.25">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row>
    <row r="440" spans="2:25" s="86" customFormat="1" ht="13.2" x14ac:dyDescent="0.25">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2:25" s="86" customFormat="1" ht="13.2" x14ac:dyDescent="0.25">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row>
    <row r="442" spans="2:25" s="86" customFormat="1" ht="13.2" x14ac:dyDescent="0.25">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2:25" s="86" customFormat="1" ht="13.2" x14ac:dyDescent="0.25">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row>
    <row r="444" spans="2:25" s="86" customFormat="1" ht="13.2" x14ac:dyDescent="0.25">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2:25" s="86" customFormat="1" ht="13.2" x14ac:dyDescent="0.25">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row>
    <row r="446" spans="2:25" s="86" customFormat="1" ht="13.2" x14ac:dyDescent="0.25">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2:25" s="86" customFormat="1" ht="13.2" x14ac:dyDescent="0.25">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row>
    <row r="448" spans="2:25" s="86" customFormat="1" ht="13.2" x14ac:dyDescent="0.25">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2:25" s="86" customFormat="1" ht="13.2" x14ac:dyDescent="0.25">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row>
    <row r="450" spans="2:25" s="86" customFormat="1" ht="13.2" x14ac:dyDescent="0.25">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2:25" s="86" customFormat="1" ht="13.2" x14ac:dyDescent="0.25">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row>
    <row r="452" spans="2:25" s="86" customFormat="1" ht="13.2" x14ac:dyDescent="0.25">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2:25" s="86" customFormat="1" ht="13.2" x14ac:dyDescent="0.25">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row>
    <row r="454" spans="2:25" s="86" customFormat="1" ht="13.2" x14ac:dyDescent="0.25">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2:25" s="86" customFormat="1" ht="13.2" x14ac:dyDescent="0.25">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row>
    <row r="456" spans="2:25" s="86" customFormat="1" ht="13.2" x14ac:dyDescent="0.25">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2:25" s="86" customFormat="1" ht="13.2" x14ac:dyDescent="0.25">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row>
    <row r="458" spans="2:25" s="86" customFormat="1" ht="13.2" x14ac:dyDescent="0.25">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2:25" s="86" customFormat="1" ht="13.2" x14ac:dyDescent="0.25">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row>
    <row r="460" spans="2:25" s="86" customFormat="1" ht="13.2" x14ac:dyDescent="0.25">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2:25" s="86" customFormat="1" ht="13.2" x14ac:dyDescent="0.25">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row>
    <row r="462" spans="2:25" s="86" customFormat="1" ht="13.2" x14ac:dyDescent="0.25">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2:25" s="86" customFormat="1" ht="13.2" x14ac:dyDescent="0.25">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row>
    <row r="464" spans="2:25" s="86" customFormat="1" ht="13.2" x14ac:dyDescent="0.25">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2:25" s="86" customFormat="1" ht="13.2" x14ac:dyDescent="0.25">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row>
    <row r="466" spans="2:25" s="86" customFormat="1" ht="13.2" x14ac:dyDescent="0.25">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2:25" s="86" customFormat="1" ht="13.2" x14ac:dyDescent="0.25">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row>
    <row r="468" spans="2:25" s="86" customFormat="1" ht="13.2" x14ac:dyDescent="0.25">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2:25" s="86" customFormat="1" ht="13.2" x14ac:dyDescent="0.25">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row>
    <row r="470" spans="2:25" s="86" customFormat="1" ht="13.2" x14ac:dyDescent="0.25">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2:25" s="86" customFormat="1" ht="13.2" x14ac:dyDescent="0.25">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row>
    <row r="472" spans="2:25" s="86" customFormat="1" ht="13.2" x14ac:dyDescent="0.25">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row>
    <row r="473" spans="2:25" s="86" customFormat="1" ht="13.2" x14ac:dyDescent="0.25">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row>
    <row r="474" spans="2:25" s="86" customFormat="1" ht="13.2" x14ac:dyDescent="0.25">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row>
    <row r="475" spans="2:25" s="86" customFormat="1" ht="13.2" x14ac:dyDescent="0.25">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row>
    <row r="476" spans="2:25" s="86" customFormat="1" ht="13.2" x14ac:dyDescent="0.25">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row>
    <row r="477" spans="2:25" s="86" customFormat="1" ht="13.2" x14ac:dyDescent="0.25">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row>
    <row r="478" spans="2:25" s="86" customFormat="1" ht="13.2" x14ac:dyDescent="0.25">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row>
    <row r="479" spans="2:25" s="86" customFormat="1" ht="13.2" x14ac:dyDescent="0.25">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row>
    <row r="480" spans="2:25" s="86" customFormat="1" ht="13.2" x14ac:dyDescent="0.25">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2:25" s="86" customFormat="1" ht="13.2" x14ac:dyDescent="0.25">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row>
    <row r="482" spans="2:25" s="86" customFormat="1" ht="13.2" x14ac:dyDescent="0.25">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2:25" s="86" customFormat="1" ht="13.2" x14ac:dyDescent="0.25">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row>
    <row r="484" spans="2:25" s="86" customFormat="1" ht="13.2" x14ac:dyDescent="0.25">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2:25" s="86" customFormat="1" ht="13.2" x14ac:dyDescent="0.25">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row>
    <row r="486" spans="2:25" s="86" customFormat="1" ht="13.2" x14ac:dyDescent="0.25">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2:25" s="86" customFormat="1" ht="13.2" x14ac:dyDescent="0.25">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2:25" s="86" customFormat="1" ht="13.2" x14ac:dyDescent="0.25">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row>
    <row r="489" spans="2:25" s="86" customFormat="1" ht="13.2" x14ac:dyDescent="0.25">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2:25" s="86" customFormat="1" ht="13.2" x14ac:dyDescent="0.25">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row>
    <row r="491" spans="2:25" s="86" customFormat="1" ht="13.2" x14ac:dyDescent="0.25">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2:25" s="86" customFormat="1" ht="13.2" x14ac:dyDescent="0.25">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row>
    <row r="493" spans="2:25" s="86" customFormat="1" ht="13.2" x14ac:dyDescent="0.25">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row>
    <row r="494" spans="2:25" s="86" customFormat="1" ht="13.2" x14ac:dyDescent="0.25">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row>
    <row r="495" spans="2:25" s="86" customFormat="1" ht="13.2" x14ac:dyDescent="0.25">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row>
    <row r="496" spans="2:25" s="86" customFormat="1" ht="13.2" x14ac:dyDescent="0.25">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row>
    <row r="497" spans="2:25" s="86" customFormat="1" ht="13.2" x14ac:dyDescent="0.25">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row>
    <row r="498" spans="2:25" s="86" customFormat="1" ht="13.2" x14ac:dyDescent="0.25">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row>
    <row r="499" spans="2:25" s="86" customFormat="1" ht="13.2" x14ac:dyDescent="0.25">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row>
    <row r="500" spans="2:25" s="86" customFormat="1" ht="13.2" x14ac:dyDescent="0.25">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row>
    <row r="501" spans="2:25" s="86" customFormat="1" ht="13.2" x14ac:dyDescent="0.25">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row>
    <row r="502" spans="2:25" s="86" customFormat="1" ht="13.2" x14ac:dyDescent="0.25">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row>
    <row r="503" spans="2:25" s="86" customFormat="1" ht="13.2" x14ac:dyDescent="0.25">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row>
    <row r="504" spans="2:25" s="86" customFormat="1" ht="13.2" x14ac:dyDescent="0.25">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row>
    <row r="505" spans="2:25" s="86" customFormat="1" ht="13.2" x14ac:dyDescent="0.25">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row>
    <row r="506" spans="2:25" s="86" customFormat="1" ht="13.2" x14ac:dyDescent="0.25">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row>
    <row r="507" spans="2:25" s="86" customFormat="1" ht="13.2" x14ac:dyDescent="0.25">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row>
    <row r="508" spans="2:25" s="86" customFormat="1" ht="13.2" x14ac:dyDescent="0.25">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row>
    <row r="509" spans="2:25" s="86" customFormat="1" ht="13.2" x14ac:dyDescent="0.25">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row>
    <row r="510" spans="2:25" s="86" customFormat="1" ht="13.2" x14ac:dyDescent="0.25">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row>
    <row r="511" spans="2:25" s="86" customFormat="1" ht="13.2" x14ac:dyDescent="0.25">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row>
    <row r="512" spans="2:25" s="86" customFormat="1" ht="13.2" x14ac:dyDescent="0.25">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row>
    <row r="513" spans="2:25" s="86" customFormat="1" ht="13.2" x14ac:dyDescent="0.25">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row>
    <row r="514" spans="2:25" s="86" customFormat="1" ht="13.2" x14ac:dyDescent="0.25">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row>
    <row r="515" spans="2:25" s="86" customFormat="1" ht="13.2" x14ac:dyDescent="0.25">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row>
    <row r="516" spans="2:25" s="86" customFormat="1" ht="13.2" x14ac:dyDescent="0.25">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row>
    <row r="517" spans="2:25" s="86" customFormat="1" ht="13.2" x14ac:dyDescent="0.25">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row>
    <row r="518" spans="2:25" s="86" customFormat="1" ht="13.2" x14ac:dyDescent="0.25">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row>
    <row r="519" spans="2:25" s="86" customFormat="1" ht="13.2" x14ac:dyDescent="0.25">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row>
    <row r="520" spans="2:25" s="86" customFormat="1" ht="13.2" x14ac:dyDescent="0.25">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row>
    <row r="521" spans="2:25" s="86" customFormat="1" ht="13.2" x14ac:dyDescent="0.25">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row>
    <row r="522" spans="2:25" s="86" customFormat="1" ht="13.2" x14ac:dyDescent="0.25">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row>
    <row r="523" spans="2:25" s="86" customFormat="1" ht="13.2" x14ac:dyDescent="0.25">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row>
    <row r="524" spans="2:25" s="86" customFormat="1" ht="13.2" x14ac:dyDescent="0.25">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row>
    <row r="525" spans="2:25" s="86" customFormat="1" ht="13.2" x14ac:dyDescent="0.25">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row>
    <row r="526" spans="2:25" s="86" customFormat="1" ht="13.2" x14ac:dyDescent="0.25">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row>
    <row r="527" spans="2:25" s="86" customFormat="1" ht="13.2" x14ac:dyDescent="0.25">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row>
    <row r="528" spans="2:25" s="86" customFormat="1" ht="13.2" x14ac:dyDescent="0.25">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row>
    <row r="529" spans="2:25" s="86" customFormat="1" ht="13.2" x14ac:dyDescent="0.25">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row>
    <row r="530" spans="2:25" s="86" customFormat="1" ht="13.2" x14ac:dyDescent="0.25">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row>
    <row r="531" spans="2:25" s="86" customFormat="1" ht="13.2" x14ac:dyDescent="0.25">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row>
    <row r="532" spans="2:25" s="86" customFormat="1" ht="13.2" x14ac:dyDescent="0.25">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row>
    <row r="533" spans="2:25" s="86" customFormat="1" ht="13.2" x14ac:dyDescent="0.25">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row>
    <row r="534" spans="2:25" s="86" customFormat="1" ht="13.2" x14ac:dyDescent="0.25">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row>
    <row r="535" spans="2:25" s="86" customFormat="1" ht="13.2" x14ac:dyDescent="0.25">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row>
    <row r="536" spans="2:25" s="86" customFormat="1" ht="13.2" x14ac:dyDescent="0.25">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row>
    <row r="537" spans="2:25" s="86" customFormat="1" ht="13.2" x14ac:dyDescent="0.25">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row>
    <row r="538" spans="2:25" s="86" customFormat="1" ht="13.2" x14ac:dyDescent="0.25">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row>
    <row r="539" spans="2:25" s="86" customFormat="1" ht="13.2" x14ac:dyDescent="0.25">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row>
    <row r="540" spans="2:25" s="86" customFormat="1" ht="13.2" x14ac:dyDescent="0.25">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row>
    <row r="541" spans="2:25" s="86" customFormat="1" ht="13.2" x14ac:dyDescent="0.25">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row>
    <row r="542" spans="2:25" s="86" customFormat="1" ht="13.2" x14ac:dyDescent="0.25">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row>
    <row r="543" spans="2:25" s="86" customFormat="1" ht="13.2" x14ac:dyDescent="0.25">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row>
    <row r="544" spans="2:25" s="86" customFormat="1" ht="13.2" x14ac:dyDescent="0.25">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row>
    <row r="545" spans="2:25" s="86" customFormat="1" ht="13.2" x14ac:dyDescent="0.25">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row>
    <row r="546" spans="2:25" s="86" customFormat="1" ht="13.2" x14ac:dyDescent="0.25">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row>
    <row r="547" spans="2:25" s="86" customFormat="1" ht="13.2" x14ac:dyDescent="0.25">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row>
    <row r="548" spans="2:25" s="86" customFormat="1" ht="13.2" x14ac:dyDescent="0.25">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row>
    <row r="549" spans="2:25" s="86" customFormat="1" ht="13.2" x14ac:dyDescent="0.25">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row>
    <row r="550" spans="2:25" s="86" customFormat="1" ht="13.2" x14ac:dyDescent="0.25">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row>
    <row r="551" spans="2:25" s="86" customFormat="1" ht="13.2" x14ac:dyDescent="0.25">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row>
    <row r="552" spans="2:25" s="86" customFormat="1" ht="13.2" x14ac:dyDescent="0.25">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row>
    <row r="553" spans="2:25" s="86" customFormat="1" ht="13.2" x14ac:dyDescent="0.25">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row>
    <row r="554" spans="2:25" s="86" customFormat="1" ht="13.2" x14ac:dyDescent="0.25">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row>
    <row r="555" spans="2:25" s="86" customFormat="1" ht="13.2" x14ac:dyDescent="0.25">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row>
    <row r="556" spans="2:25" s="86" customFormat="1" ht="13.2" x14ac:dyDescent="0.25">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row>
    <row r="557" spans="2:25" s="86" customFormat="1" ht="13.2" x14ac:dyDescent="0.25">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row>
    <row r="558" spans="2:25" s="86" customFormat="1" ht="13.2" x14ac:dyDescent="0.25">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row>
    <row r="559" spans="2:25" s="86" customFormat="1" ht="13.2" x14ac:dyDescent="0.25">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row>
    <row r="560" spans="2:25" s="86" customFormat="1" ht="13.2" x14ac:dyDescent="0.25">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row>
    <row r="561" spans="2:25" s="86" customFormat="1" ht="13.2" x14ac:dyDescent="0.25">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row>
    <row r="562" spans="2:25" s="86" customFormat="1" ht="13.2" x14ac:dyDescent="0.25">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row>
    <row r="563" spans="2:25" s="86" customFormat="1" ht="13.2" x14ac:dyDescent="0.25">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row>
    <row r="564" spans="2:25" s="86" customFormat="1" ht="13.2" x14ac:dyDescent="0.25">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row>
    <row r="565" spans="2:25" s="86" customFormat="1" ht="13.2" x14ac:dyDescent="0.25">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row>
    <row r="566" spans="2:25" s="86" customFormat="1" ht="13.2" x14ac:dyDescent="0.25">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row>
    <row r="567" spans="2:25" s="86" customFormat="1" ht="13.2" x14ac:dyDescent="0.25">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row>
    <row r="568" spans="2:25" s="86" customFormat="1" ht="13.2" x14ac:dyDescent="0.25">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row>
    <row r="569" spans="2:25" s="86" customFormat="1" ht="13.2" x14ac:dyDescent="0.25">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row>
    <row r="570" spans="2:25" s="86" customFormat="1" ht="13.2" x14ac:dyDescent="0.25">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row>
    <row r="571" spans="2:25" s="86" customFormat="1" ht="13.2" x14ac:dyDescent="0.25">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row>
    <row r="572" spans="2:25" s="86" customFormat="1" ht="13.2" x14ac:dyDescent="0.25">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row>
    <row r="573" spans="2:25" s="86" customFormat="1" ht="13.2" x14ac:dyDescent="0.25">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row>
    <row r="574" spans="2:25" s="86" customFormat="1" ht="13.2" x14ac:dyDescent="0.25">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row>
    <row r="575" spans="2:25" s="86" customFormat="1" ht="13.2" x14ac:dyDescent="0.25">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row>
    <row r="576" spans="2:25" s="86" customFormat="1" ht="13.2" x14ac:dyDescent="0.25">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row>
    <row r="577" spans="2:25" s="86" customFormat="1" ht="13.2" x14ac:dyDescent="0.25">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row>
    <row r="578" spans="2:25" s="86" customFormat="1" ht="13.2" x14ac:dyDescent="0.25">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row>
    <row r="579" spans="2:25" s="86" customFormat="1" ht="13.2" x14ac:dyDescent="0.25">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row>
    <row r="580" spans="2:25" s="86" customFormat="1" ht="13.2" x14ac:dyDescent="0.25">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row>
    <row r="581" spans="2:25" s="86" customFormat="1" ht="13.2" x14ac:dyDescent="0.25">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row>
    <row r="582" spans="2:25" s="86" customFormat="1" ht="13.2" x14ac:dyDescent="0.25">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row>
    <row r="583" spans="2:25" s="86" customFormat="1" ht="13.2" x14ac:dyDescent="0.25">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row>
    <row r="584" spans="2:25" s="86" customFormat="1" ht="13.2" x14ac:dyDescent="0.25">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row>
    <row r="585" spans="2:25" s="86" customFormat="1" ht="13.2" x14ac:dyDescent="0.25">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row>
    <row r="586" spans="2:25" s="86" customFormat="1" ht="13.2" x14ac:dyDescent="0.25">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row>
    <row r="587" spans="2:25" s="86" customFormat="1" ht="13.2" x14ac:dyDescent="0.25">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row>
    <row r="588" spans="2:25" s="86" customFormat="1" ht="13.2" x14ac:dyDescent="0.25">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row>
    <row r="589" spans="2:25" s="86" customFormat="1" ht="13.2" x14ac:dyDescent="0.25">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row>
    <row r="590" spans="2:25" s="86" customFormat="1" ht="13.2" x14ac:dyDescent="0.25">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row>
    <row r="591" spans="2:25" s="86" customFormat="1" ht="13.2" x14ac:dyDescent="0.25">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row>
    <row r="592" spans="2:25" s="86" customFormat="1" ht="13.2" x14ac:dyDescent="0.25">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row>
    <row r="593" spans="2:25" s="86" customFormat="1" ht="13.2" x14ac:dyDescent="0.25">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row>
    <row r="594" spans="2:25" s="86" customFormat="1" ht="13.2" x14ac:dyDescent="0.25">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row>
    <row r="595" spans="2:25" s="86" customFormat="1" ht="13.2" x14ac:dyDescent="0.25">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row>
    <row r="596" spans="2:25" s="86" customFormat="1" ht="13.2" x14ac:dyDescent="0.25">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row>
    <row r="597" spans="2:25" s="86" customFormat="1" ht="13.2" x14ac:dyDescent="0.25">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row>
    <row r="598" spans="2:25" s="86" customFormat="1" ht="13.2" x14ac:dyDescent="0.25">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row>
    <row r="599" spans="2:25" s="86" customFormat="1" ht="13.2" x14ac:dyDescent="0.25">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row>
    <row r="600" spans="2:25" s="86" customFormat="1" ht="13.2" x14ac:dyDescent="0.25">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row>
    <row r="601" spans="2:25" s="86" customFormat="1" ht="13.2" x14ac:dyDescent="0.25">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row>
    <row r="602" spans="2:25" s="86" customFormat="1" ht="13.2" x14ac:dyDescent="0.25">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row>
    <row r="603" spans="2:25" s="86" customFormat="1" ht="13.2" x14ac:dyDescent="0.25">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row>
    <row r="604" spans="2:25" s="86" customFormat="1" ht="13.2" x14ac:dyDescent="0.25">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row>
    <row r="605" spans="2:25" s="86" customFormat="1" ht="13.2" x14ac:dyDescent="0.25">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row>
    <row r="606" spans="2:25" s="86" customFormat="1" ht="13.2" x14ac:dyDescent="0.25">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row>
    <row r="607" spans="2:25" s="86" customFormat="1" ht="13.2" x14ac:dyDescent="0.25">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row>
    <row r="608" spans="2:25" s="86" customFormat="1" ht="13.2" x14ac:dyDescent="0.25">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row>
    <row r="609" spans="2:25" s="86" customFormat="1" ht="13.2" x14ac:dyDescent="0.25">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row>
    <row r="610" spans="2:25" s="86" customFormat="1" ht="13.2" x14ac:dyDescent="0.25">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row>
    <row r="611" spans="2:25" s="86" customFormat="1" ht="13.2" x14ac:dyDescent="0.25">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row>
    <row r="612" spans="2:25" s="86" customFormat="1" ht="13.2" x14ac:dyDescent="0.25">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row>
    <row r="613" spans="2:25" s="86" customFormat="1" ht="13.2" x14ac:dyDescent="0.25">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row>
    <row r="614" spans="2:25" s="86" customFormat="1" ht="13.2" x14ac:dyDescent="0.25">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row>
    <row r="615" spans="2:25" s="86" customFormat="1" ht="13.2" x14ac:dyDescent="0.25">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row>
    <row r="616" spans="2:25" s="86" customFormat="1" ht="13.2" x14ac:dyDescent="0.25">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row>
    <row r="617" spans="2:25" s="86" customFormat="1" ht="13.2" x14ac:dyDescent="0.25">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row>
    <row r="618" spans="2:25" s="86" customFormat="1" ht="13.2" x14ac:dyDescent="0.25">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row>
    <row r="619" spans="2:25" s="86" customFormat="1" ht="13.2" x14ac:dyDescent="0.25">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row>
    <row r="620" spans="2:25" s="86" customFormat="1" ht="13.2" x14ac:dyDescent="0.25">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row>
    <row r="621" spans="2:25" s="86" customFormat="1" ht="13.2" x14ac:dyDescent="0.25">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row>
    <row r="622" spans="2:25" s="86" customFormat="1" ht="13.2" x14ac:dyDescent="0.25">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row>
    <row r="623" spans="2:25" s="86" customFormat="1" ht="13.2" x14ac:dyDescent="0.25">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row>
    <row r="624" spans="2:25" s="86" customFormat="1" ht="13.2" x14ac:dyDescent="0.25">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row>
    <row r="625" spans="2:25" s="86" customFormat="1" ht="13.2" x14ac:dyDescent="0.25">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row>
    <row r="626" spans="2:25" s="86" customFormat="1" ht="13.2" x14ac:dyDescent="0.25">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row>
    <row r="627" spans="2:25" s="86" customFormat="1" ht="13.2" x14ac:dyDescent="0.25">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row>
    <row r="628" spans="2:25" s="86" customFormat="1" ht="13.2" x14ac:dyDescent="0.25">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row>
    <row r="629" spans="2:25" s="86" customFormat="1" ht="13.2" x14ac:dyDescent="0.25">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row>
    <row r="630" spans="2:25" s="86" customFormat="1" ht="13.2" x14ac:dyDescent="0.25">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row>
    <row r="631" spans="2:25" s="86" customFormat="1" ht="13.2" x14ac:dyDescent="0.25">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row>
    <row r="632" spans="2:25" s="86" customFormat="1" ht="13.2" x14ac:dyDescent="0.25">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row>
    <row r="633" spans="2:25" s="86" customFormat="1" ht="13.2" x14ac:dyDescent="0.25">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row>
    <row r="634" spans="2:25" s="86" customFormat="1" ht="13.2" x14ac:dyDescent="0.25">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row>
    <row r="635" spans="2:25" s="86" customFormat="1" ht="13.2" x14ac:dyDescent="0.25">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row>
    <row r="636" spans="2:25" s="86" customFormat="1" ht="13.2" x14ac:dyDescent="0.25">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row>
    <row r="637" spans="2:25" s="86" customFormat="1" ht="13.2" x14ac:dyDescent="0.25">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row>
    <row r="638" spans="2:25" s="86" customFormat="1" ht="13.2" x14ac:dyDescent="0.25">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row>
    <row r="639" spans="2:25" s="86" customFormat="1" ht="13.2" x14ac:dyDescent="0.25">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row>
    <row r="640" spans="2:25" s="86" customFormat="1" ht="13.2" x14ac:dyDescent="0.25">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row>
    <row r="641" spans="2:25" s="86" customFormat="1" ht="13.2" x14ac:dyDescent="0.25">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row>
    <row r="642" spans="2:25" s="86" customFormat="1" ht="13.2" x14ac:dyDescent="0.25">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row>
    <row r="643" spans="2:25" s="86" customFormat="1" ht="13.2" x14ac:dyDescent="0.25">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row>
    <row r="644" spans="2:25" s="86" customFormat="1" ht="13.2" x14ac:dyDescent="0.25">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row>
    <row r="645" spans="2:25" s="86" customFormat="1" ht="13.2" x14ac:dyDescent="0.25">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row>
    <row r="646" spans="2:25" s="86" customFormat="1" ht="13.2" x14ac:dyDescent="0.25">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row>
    <row r="647" spans="2:25" s="86" customFormat="1" ht="13.2" x14ac:dyDescent="0.25">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row>
    <row r="648" spans="2:25" s="86" customFormat="1" ht="13.2" x14ac:dyDescent="0.25">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row>
    <row r="649" spans="2:25" s="86" customFormat="1" ht="13.2" x14ac:dyDescent="0.25">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row>
    <row r="650" spans="2:25" s="86" customFormat="1" ht="13.2" x14ac:dyDescent="0.25">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row>
    <row r="651" spans="2:25" s="86" customFormat="1" ht="13.2" x14ac:dyDescent="0.25">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row>
    <row r="652" spans="2:25" s="86" customFormat="1" ht="13.2" x14ac:dyDescent="0.25">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row>
    <row r="653" spans="2:25" s="86" customFormat="1" ht="13.2" x14ac:dyDescent="0.25">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row>
    <row r="654" spans="2:25" s="86" customFormat="1" ht="13.2" x14ac:dyDescent="0.25">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row>
    <row r="655" spans="2:25" s="86" customFormat="1" ht="13.2" x14ac:dyDescent="0.25">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row>
    <row r="656" spans="2:25" s="86" customFormat="1" ht="13.2" x14ac:dyDescent="0.25">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row>
    <row r="657" spans="2:25" s="86" customFormat="1" ht="13.2" x14ac:dyDescent="0.25">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row>
    <row r="658" spans="2:25" s="86" customFormat="1" ht="13.2" x14ac:dyDescent="0.25">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row>
    <row r="659" spans="2:25" s="86" customFormat="1" ht="13.2" x14ac:dyDescent="0.25">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row>
    <row r="660" spans="2:25" s="86" customFormat="1" ht="13.2" x14ac:dyDescent="0.25">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row>
    <row r="661" spans="2:25" s="86" customFormat="1" ht="13.2" x14ac:dyDescent="0.25">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row>
    <row r="662" spans="2:25" s="86" customFormat="1" ht="13.2" x14ac:dyDescent="0.25">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row>
    <row r="663" spans="2:25" s="86" customFormat="1" ht="13.2" x14ac:dyDescent="0.25">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row>
    <row r="664" spans="2:25" s="86" customFormat="1" ht="13.2" x14ac:dyDescent="0.25">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row>
    <row r="665" spans="2:25" s="86" customFormat="1" ht="13.2" x14ac:dyDescent="0.25">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row>
    <row r="666" spans="2:25" s="86" customFormat="1" ht="13.2" x14ac:dyDescent="0.25">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row>
    <row r="667" spans="2:25" s="86" customFormat="1" ht="13.2" x14ac:dyDescent="0.25">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row>
    <row r="668" spans="2:25" s="86" customFormat="1" ht="13.2" x14ac:dyDescent="0.25">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row>
    <row r="669" spans="2:25" s="86" customFormat="1" ht="13.2" x14ac:dyDescent="0.25">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row>
    <row r="670" spans="2:25" s="86" customFormat="1" ht="13.2" x14ac:dyDescent="0.25">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row>
    <row r="671" spans="2:25" s="86" customFormat="1" ht="13.2" x14ac:dyDescent="0.25">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row>
    <row r="672" spans="2:25" s="86" customFormat="1" ht="13.2" x14ac:dyDescent="0.25">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row>
    <row r="673" spans="2:25" s="86" customFormat="1" ht="13.2" x14ac:dyDescent="0.25">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row>
    <row r="674" spans="2:25" s="86" customFormat="1" ht="13.2" x14ac:dyDescent="0.25">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row>
    <row r="675" spans="2:25" s="86" customFormat="1" ht="13.2" x14ac:dyDescent="0.25">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row>
    <row r="676" spans="2:25" s="86" customFormat="1" ht="13.2" x14ac:dyDescent="0.25">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row>
    <row r="677" spans="2:25" s="86" customFormat="1" ht="13.2" x14ac:dyDescent="0.25">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row>
    <row r="678" spans="2:25" s="86" customFormat="1" ht="13.2" x14ac:dyDescent="0.25">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row>
    <row r="679" spans="2:25" s="86" customFormat="1" ht="13.2" x14ac:dyDescent="0.25">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row>
    <row r="680" spans="2:25" s="86" customFormat="1" ht="13.2" x14ac:dyDescent="0.25">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row>
    <row r="681" spans="2:25" s="86" customFormat="1" ht="13.2" x14ac:dyDescent="0.25">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row>
    <row r="682" spans="2:25" s="86" customFormat="1" ht="13.2" x14ac:dyDescent="0.25">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row>
    <row r="683" spans="2:25" s="86" customFormat="1" ht="13.2" x14ac:dyDescent="0.25">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row>
    <row r="684" spans="2:25" s="86" customFormat="1" ht="13.2" x14ac:dyDescent="0.25">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row>
    <row r="685" spans="2:25" s="86" customFormat="1" ht="13.2" x14ac:dyDescent="0.25">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row>
    <row r="686" spans="2:25" s="86" customFormat="1" ht="13.2" x14ac:dyDescent="0.25">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row>
    <row r="687" spans="2:25" s="86" customFormat="1" ht="13.2" x14ac:dyDescent="0.25">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row>
    <row r="688" spans="2:25" s="86" customFormat="1" ht="13.2" x14ac:dyDescent="0.25">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row>
    <row r="689" spans="2:25" s="86" customFormat="1" ht="13.2" x14ac:dyDescent="0.25">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row>
    <row r="690" spans="2:25" s="86" customFormat="1" ht="13.2" x14ac:dyDescent="0.25">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row>
    <row r="691" spans="2:25" s="86" customFormat="1" ht="13.2" x14ac:dyDescent="0.25">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row>
    <row r="692" spans="2:25" s="86" customFormat="1" ht="13.2" x14ac:dyDescent="0.25">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row>
    <row r="693" spans="2:25" s="86" customFormat="1" ht="13.2" x14ac:dyDescent="0.25">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row>
    <row r="694" spans="2:25" s="86" customFormat="1" ht="13.2" x14ac:dyDescent="0.25">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row>
    <row r="695" spans="2:25" s="86" customFormat="1" ht="13.2" x14ac:dyDescent="0.25">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row>
    <row r="696" spans="2:25" s="86" customFormat="1" ht="13.2" x14ac:dyDescent="0.25">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row>
    <row r="697" spans="2:25" s="86" customFormat="1" ht="13.2" x14ac:dyDescent="0.25">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row>
    <row r="698" spans="2:25" s="86" customFormat="1" ht="13.2" x14ac:dyDescent="0.25">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row>
    <row r="699" spans="2:25" s="86" customFormat="1" ht="13.2" x14ac:dyDescent="0.25">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row>
    <row r="700" spans="2:25" s="86" customFormat="1" ht="13.2" x14ac:dyDescent="0.25">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row>
    <row r="701" spans="2:25" s="86" customFormat="1" ht="13.2" x14ac:dyDescent="0.25">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row>
    <row r="702" spans="2:25" s="86" customFormat="1" ht="13.2" x14ac:dyDescent="0.25">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row>
    <row r="703" spans="2:25" s="86" customFormat="1" ht="13.2" x14ac:dyDescent="0.25">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row>
    <row r="704" spans="2:25" s="86" customFormat="1" ht="13.2" x14ac:dyDescent="0.25">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row>
    <row r="705" spans="2:25" s="86" customFormat="1" ht="13.2" x14ac:dyDescent="0.25">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row>
    <row r="706" spans="2:25" s="86" customFormat="1" ht="13.2" x14ac:dyDescent="0.25">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row>
    <row r="707" spans="2:25" s="86" customFormat="1" ht="13.2" x14ac:dyDescent="0.25">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row>
    <row r="708" spans="2:25" s="86" customFormat="1" ht="13.2" x14ac:dyDescent="0.25">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row>
    <row r="709" spans="2:25" s="86" customFormat="1" ht="13.2" x14ac:dyDescent="0.25">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row>
    <row r="710" spans="2:25" s="86" customFormat="1" ht="13.2" x14ac:dyDescent="0.25">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row>
    <row r="711" spans="2:25" s="86" customFormat="1" ht="13.2" x14ac:dyDescent="0.25">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row>
    <row r="712" spans="2:25" s="86" customFormat="1" ht="13.2" x14ac:dyDescent="0.25">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row>
    <row r="713" spans="2:25" s="86" customFormat="1" ht="13.2" x14ac:dyDescent="0.25">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row>
    <row r="714" spans="2:25" s="86" customFormat="1" ht="13.2" x14ac:dyDescent="0.25">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row>
    <row r="715" spans="2:25" s="86" customFormat="1" ht="13.2" x14ac:dyDescent="0.25">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row>
    <row r="716" spans="2:25" s="86" customFormat="1" ht="13.2" x14ac:dyDescent="0.25">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row>
    <row r="717" spans="2:25" s="86" customFormat="1" ht="13.2" x14ac:dyDescent="0.25">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row>
    <row r="718" spans="2:25" s="86" customFormat="1" ht="13.2" x14ac:dyDescent="0.25">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row>
    <row r="719" spans="2:25" s="86" customFormat="1" ht="13.2" x14ac:dyDescent="0.25">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row>
    <row r="720" spans="2:25" s="86" customFormat="1" ht="13.2" x14ac:dyDescent="0.25">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row>
    <row r="721" spans="2:25" s="86" customFormat="1" ht="13.2" x14ac:dyDescent="0.25">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row>
    <row r="722" spans="2:25" s="86" customFormat="1" ht="13.2" x14ac:dyDescent="0.25">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row>
    <row r="723" spans="2:25" s="86" customFormat="1" ht="13.2" x14ac:dyDescent="0.25">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row>
    <row r="724" spans="2:25" s="86" customFormat="1" ht="13.2" x14ac:dyDescent="0.25">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row>
    <row r="725" spans="2:25" s="86" customFormat="1" ht="13.2" x14ac:dyDescent="0.25">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row>
    <row r="726" spans="2:25" s="86" customFormat="1" ht="13.2" x14ac:dyDescent="0.25">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row>
    <row r="727" spans="2:25" s="86" customFormat="1" ht="13.2" x14ac:dyDescent="0.25">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row>
    <row r="728" spans="2:25" s="86" customFormat="1" ht="13.2" x14ac:dyDescent="0.25">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row>
    <row r="729" spans="2:25" s="86" customFormat="1" ht="13.2" x14ac:dyDescent="0.25">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row>
    <row r="730" spans="2:25" s="86" customFormat="1" ht="13.2" x14ac:dyDescent="0.25">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row>
    <row r="731" spans="2:25" s="86" customFormat="1" ht="13.2" x14ac:dyDescent="0.25">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row>
    <row r="732" spans="2:25" s="86" customFormat="1" ht="13.2" x14ac:dyDescent="0.25">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row>
    <row r="733" spans="2:25" s="86" customFormat="1" ht="13.2" x14ac:dyDescent="0.25">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row>
    <row r="734" spans="2:25" s="86" customFormat="1" ht="13.2" x14ac:dyDescent="0.25">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row>
    <row r="735" spans="2:25" s="86" customFormat="1" ht="13.2" x14ac:dyDescent="0.25">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row>
    <row r="736" spans="2:25" s="86" customFormat="1" ht="13.2" x14ac:dyDescent="0.25">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row>
    <row r="737" spans="2:25" s="86" customFormat="1" ht="13.2" x14ac:dyDescent="0.25">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row>
    <row r="738" spans="2:25" s="86" customFormat="1" ht="13.2" x14ac:dyDescent="0.25">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row>
    <row r="739" spans="2:25" s="86" customFormat="1" ht="13.2" x14ac:dyDescent="0.25">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row>
    <row r="740" spans="2:25" s="86" customFormat="1" ht="13.2" x14ac:dyDescent="0.25">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row>
    <row r="741" spans="2:25" s="86" customFormat="1" ht="13.2" x14ac:dyDescent="0.25">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row>
    <row r="742" spans="2:25" s="86" customFormat="1" ht="13.2" x14ac:dyDescent="0.25">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row>
    <row r="743" spans="2:25" s="86" customFormat="1" ht="13.2" x14ac:dyDescent="0.25">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row>
    <row r="744" spans="2:25" s="86" customFormat="1" ht="13.2" x14ac:dyDescent="0.25">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row>
    <row r="745" spans="2:25" s="86" customFormat="1" ht="13.2" x14ac:dyDescent="0.25">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row>
    <row r="746" spans="2:25" s="86" customFormat="1" ht="13.2" x14ac:dyDescent="0.25">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row>
    <row r="747" spans="2:25" s="86" customFormat="1" ht="13.2" x14ac:dyDescent="0.25">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row>
    <row r="748" spans="2:25" s="86" customFormat="1" ht="13.2" x14ac:dyDescent="0.25">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row>
    <row r="749" spans="2:25" s="86" customFormat="1" ht="13.2" x14ac:dyDescent="0.25">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row>
    <row r="750" spans="2:25" s="86" customFormat="1" ht="13.2" x14ac:dyDescent="0.25">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row>
    <row r="751" spans="2:25" s="86" customFormat="1" ht="13.2" x14ac:dyDescent="0.25">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row>
    <row r="752" spans="2:25" s="86" customFormat="1" ht="13.2" x14ac:dyDescent="0.25">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row>
    <row r="753" spans="2:25" s="86" customFormat="1" ht="13.2" x14ac:dyDescent="0.25">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row>
    <row r="754" spans="2:25" s="86" customFormat="1" ht="13.2" x14ac:dyDescent="0.25">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row>
    <row r="755" spans="2:25" s="86" customFormat="1" ht="13.2" x14ac:dyDescent="0.25">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row>
    <row r="756" spans="2:25" s="86" customFormat="1" ht="13.2" x14ac:dyDescent="0.25">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row>
    <row r="757" spans="2:25" s="86" customFormat="1" ht="13.2" x14ac:dyDescent="0.25">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row>
    <row r="758" spans="2:25" s="86" customFormat="1" ht="13.2" x14ac:dyDescent="0.25">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row>
    <row r="759" spans="2:25" s="86" customFormat="1" ht="13.2" x14ac:dyDescent="0.25">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row>
    <row r="760" spans="2:25" s="86" customFormat="1" ht="13.2" x14ac:dyDescent="0.25">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row>
    <row r="761" spans="2:25" s="86" customFormat="1" ht="13.2" x14ac:dyDescent="0.25">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row>
    <row r="762" spans="2:25" s="86" customFormat="1" ht="13.2" x14ac:dyDescent="0.25">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row>
    <row r="763" spans="2:25" s="86" customFormat="1" ht="13.2" x14ac:dyDescent="0.25">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row>
    <row r="764" spans="2:25" s="86" customFormat="1" ht="13.2" x14ac:dyDescent="0.25">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row>
    <row r="765" spans="2:25" s="86" customFormat="1" ht="13.2" x14ac:dyDescent="0.25">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row>
    <row r="766" spans="2:25" s="86" customFormat="1" ht="13.2" x14ac:dyDescent="0.25">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row>
    <row r="767" spans="2:25" s="86" customFormat="1" ht="13.2" x14ac:dyDescent="0.25">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row>
    <row r="768" spans="2:25" s="86" customFormat="1" ht="13.2" x14ac:dyDescent="0.25">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row>
    <row r="769" spans="2:25" s="86" customFormat="1" ht="13.2" x14ac:dyDescent="0.25">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row>
    <row r="770" spans="2:25" s="86" customFormat="1" ht="13.2" x14ac:dyDescent="0.25">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row>
    <row r="771" spans="2:25" s="86" customFormat="1" ht="13.2" x14ac:dyDescent="0.25">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row>
    <row r="772" spans="2:25" s="86" customFormat="1" ht="13.2" x14ac:dyDescent="0.25">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row>
    <row r="773" spans="2:25" s="86" customFormat="1" ht="13.2" x14ac:dyDescent="0.25">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row>
    <row r="774" spans="2:25" s="86" customFormat="1" ht="13.2" x14ac:dyDescent="0.25">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row>
    <row r="775" spans="2:25" s="86" customFormat="1" ht="13.2" x14ac:dyDescent="0.25">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row>
    <row r="776" spans="2:25" s="86" customFormat="1" ht="13.2" x14ac:dyDescent="0.25">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row>
    <row r="777" spans="2:25" s="86" customFormat="1" ht="13.2" x14ac:dyDescent="0.25">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row>
    <row r="778" spans="2:25" s="86" customFormat="1" ht="13.2" x14ac:dyDescent="0.25">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row>
    <row r="779" spans="2:25" s="86" customFormat="1" ht="13.2" x14ac:dyDescent="0.25">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row>
    <row r="780" spans="2:25" s="86" customFormat="1" ht="13.2" x14ac:dyDescent="0.25">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row>
    <row r="781" spans="2:25" s="86" customFormat="1" ht="13.2" x14ac:dyDescent="0.25">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row>
    <row r="782" spans="2:25" s="86" customFormat="1" ht="13.2" x14ac:dyDescent="0.25">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row>
    <row r="783" spans="2:25" s="86" customFormat="1" ht="13.2" x14ac:dyDescent="0.25">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row>
    <row r="784" spans="2:25" s="86" customFormat="1" ht="13.2" x14ac:dyDescent="0.25">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row>
    <row r="785" spans="2:25" s="86" customFormat="1" ht="13.2" x14ac:dyDescent="0.25">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row>
    <row r="786" spans="2:25" s="86" customFormat="1" ht="13.2" x14ac:dyDescent="0.25">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row>
    <row r="787" spans="2:25" s="86" customFormat="1" ht="13.2" x14ac:dyDescent="0.25">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row>
    <row r="788" spans="2:25" s="86" customFormat="1" ht="13.2" x14ac:dyDescent="0.25">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row>
    <row r="789" spans="2:25" s="86" customFormat="1" ht="13.2" x14ac:dyDescent="0.25">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row>
    <row r="790" spans="2:25" s="86" customFormat="1" ht="13.2" x14ac:dyDescent="0.25">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row>
    <row r="791" spans="2:25" s="86" customFormat="1" ht="13.2" x14ac:dyDescent="0.25">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row>
    <row r="792" spans="2:25" s="86" customFormat="1" ht="13.2" x14ac:dyDescent="0.25">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row>
    <row r="793" spans="2:25" s="86" customFormat="1" ht="13.2" x14ac:dyDescent="0.25">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row>
    <row r="794" spans="2:25" s="86" customFormat="1" ht="13.2" x14ac:dyDescent="0.25">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row>
    <row r="795" spans="2:25" s="86" customFormat="1" ht="13.2" x14ac:dyDescent="0.25">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row>
    <row r="796" spans="2:25" s="86" customFormat="1" ht="13.2" x14ac:dyDescent="0.25">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row>
    <row r="797" spans="2:25" s="86" customFormat="1" ht="13.2" x14ac:dyDescent="0.25">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row>
    <row r="798" spans="2:25" s="86" customFormat="1" ht="13.2" x14ac:dyDescent="0.25">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row>
    <row r="799" spans="2:25" s="86" customFormat="1" ht="13.2" x14ac:dyDescent="0.25">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row>
    <row r="800" spans="2:25" s="86" customFormat="1" ht="13.2" x14ac:dyDescent="0.25">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row>
    <row r="801" spans="2:25" s="86" customFormat="1" ht="13.2" x14ac:dyDescent="0.25">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row>
    <row r="802" spans="2:25" s="86" customFormat="1" ht="13.2" x14ac:dyDescent="0.25">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row>
    <row r="803" spans="2:25" s="86" customFormat="1" ht="13.2" x14ac:dyDescent="0.25">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row>
    <row r="804" spans="2:25" s="86" customFormat="1" ht="13.2" x14ac:dyDescent="0.25">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row>
    <row r="805" spans="2:25" s="86" customFormat="1" ht="13.2" x14ac:dyDescent="0.25">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row>
    <row r="806" spans="2:25" s="86" customFormat="1" ht="13.2" x14ac:dyDescent="0.25">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row>
    <row r="807" spans="2:25" s="86" customFormat="1" ht="13.2" x14ac:dyDescent="0.25">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row>
    <row r="808" spans="2:25" s="86" customFormat="1" ht="13.2" x14ac:dyDescent="0.25">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row>
    <row r="809" spans="2:25" s="86" customFormat="1" ht="13.2" x14ac:dyDescent="0.25">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row>
    <row r="810" spans="2:25" s="86" customFormat="1" ht="13.2" x14ac:dyDescent="0.25">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row>
    <row r="811" spans="2:25" s="86" customFormat="1" ht="13.2" x14ac:dyDescent="0.25">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row>
    <row r="812" spans="2:25" s="86" customFormat="1" ht="13.2" x14ac:dyDescent="0.25">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row>
    <row r="813" spans="2:25" s="86" customFormat="1" ht="13.2" x14ac:dyDescent="0.25">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row>
    <row r="814" spans="2:25" s="86" customFormat="1" ht="13.2" x14ac:dyDescent="0.25">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row>
    <row r="815" spans="2:25" s="86" customFormat="1" ht="13.2" x14ac:dyDescent="0.25">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row>
    <row r="816" spans="2:25" s="86" customFormat="1" ht="13.2" x14ac:dyDescent="0.25">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row>
    <row r="817" spans="2:25" s="86" customFormat="1" ht="13.2" x14ac:dyDescent="0.25">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row>
    <row r="818" spans="2:25" s="86" customFormat="1" ht="13.2" x14ac:dyDescent="0.25">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row>
    <row r="819" spans="2:25" s="86" customFormat="1" ht="13.2" x14ac:dyDescent="0.25">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row>
    <row r="820" spans="2:25" s="86" customFormat="1" ht="13.2" x14ac:dyDescent="0.25">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row>
    <row r="821" spans="2:25" s="86" customFormat="1" ht="13.2" x14ac:dyDescent="0.25">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row>
    <row r="822" spans="2:25" s="86" customFormat="1" ht="13.2" x14ac:dyDescent="0.25">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row>
    <row r="823" spans="2:25" s="86" customFormat="1" ht="13.2" x14ac:dyDescent="0.25">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row>
    <row r="824" spans="2:25" s="86" customFormat="1" ht="13.2" x14ac:dyDescent="0.25">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row>
    <row r="825" spans="2:25" s="86" customFormat="1" ht="13.2" x14ac:dyDescent="0.25">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row>
    <row r="826" spans="2:25" s="86" customFormat="1" ht="13.2" x14ac:dyDescent="0.25">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row>
    <row r="827" spans="2:25" s="86" customFormat="1" ht="13.2" x14ac:dyDescent="0.25">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row>
    <row r="828" spans="2:25" s="86" customFormat="1" ht="13.2" x14ac:dyDescent="0.25">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row>
    <row r="829" spans="2:25" s="86" customFormat="1" ht="13.2" x14ac:dyDescent="0.25">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row>
    <row r="830" spans="2:25" s="86" customFormat="1" ht="13.2" x14ac:dyDescent="0.25">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row>
    <row r="831" spans="2:25" s="86" customFormat="1" ht="13.2" x14ac:dyDescent="0.25">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row>
    <row r="832" spans="2:25" s="86" customFormat="1" ht="13.2" x14ac:dyDescent="0.25">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row>
    <row r="833" spans="2:25" s="86" customFormat="1" ht="13.2" x14ac:dyDescent="0.25">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row>
    <row r="834" spans="2:25" s="86" customFormat="1" ht="13.2" x14ac:dyDescent="0.25">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row>
    <row r="835" spans="2:25" s="86" customFormat="1" ht="13.2" x14ac:dyDescent="0.25">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row>
    <row r="836" spans="2:25" s="86" customFormat="1" ht="13.2" x14ac:dyDescent="0.25">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row>
    <row r="837" spans="2:25" s="86" customFormat="1" ht="13.2" x14ac:dyDescent="0.25">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row>
    <row r="838" spans="2:25" s="86" customFormat="1" ht="13.2" x14ac:dyDescent="0.25">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row>
    <row r="839" spans="2:25" s="86" customFormat="1" ht="13.2" x14ac:dyDescent="0.25">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row>
    <row r="840" spans="2:25" s="86" customFormat="1" ht="13.2" x14ac:dyDescent="0.25">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row>
    <row r="841" spans="2:25" s="86" customFormat="1" ht="13.2" x14ac:dyDescent="0.25">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row>
    <row r="842" spans="2:25" s="86" customFormat="1" ht="13.2" x14ac:dyDescent="0.25">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row>
    <row r="843" spans="2:25" s="86" customFormat="1" ht="13.2" x14ac:dyDescent="0.25">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row>
    <row r="844" spans="2:25" s="86" customFormat="1" ht="13.2" x14ac:dyDescent="0.25">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row>
    <row r="845" spans="2:25" s="86" customFormat="1" ht="13.2" x14ac:dyDescent="0.25">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row>
    <row r="846" spans="2:25" s="86" customFormat="1" ht="13.2" x14ac:dyDescent="0.25">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row>
    <row r="847" spans="2:25" s="86" customFormat="1" ht="13.2" x14ac:dyDescent="0.25">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row>
    <row r="848" spans="2:25" s="86" customFormat="1" ht="13.2" x14ac:dyDescent="0.25">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row>
    <row r="849" spans="2:25" s="86" customFormat="1" ht="13.2" x14ac:dyDescent="0.25">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row>
    <row r="850" spans="2:25" s="86" customFormat="1" ht="13.2" x14ac:dyDescent="0.25">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row>
    <row r="851" spans="2:25" s="86" customFormat="1" ht="13.2" x14ac:dyDescent="0.25">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row>
    <row r="852" spans="2:25" s="86" customFormat="1" ht="13.2" x14ac:dyDescent="0.25">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row>
    <row r="853" spans="2:25" s="86" customFormat="1" ht="13.2" x14ac:dyDescent="0.25">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row>
    <row r="854" spans="2:25" s="86" customFormat="1" ht="13.2" x14ac:dyDescent="0.25">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row>
    <row r="855" spans="2:25" s="86" customFormat="1" ht="13.2" x14ac:dyDescent="0.25">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row>
    <row r="856" spans="2:25" s="86" customFormat="1" ht="13.2" x14ac:dyDescent="0.25">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row>
    <row r="857" spans="2:25" s="86" customFormat="1" ht="13.2" x14ac:dyDescent="0.25">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row>
    <row r="858" spans="2:25" s="86" customFormat="1" ht="13.2" x14ac:dyDescent="0.25">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row>
    <row r="859" spans="2:25" s="86" customFormat="1" ht="13.2" x14ac:dyDescent="0.25">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row>
    <row r="860" spans="2:25" s="86" customFormat="1" ht="13.2" x14ac:dyDescent="0.25">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row>
    <row r="861" spans="2:25" s="86" customFormat="1" ht="13.2" x14ac:dyDescent="0.25">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row>
    <row r="862" spans="2:25" s="86" customFormat="1" ht="13.2" x14ac:dyDescent="0.25">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row>
    <row r="863" spans="2:25" s="86" customFormat="1" ht="13.2" x14ac:dyDescent="0.25">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row>
    <row r="864" spans="2:25" s="86" customFormat="1" ht="13.2" x14ac:dyDescent="0.25">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row>
    <row r="865" spans="2:25" s="86" customFormat="1" ht="13.2" x14ac:dyDescent="0.25">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row>
    <row r="866" spans="2:25" s="86" customFormat="1" ht="13.2" x14ac:dyDescent="0.25">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row>
    <row r="867" spans="2:25" s="86" customFormat="1" ht="13.2" x14ac:dyDescent="0.25">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row>
    <row r="868" spans="2:25" s="86" customFormat="1" ht="13.2" x14ac:dyDescent="0.25">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row>
    <row r="869" spans="2:25" s="86" customFormat="1" ht="13.2" x14ac:dyDescent="0.25">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row>
    <row r="870" spans="2:25" s="86" customFormat="1" ht="13.2" x14ac:dyDescent="0.25">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row>
    <row r="871" spans="2:25" s="86" customFormat="1" ht="13.2" x14ac:dyDescent="0.25">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row>
    <row r="872" spans="2:25" s="86" customFormat="1" ht="13.2" x14ac:dyDescent="0.25">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row>
    <row r="873" spans="2:25" s="86" customFormat="1" ht="13.2" x14ac:dyDescent="0.25">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row>
    <row r="874" spans="2:25" s="86" customFormat="1" ht="13.2" x14ac:dyDescent="0.25">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row>
    <row r="875" spans="2:25" s="86" customFormat="1" ht="13.2" x14ac:dyDescent="0.25">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row>
    <row r="876" spans="2:25" s="86" customFormat="1" ht="13.2" x14ac:dyDescent="0.25">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row>
    <row r="877" spans="2:25" s="86" customFormat="1" ht="13.2" x14ac:dyDescent="0.25">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row>
    <row r="878" spans="2:25" s="86" customFormat="1" ht="13.2" x14ac:dyDescent="0.25">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row>
    <row r="879" spans="2:25" s="86" customFormat="1" ht="13.2" x14ac:dyDescent="0.25">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row>
    <row r="880" spans="2:25" s="86" customFormat="1" ht="13.2" x14ac:dyDescent="0.25">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row>
    <row r="881" spans="2:25" s="86" customFormat="1" ht="13.2" x14ac:dyDescent="0.25">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row>
    <row r="882" spans="2:25" s="86" customFormat="1" ht="13.2" x14ac:dyDescent="0.25">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row>
    <row r="883" spans="2:25" s="86" customFormat="1" ht="13.2" x14ac:dyDescent="0.25">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row>
    <row r="884" spans="2:25" s="86" customFormat="1" ht="13.2" x14ac:dyDescent="0.25">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row>
    <row r="885" spans="2:25" s="86" customFormat="1" ht="13.2" x14ac:dyDescent="0.25">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row>
    <row r="886" spans="2:25" s="86" customFormat="1" ht="13.2" x14ac:dyDescent="0.25">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row>
    <row r="887" spans="2:25" s="86" customFormat="1" ht="13.2" x14ac:dyDescent="0.25">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row>
    <row r="888" spans="2:25" s="86" customFormat="1" ht="13.2" x14ac:dyDescent="0.25">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row>
    <row r="889" spans="2:25" s="86" customFormat="1" ht="13.2" x14ac:dyDescent="0.25">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row>
    <row r="890" spans="2:25" s="86" customFormat="1" ht="13.2" x14ac:dyDescent="0.25">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row>
    <row r="891" spans="2:25" s="86" customFormat="1" ht="13.2" x14ac:dyDescent="0.25">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row>
    <row r="892" spans="2:25" s="86" customFormat="1" ht="13.2" x14ac:dyDescent="0.25">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row>
    <row r="893" spans="2:25" s="86" customFormat="1" ht="13.2" x14ac:dyDescent="0.25">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row>
    <row r="894" spans="2:25" s="86" customFormat="1" ht="13.2" x14ac:dyDescent="0.25">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row>
    <row r="895" spans="2:25" s="86" customFormat="1" ht="13.2" x14ac:dyDescent="0.25">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row>
    <row r="896" spans="2:25" s="86" customFormat="1" ht="13.2" x14ac:dyDescent="0.25">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row>
    <row r="897" spans="2:25" s="86" customFormat="1" ht="13.2" x14ac:dyDescent="0.25">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row>
    <row r="898" spans="2:25" s="86" customFormat="1" ht="13.2" x14ac:dyDescent="0.25">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row>
    <row r="899" spans="2:25" s="86" customFormat="1" ht="13.2" x14ac:dyDescent="0.25">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row>
    <row r="900" spans="2:25" s="86" customFormat="1" ht="13.2" x14ac:dyDescent="0.25">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row>
    <row r="901" spans="2:25" s="86" customFormat="1" ht="13.2" x14ac:dyDescent="0.25">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row>
    <row r="902" spans="2:25" s="86" customFormat="1" ht="13.2" x14ac:dyDescent="0.25">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row>
    <row r="903" spans="2:25" s="86" customFormat="1" ht="13.2" x14ac:dyDescent="0.25">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row>
    <row r="904" spans="2:25" s="86" customFormat="1" ht="13.2" x14ac:dyDescent="0.25">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row>
    <row r="905" spans="2:25" s="86" customFormat="1" ht="13.2" x14ac:dyDescent="0.25">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row>
    <row r="906" spans="2:25" s="86" customFormat="1" ht="13.2" x14ac:dyDescent="0.25">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row>
    <row r="907" spans="2:25" s="86" customFormat="1" ht="13.2" x14ac:dyDescent="0.25">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row>
    <row r="908" spans="2:25" s="86" customFormat="1" ht="13.2" x14ac:dyDescent="0.25">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row>
    <row r="909" spans="2:25" s="86" customFormat="1" ht="13.2" x14ac:dyDescent="0.25">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row>
    <row r="910" spans="2:25" s="86" customFormat="1" ht="13.2" x14ac:dyDescent="0.25">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row>
    <row r="911" spans="2:25" s="86" customFormat="1" ht="13.2" x14ac:dyDescent="0.25">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row>
    <row r="912" spans="2:25" s="86" customFormat="1" ht="13.2" x14ac:dyDescent="0.25">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row>
    <row r="913" spans="2:25" s="86" customFormat="1" ht="13.2" x14ac:dyDescent="0.25">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row>
    <row r="914" spans="2:25" s="86" customFormat="1" ht="13.2" x14ac:dyDescent="0.25">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row>
    <row r="915" spans="2:25" s="86" customFormat="1" ht="13.2" x14ac:dyDescent="0.25">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row>
    <row r="916" spans="2:25" s="86" customFormat="1" ht="13.2" x14ac:dyDescent="0.25">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row>
    <row r="917" spans="2:25" s="86" customFormat="1" ht="13.2" x14ac:dyDescent="0.25">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row>
    <row r="918" spans="2:25" s="86" customFormat="1" ht="13.2" x14ac:dyDescent="0.25">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row>
    <row r="919" spans="2:25" s="86" customFormat="1" ht="13.2" x14ac:dyDescent="0.25">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row>
    <row r="920" spans="2:25" s="86" customFormat="1" ht="13.2" x14ac:dyDescent="0.25">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row>
    <row r="921" spans="2:25" s="86" customFormat="1" ht="13.2" x14ac:dyDescent="0.25">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row>
    <row r="922" spans="2:25" s="86" customFormat="1" ht="13.2" x14ac:dyDescent="0.25">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row>
    <row r="923" spans="2:25" s="86" customFormat="1" ht="13.2" x14ac:dyDescent="0.25">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row>
    <row r="924" spans="2:25" s="86" customFormat="1" ht="13.2" x14ac:dyDescent="0.25">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row>
  </sheetData>
  <mergeCells count="31">
    <mergeCell ref="B96:O97"/>
    <mergeCell ref="L122:M123"/>
    <mergeCell ref="N122:N123"/>
    <mergeCell ref="B124:B126"/>
    <mergeCell ref="C124:H126"/>
    <mergeCell ref="J124:J125"/>
    <mergeCell ref="K124:K125"/>
    <mergeCell ref="O124:O125"/>
    <mergeCell ref="O59:O60"/>
    <mergeCell ref="B64:O65"/>
    <mergeCell ref="L89:M90"/>
    <mergeCell ref="N89:N90"/>
    <mergeCell ref="B91:B93"/>
    <mergeCell ref="C91:H93"/>
    <mergeCell ref="J91:J92"/>
    <mergeCell ref="K91:K92"/>
    <mergeCell ref="O91:O92"/>
    <mergeCell ref="L57:M58"/>
    <mergeCell ref="N57:N58"/>
    <mergeCell ref="B59:B61"/>
    <mergeCell ref="C59:H61"/>
    <mergeCell ref="J59:J60"/>
    <mergeCell ref="K59:K60"/>
    <mergeCell ref="B32:O33"/>
    <mergeCell ref="J27:J28"/>
    <mergeCell ref="K27:K28"/>
    <mergeCell ref="B1:O2"/>
    <mergeCell ref="L25:M26"/>
    <mergeCell ref="N25:N26"/>
    <mergeCell ref="B27:B29"/>
    <mergeCell ref="C27:H29"/>
  </mergeCells>
  <hyperlinks>
    <hyperlink ref="I59" r:id="rId1" xr:uid="{F6A18E37-DE64-4CCE-AAE1-8E1454DFEF76}"/>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0568A-818E-4650-9BE0-13677621CEF9}">
  <dimension ref="A1:Y207"/>
  <sheetViews>
    <sheetView showGridLines="0" zoomScale="85" zoomScaleNormal="85" workbookViewId="0">
      <selection activeCell="B205" sqref="B205:B207"/>
    </sheetView>
  </sheetViews>
  <sheetFormatPr defaultRowHeight="13.2" x14ac:dyDescent="0.25"/>
  <cols>
    <col min="2" max="2" width="43.88671875" bestFit="1" customWidth="1"/>
    <col min="3" max="9" width="12.33203125" bestFit="1" customWidth="1"/>
    <col min="10" max="10" width="12.5546875" customWidth="1"/>
    <col min="11" max="13" width="12.33203125" bestFit="1" customWidth="1"/>
    <col min="14" max="14" width="13.88671875" bestFit="1" customWidth="1"/>
    <col min="15" max="15" width="15.109375" bestFit="1" customWidth="1"/>
  </cols>
  <sheetData>
    <row r="1" spans="1:15" ht="24.6" customHeight="1" x14ac:dyDescent="0.25">
      <c r="A1" s="96"/>
      <c r="B1" s="348" t="s">
        <v>250</v>
      </c>
      <c r="C1" s="348"/>
      <c r="D1" s="348"/>
      <c r="E1" s="348"/>
      <c r="F1" s="348"/>
      <c r="G1" s="348"/>
      <c r="H1" s="348"/>
      <c r="I1" s="348"/>
      <c r="J1" s="348"/>
      <c r="K1" s="348"/>
      <c r="L1" s="348"/>
      <c r="M1" s="348"/>
      <c r="N1" s="348"/>
      <c r="O1" s="348"/>
    </row>
    <row r="2" spans="1:15" ht="24.6" customHeight="1" x14ac:dyDescent="0.25">
      <c r="A2" s="96"/>
      <c r="B2" s="349"/>
      <c r="C2" s="349"/>
      <c r="D2" s="349"/>
      <c r="E2" s="349"/>
      <c r="F2" s="349"/>
      <c r="G2" s="349"/>
      <c r="H2" s="349"/>
      <c r="I2" s="349"/>
      <c r="J2" s="349"/>
      <c r="K2" s="349"/>
      <c r="L2" s="349"/>
      <c r="M2" s="349"/>
      <c r="N2" s="349"/>
      <c r="O2" s="349"/>
    </row>
    <row r="3" spans="1:15" ht="13.2" customHeight="1"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row>
    <row r="4" spans="1:15" ht="13.2" customHeight="1" x14ac:dyDescent="0.25">
      <c r="A4" s="82"/>
      <c r="B4" s="44" t="s">
        <v>194</v>
      </c>
      <c r="C4" s="45">
        <f>'3.1. My Income Tax Calculation'!$P$12/12</f>
        <v>130050000</v>
      </c>
      <c r="D4" s="45">
        <f>'3.1. My Income Tax Calculation'!$P$12/12</f>
        <v>130050000</v>
      </c>
      <c r="E4" s="45">
        <f>'3.1. My Income Tax Calculation'!$P$12/12</f>
        <v>130050000</v>
      </c>
      <c r="F4" s="45">
        <f>'3.1. My Income Tax Calculation'!$P$12/12</f>
        <v>130050000</v>
      </c>
      <c r="G4" s="45">
        <f>'3.1. My Income Tax Calculation'!$P$12/12</f>
        <v>130050000</v>
      </c>
      <c r="H4" s="45">
        <f>'3.1. My Income Tax Calculation'!$P$12/12</f>
        <v>130050000</v>
      </c>
      <c r="I4" s="45">
        <f>'3.1. My Income Tax Calculation'!$P$12/12</f>
        <v>130050000</v>
      </c>
      <c r="J4" s="45">
        <f>'3.1. My Income Tax Calculation'!$P$12/12</f>
        <v>130050000</v>
      </c>
      <c r="K4" s="45">
        <f>'3.1. My Income Tax Calculation'!$P$12/12</f>
        <v>130050000</v>
      </c>
      <c r="L4" s="45">
        <f>'3.1. My Income Tax Calculation'!$P$12/12</f>
        <v>130050000</v>
      </c>
      <c r="M4" s="45">
        <f>'3.1. My Income Tax Calculation'!$P$12/12</f>
        <v>130050000</v>
      </c>
      <c r="N4" s="45">
        <f>'3.1. My Income Tax Calculation'!$P$12/12</f>
        <v>130050000</v>
      </c>
      <c r="O4" s="45" t="s">
        <v>173</v>
      </c>
    </row>
    <row r="5" spans="1:15" ht="13.2" customHeight="1" x14ac:dyDescent="0.25">
      <c r="A5" s="82"/>
      <c r="B5" s="44" t="s">
        <v>246</v>
      </c>
      <c r="C5" s="45">
        <f>'3.2. My wife''s Tax Calc'!$P$12/12</f>
        <v>46275000</v>
      </c>
      <c r="D5" s="45">
        <f>'3.2. My wife''s Tax Calc'!$P$12/12</f>
        <v>46275000</v>
      </c>
      <c r="E5" s="45">
        <f>'3.2. My wife''s Tax Calc'!$P$12/12</f>
        <v>46275000</v>
      </c>
      <c r="F5" s="45">
        <f>'3.2. My wife''s Tax Calc'!$P$12/12</f>
        <v>46275000</v>
      </c>
      <c r="G5" s="45">
        <f>'3.2. My wife''s Tax Calc'!$P$12/12</f>
        <v>46275000</v>
      </c>
      <c r="H5" s="45">
        <f>'3.2. My wife''s Tax Calc'!$P$12/12</f>
        <v>46275000</v>
      </c>
      <c r="I5" s="45">
        <f>'3.2. My wife''s Tax Calc'!$P$12/12</f>
        <v>46275000</v>
      </c>
      <c r="J5" s="45">
        <f>'3.2. My wife''s Tax Calc'!$P$12/12</f>
        <v>46275000</v>
      </c>
      <c r="K5" s="45">
        <f>'3.2. My wife''s Tax Calc'!$P$12/12</f>
        <v>46275000</v>
      </c>
      <c r="L5" s="45">
        <f>'3.2. My wife''s Tax Calc'!$P$12/12</f>
        <v>46275000</v>
      </c>
      <c r="M5" s="45">
        <f>'3.2. My wife''s Tax Calc'!$P$12/12</f>
        <v>46275000</v>
      </c>
      <c r="N5" s="45">
        <f>'3.2. My wife''s Tax Calc'!$P$12/12</f>
        <v>46275000</v>
      </c>
      <c r="O5" s="45" t="s">
        <v>173</v>
      </c>
    </row>
    <row r="6" spans="1:15" ht="13.2" customHeight="1" x14ac:dyDescent="0.25">
      <c r="A6" s="82"/>
      <c r="B6" s="46" t="s">
        <v>209</v>
      </c>
      <c r="C6" s="47">
        <f>SUM(C4:C5)</f>
        <v>176325000</v>
      </c>
      <c r="D6" s="47">
        <f t="shared" ref="D6:N6" si="0">SUM(D4:D5)</f>
        <v>176325000</v>
      </c>
      <c r="E6" s="47">
        <f t="shared" si="0"/>
        <v>176325000</v>
      </c>
      <c r="F6" s="47">
        <f t="shared" si="0"/>
        <v>176325000</v>
      </c>
      <c r="G6" s="47">
        <f t="shared" si="0"/>
        <v>176325000</v>
      </c>
      <c r="H6" s="47">
        <f t="shared" si="0"/>
        <v>176325000</v>
      </c>
      <c r="I6" s="47">
        <f t="shared" si="0"/>
        <v>176325000</v>
      </c>
      <c r="J6" s="47">
        <f t="shared" si="0"/>
        <v>176325000</v>
      </c>
      <c r="K6" s="47">
        <f>SUM(K4:K5)</f>
        <v>176325000</v>
      </c>
      <c r="L6" s="47">
        <f t="shared" si="0"/>
        <v>176325000</v>
      </c>
      <c r="M6" s="47">
        <f t="shared" si="0"/>
        <v>176325000</v>
      </c>
      <c r="N6" s="47">
        <f t="shared" si="0"/>
        <v>176325000</v>
      </c>
      <c r="O6" s="47">
        <f>SUM(C6:N6)</f>
        <v>2115900000</v>
      </c>
    </row>
    <row r="7" spans="1:15" ht="13.2" customHeight="1" x14ac:dyDescent="0.25">
      <c r="A7" s="82"/>
      <c r="B7" s="52" t="s">
        <v>78</v>
      </c>
      <c r="C7" s="53" t="s">
        <v>173</v>
      </c>
      <c r="D7" s="53" t="s">
        <v>173</v>
      </c>
      <c r="E7" s="53" t="s">
        <v>173</v>
      </c>
      <c r="F7" s="53" t="s">
        <v>173</v>
      </c>
      <c r="G7" s="53" t="s">
        <v>173</v>
      </c>
      <c r="H7" s="53" t="s">
        <v>173</v>
      </c>
      <c r="I7" s="53" t="s">
        <v>173</v>
      </c>
      <c r="J7" s="53" t="s">
        <v>173</v>
      </c>
      <c r="K7" s="53" t="s">
        <v>173</v>
      </c>
      <c r="L7" s="53" t="s">
        <v>173</v>
      </c>
      <c r="M7" s="53" t="s">
        <v>173</v>
      </c>
      <c r="N7" s="53" t="s">
        <v>173</v>
      </c>
      <c r="O7" s="91" t="s">
        <v>173</v>
      </c>
    </row>
    <row r="8" spans="1:15" ht="13.2" customHeight="1" x14ac:dyDescent="0.25">
      <c r="A8" s="82"/>
      <c r="B8" s="48" t="s">
        <v>79</v>
      </c>
      <c r="C8" s="54" t="s">
        <v>173</v>
      </c>
      <c r="D8" s="54" t="s">
        <v>173</v>
      </c>
      <c r="E8" s="54" t="s">
        <v>173</v>
      </c>
      <c r="F8" s="54" t="s">
        <v>173</v>
      </c>
      <c r="G8" s="54" t="s">
        <v>173</v>
      </c>
      <c r="H8" s="54" t="s">
        <v>173</v>
      </c>
      <c r="I8" s="54" t="s">
        <v>173</v>
      </c>
      <c r="J8" s="54" t="s">
        <v>173</v>
      </c>
      <c r="K8" s="54" t="s">
        <v>173</v>
      </c>
      <c r="L8" s="54" t="s">
        <v>173</v>
      </c>
      <c r="M8" s="54" t="s">
        <v>173</v>
      </c>
      <c r="N8" s="54" t="s">
        <v>173</v>
      </c>
      <c r="O8" s="91" t="s">
        <v>173</v>
      </c>
    </row>
    <row r="9" spans="1:15" ht="13.2" customHeight="1" x14ac:dyDescent="0.25">
      <c r="A9" s="83"/>
      <c r="B9" s="49" t="s">
        <v>195</v>
      </c>
      <c r="C9" s="50">
        <f>'7.2. Stage 2 budget'!C104*(1+'7.3. Stage 3 budget'!$K$31)</f>
        <v>195392.24560922146</v>
      </c>
      <c r="D9" s="50">
        <v>0</v>
      </c>
      <c r="E9" s="50">
        <v>0</v>
      </c>
      <c r="F9" s="50">
        <v>0</v>
      </c>
      <c r="G9" s="50">
        <v>0</v>
      </c>
      <c r="H9" s="50">
        <v>0</v>
      </c>
      <c r="I9" s="50">
        <v>0</v>
      </c>
      <c r="J9" s="50">
        <v>0</v>
      </c>
      <c r="K9" s="50">
        <v>0</v>
      </c>
      <c r="L9" s="50">
        <v>0</v>
      </c>
      <c r="M9" s="50">
        <v>0</v>
      </c>
      <c r="N9" s="50">
        <v>0</v>
      </c>
      <c r="O9" s="90">
        <f t="shared" ref="O9:O22" si="1">SUM(C9:N9)</f>
        <v>195392.24560922146</v>
      </c>
    </row>
    <row r="10" spans="1:15" ht="13.2" customHeight="1" x14ac:dyDescent="0.25">
      <c r="A10" s="82"/>
      <c r="B10" s="51" t="s">
        <v>178</v>
      </c>
      <c r="C10" s="50">
        <f>'7.2. Stage 2 budget'!C105*(1+'7.3. Stage 3 budget'!$K$31)</f>
        <v>1480244.2849183441</v>
      </c>
      <c r="D10" s="50">
        <f>'7.2. Stage 2 budget'!D105*(1+'7.3. Stage 3 budget'!$K$31)</f>
        <v>1480244.2849183441</v>
      </c>
      <c r="E10" s="50">
        <f>'7.2. Stage 2 budget'!E105*(1+'7.3. Stage 3 budget'!$K$31)</f>
        <v>1480244.2849183441</v>
      </c>
      <c r="F10" s="50">
        <f>'7.2. Stage 2 budget'!F105*(1+'7.3. Stage 3 budget'!$K$31)</f>
        <v>1480244.2849183441</v>
      </c>
      <c r="G10" s="50">
        <f>'7.2. Stage 2 budget'!G105*(1+'7.3. Stage 3 budget'!$K$31)</f>
        <v>1480244.2849183441</v>
      </c>
      <c r="H10" s="50">
        <f>'7.2. Stage 2 budget'!H105*(1+'7.3. Stage 3 budget'!$K$31)</f>
        <v>1480244.2849183441</v>
      </c>
      <c r="I10" s="50">
        <f>'7.2. Stage 2 budget'!I105*(1+'7.3. Stage 3 budget'!$K$31)</f>
        <v>1480244.2849183441</v>
      </c>
      <c r="J10" s="50">
        <f>'7.2. Stage 2 budget'!J105*(1+'7.3. Stage 3 budget'!$K$31)</f>
        <v>1480244.2849183441</v>
      </c>
      <c r="K10" s="50">
        <f>'7.2. Stage 2 budget'!K105*(1+'7.3. Stage 3 budget'!$K$31)</f>
        <v>1480244.2849183441</v>
      </c>
      <c r="L10" s="50">
        <f>'7.2. Stage 2 budget'!L105*(1+'7.3. Stage 3 budget'!$K$31)</f>
        <v>1480244.2849183441</v>
      </c>
      <c r="M10" s="50">
        <f>'7.2. Stage 2 budget'!M105*(1+'7.3. Stage 3 budget'!$K$31)</f>
        <v>1480244.2849183441</v>
      </c>
      <c r="N10" s="50">
        <f>'7.2. Stage 2 budget'!N105*(1+'7.3. Stage 3 budget'!$K$31)</f>
        <v>1480244.2849183441</v>
      </c>
      <c r="O10" s="90">
        <f t="shared" si="1"/>
        <v>17762931.419020128</v>
      </c>
    </row>
    <row r="11" spans="1:15" ht="13.2" customHeight="1" x14ac:dyDescent="0.25">
      <c r="A11" s="84"/>
      <c r="B11" s="51" t="s">
        <v>248</v>
      </c>
      <c r="C11" s="50">
        <f>'7.2. Stage 2 budget'!C106*(1+'7.3. Stage 3 budget'!$K$31)</f>
        <v>177629.31419020132</v>
      </c>
      <c r="D11" s="50">
        <f>'7.2. Stage 2 budget'!D106*(1+'7.3. Stage 3 budget'!$K$31)</f>
        <v>177629.31419020132</v>
      </c>
      <c r="E11" s="50">
        <f>'7.2. Stage 2 budget'!E106*(1+'7.3. Stage 3 budget'!$K$31)</f>
        <v>177629.31419020132</v>
      </c>
      <c r="F11" s="50">
        <f>'7.2. Stage 2 budget'!F106*(1+'7.3. Stage 3 budget'!$K$31)</f>
        <v>177629.31419020132</v>
      </c>
      <c r="G11" s="50">
        <f>'7.2. Stage 2 budget'!G106*(1+'7.3. Stage 3 budget'!$K$31)</f>
        <v>177629.31419020132</v>
      </c>
      <c r="H11" s="50">
        <f>'7.2. Stage 2 budget'!H106*(1+'7.3. Stage 3 budget'!$K$31)</f>
        <v>177629.31419020132</v>
      </c>
      <c r="I11" s="50">
        <f>'7.2. Stage 2 budget'!I106*(1+'7.3. Stage 3 budget'!$K$31)</f>
        <v>177629.31419020132</v>
      </c>
      <c r="J11" s="50">
        <f>'7.2. Stage 2 budget'!J106*(1+'7.3. Stage 3 budget'!$K$31)</f>
        <v>177629.31419020132</v>
      </c>
      <c r="K11" s="50">
        <f>'7.2. Stage 2 budget'!K106*(1+'7.3. Stage 3 budget'!$K$31)</f>
        <v>177629.31419020132</v>
      </c>
      <c r="L11" s="50">
        <f>'7.2. Stage 2 budget'!L106*(1+'7.3. Stage 3 budget'!$K$31)</f>
        <v>177629.31419020132</v>
      </c>
      <c r="M11" s="50">
        <f>'7.2. Stage 2 budget'!M106*(1+'7.3. Stage 3 budget'!$K$31)</f>
        <v>177629.31419020132</v>
      </c>
      <c r="N11" s="50">
        <f>'7.2. Stage 2 budget'!N106*(1+'7.3. Stage 3 budget'!$K$31)</f>
        <v>177629.31419020132</v>
      </c>
      <c r="O11" s="90">
        <f t="shared" si="1"/>
        <v>2131551.7702824152</v>
      </c>
    </row>
    <row r="12" spans="1:15" ht="13.2" customHeight="1" x14ac:dyDescent="0.25">
      <c r="A12" s="82"/>
      <c r="B12" s="46" t="s">
        <v>207</v>
      </c>
      <c r="C12" s="47">
        <f t="shared" ref="C12:N12" si="2">SUM(C9:C11)</f>
        <v>1853265.8447177669</v>
      </c>
      <c r="D12" s="47">
        <f t="shared" si="2"/>
        <v>1657873.5991085453</v>
      </c>
      <c r="E12" s="47">
        <f t="shared" si="2"/>
        <v>1657873.5991085453</v>
      </c>
      <c r="F12" s="47">
        <f t="shared" si="2"/>
        <v>1657873.5991085453</v>
      </c>
      <c r="G12" s="47">
        <f t="shared" si="2"/>
        <v>1657873.5991085453</v>
      </c>
      <c r="H12" s="47">
        <f t="shared" si="2"/>
        <v>1657873.5991085453</v>
      </c>
      <c r="I12" s="47">
        <f t="shared" si="2"/>
        <v>1657873.5991085453</v>
      </c>
      <c r="J12" s="47">
        <f t="shared" si="2"/>
        <v>1657873.5991085453</v>
      </c>
      <c r="K12" s="47">
        <f t="shared" si="2"/>
        <v>1657873.5991085453</v>
      </c>
      <c r="L12" s="47">
        <f t="shared" si="2"/>
        <v>1657873.5991085453</v>
      </c>
      <c r="M12" s="47">
        <f t="shared" si="2"/>
        <v>1657873.5991085453</v>
      </c>
      <c r="N12" s="47">
        <f t="shared" si="2"/>
        <v>1657873.5991085453</v>
      </c>
      <c r="O12" s="47">
        <f t="shared" si="1"/>
        <v>20089875.434911765</v>
      </c>
    </row>
    <row r="13" spans="1:15" ht="13.2" customHeight="1"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row>
    <row r="14" spans="1:15" ht="13.2" customHeight="1" x14ac:dyDescent="0.25">
      <c r="A14" s="82"/>
      <c r="B14" s="57" t="s">
        <v>210</v>
      </c>
      <c r="C14" s="89">
        <f>'7.2. Stage 2 budget'!C109*(1+'7.3. Stage 3 budget'!$K$31)*1.5</f>
        <v>1469882.574923916</v>
      </c>
      <c r="D14" s="89">
        <f>'7.2. Stage 2 budget'!D109*(1+'7.3. Stage 3 budget'!$K$31)*1.5</f>
        <v>1771852.4090472581</v>
      </c>
      <c r="E14" s="89">
        <f>'7.2. Stage 2 budget'!E109*(1+'7.3. Stage 3 budget'!$K$31)*1.5</f>
        <v>1634189.6905498519</v>
      </c>
      <c r="F14" s="89">
        <f>'7.2. Stage 2 budget'!F109*(1+'7.3. Stage 3 budget'!$K$31)*1.5</f>
        <v>1527612.1020357313</v>
      </c>
      <c r="G14" s="89">
        <f>'7.2. Stage 2 budget'!G109*(1+'7.3. Stage 3 budget'!$K$31)*1.5</f>
        <v>1403271.5821025907</v>
      </c>
      <c r="H14" s="89">
        <f>'7.2. Stage 2 budget'!H109*(1+'7.3. Stage 3 budget'!$K$31)*1.5</f>
        <v>1758530.2104829929</v>
      </c>
      <c r="I14" s="89">
        <f>'7.2. Stage 2 budget'!I109*(1+'7.3. Stage 3 budget'!$K$31)*1.5</f>
        <v>2051618.5788968252</v>
      </c>
      <c r="J14" s="89">
        <f>'7.2. Stage 2 budget'!J109*(1+'7.3. Stage 3 budget'!$K$31)*1.5</f>
        <v>1967244.6546564794</v>
      </c>
      <c r="K14" s="89">
        <f>'7.2. Stage 2 budget'!K109*(1+'7.3. Stage 3 budget'!$K$31)*1.5</f>
        <v>1518730.6363262213</v>
      </c>
      <c r="L14" s="89">
        <f>'7.2. Stage 2 budget'!L109*(1+'7.3. Stage 3 budget'!$K$31)*1.5</f>
        <v>1558697.2320190168</v>
      </c>
      <c r="M14" s="89">
        <f>'7.2. Stage 2 budget'!M109*(1+'7.3. Stage 3 budget'!$K$31)*1.5</f>
        <v>1483204.7734881812</v>
      </c>
      <c r="N14" s="89">
        <f>'7.2. Stage 2 budget'!N109*(1+'7.3. Stage 3 budget'!$K$31)*1.5</f>
        <v>1603104.5605665669</v>
      </c>
      <c r="O14" s="92">
        <f t="shared" si="1"/>
        <v>19747939.005095631</v>
      </c>
    </row>
    <row r="15" spans="1:15" ht="13.2" customHeight="1" x14ac:dyDescent="0.25">
      <c r="A15" s="82"/>
      <c r="B15" s="57" t="s">
        <v>203</v>
      </c>
      <c r="C15" s="89">
        <f>'7.2. Stage 2 budget'!C110*(1+'7.3. Stage 3 budget'!$K$31)*1.5</f>
        <v>5306675.7614322631</v>
      </c>
      <c r="D15" s="89">
        <f>'7.2. Stage 2 budget'!D110*(1+'7.3. Stage 3 budget'!$K$31)*1.5</f>
        <v>5715223.1840697275</v>
      </c>
      <c r="E15" s="89">
        <f>'7.2. Stage 2 budget'!E110*(1+'7.3. Stage 3 budget'!$K$31)*1.5</f>
        <v>6407977.5094115119</v>
      </c>
      <c r="F15" s="89">
        <f>'7.2. Stage 2 budget'!F110*(1+'7.3. Stage 3 budget'!$K$31)*1.5</f>
        <v>4858161.7431020066</v>
      </c>
      <c r="G15" s="89">
        <f>'7.2. Stage 2 budget'!G110*(1+'7.3. Stage 3 budget'!$K$31)*1.5</f>
        <v>6465707.0365233282</v>
      </c>
      <c r="H15" s="89">
        <f>'7.2. Stage 2 budget'!H110*(1+'7.3. Stage 3 budget'!$K$31)*1.5</f>
        <v>6092685.4767239047</v>
      </c>
      <c r="I15" s="89">
        <f>'7.2. Stage 2 budget'!I110*(1+'7.3. Stage 3 budget'!$K$31)*1.5</f>
        <v>5590882.6641365867</v>
      </c>
      <c r="J15" s="89">
        <f>'7.2. Stage 2 budget'!J110*(1+'7.3. Stage 3 budget'!$K$31)*1.5</f>
        <v>6647777.0835682843</v>
      </c>
      <c r="K15" s="89">
        <f>'7.2. Stage 2 budget'!K110*(1+'7.3. Stage 3 budget'!$K$31)*1.5</f>
        <v>6496792.1665066127</v>
      </c>
      <c r="L15" s="89">
        <f>'7.2. Stage 2 budget'!L110*(1+'7.3. Stage 3 budget'!$K$31)*1.5</f>
        <v>6496792.1665066127</v>
      </c>
      <c r="M15" s="89">
        <f>'7.2. Stage 2 budget'!M110*(1+'7.3. Stage 3 budget'!$K$31)*1.5</f>
        <v>5049113.255856473</v>
      </c>
      <c r="N15" s="89">
        <f>'7.2. Stage 2 budget'!N110*(1+'7.3. Stage 3 budget'!$K$31)*1.5</f>
        <v>6225907.4623665577</v>
      </c>
      <c r="O15" s="92">
        <f t="shared" si="1"/>
        <v>71353695.510203853</v>
      </c>
    </row>
    <row r="16" spans="1:15" ht="13.2" customHeight="1" x14ac:dyDescent="0.25">
      <c r="A16" s="82"/>
      <c r="B16" s="58" t="s">
        <v>84</v>
      </c>
      <c r="C16" s="89">
        <f>'7.2. Stage 2 budget'!C111*(1+'7.3. Stage 3 budget'!$K$31)*1.5</f>
        <v>4693854.6274760682</v>
      </c>
      <c r="D16" s="89">
        <f>'7.2. Stage 2 budget'!D111*(1+'7.3. Stage 3 budget'!$K$31)*1.5</f>
        <v>5124605.7143873079</v>
      </c>
      <c r="E16" s="89">
        <f>'7.2. Stage 2 budget'!E111*(1+'7.3. Stage 3 budget'!$K$31)*1.5</f>
        <v>5142368.6458063293</v>
      </c>
      <c r="F16" s="89">
        <f>'7.2. Stage 2 budget'!F111*(1+'7.3. Stage 3 budget'!$K$31)*1.5</f>
        <v>5311116.4942870187</v>
      </c>
      <c r="G16" s="89">
        <f>'7.2. Stage 2 budget'!G111*(1+'7.3. Stage 3 budget'!$K$31)*1.5</f>
        <v>6283636.989478372</v>
      </c>
      <c r="H16" s="89">
        <f>'7.2. Stage 2 budget'!H111*(1+'7.3. Stage 3 budget'!$K$31)*1.5</f>
        <v>5435457.0142201595</v>
      </c>
      <c r="I16" s="89">
        <f>'7.2. Stage 2 budget'!I111*(1+'7.3. Stage 3 budget'!$K$31)*1.5</f>
        <v>5644171.4583936483</v>
      </c>
      <c r="J16" s="89">
        <f>'7.2. Stage 2 budget'!J111*(1+'7.3. Stage 3 budget'!$K$31)*1.5</f>
        <v>6496792.1665066127</v>
      </c>
      <c r="K16" s="89">
        <f>'7.2. Stage 2 budget'!K111*(1+'7.3. Stage 3 budget'!$K$31)*1.5</f>
        <v>5946141.2925169896</v>
      </c>
      <c r="L16" s="89">
        <f>'7.2. Stage 2 budget'!L111*(1+'7.3. Stage 3 budget'!$K$31)*1.5</f>
        <v>5937259.8268074794</v>
      </c>
      <c r="M16" s="89">
        <f>'7.2. Stage 2 budget'!M111*(1+'7.3. Stage 3 budget'!$K$31)*1.5</f>
        <v>6354688.7151544522</v>
      </c>
      <c r="N16" s="89">
        <f>'7.2. Stage 2 budget'!N111*(1+'7.3. Stage 3 budget'!$K$31)*1.5</f>
        <v>5102402.0501135346</v>
      </c>
      <c r="O16" s="92">
        <f t="shared" si="1"/>
        <v>67472494.995147973</v>
      </c>
    </row>
    <row r="17" spans="1:25" ht="13.2" customHeight="1" x14ac:dyDescent="0.25">
      <c r="A17" s="82"/>
      <c r="B17" s="57" t="s">
        <v>85</v>
      </c>
      <c r="C17" s="89">
        <f>'7.2. Stage 2 budget'!C112*(1+'7.3. Stage 3 budget'!$K$31)*1.5</f>
        <v>5453219.945639181</v>
      </c>
      <c r="D17" s="89">
        <f>'7.2. Stage 2 budget'!D112*(1+'7.3. Stage 3 budget'!$K$31)*1.5</f>
        <v>4667210.2303475412</v>
      </c>
      <c r="E17" s="89">
        <f>'7.2. Stage 2 budget'!E112*(1+'7.3. Stage 3 budget'!$K$31)*1.5</f>
        <v>4831517.3459734768</v>
      </c>
      <c r="F17" s="89">
        <f>'7.2. Stage 2 budget'!F112*(1+'7.3. Stage 3 budget'!$K$31)*1.5</f>
        <v>4907009.8045043107</v>
      </c>
      <c r="G17" s="89">
        <f>'7.2. Stage 2 budget'!G112*(1+'7.3. Stage 3 budget'!$K$31)*1.5</f>
        <v>6598929.0221659793</v>
      </c>
      <c r="H17" s="89">
        <f>'7.2. Stage 2 budget'!H112*(1+'7.3. Stage 3 budget'!$K$31)*1.5</f>
        <v>4844839.5445377417</v>
      </c>
      <c r="I17" s="89">
        <f>'7.2. Stage 2 budget'!I112*(1+'7.3. Stage 3 budget'!$K$31)*1.5</f>
        <v>5621967.7941198722</v>
      </c>
      <c r="J17" s="89">
        <f>'7.2. Stage 2 budget'!J112*(1+'7.3. Stage 3 budget'!$K$31)*1.5</f>
        <v>4449614.320464544</v>
      </c>
      <c r="K17" s="89">
        <f>'7.2. Stage 2 budget'!K112*(1+'7.3. Stage 3 budget'!$K$31)*1.5</f>
        <v>5786274.9097458087</v>
      </c>
      <c r="L17" s="89">
        <f>'7.2. Stage 2 budget'!L112*(1+'7.3. Stage 3 budget'!$K$31)*1.5</f>
        <v>4596158.5046714582</v>
      </c>
      <c r="M17" s="89">
        <f>'7.2. Stage 2 budget'!M112*(1+'7.3. Stage 3 budget'!$K$31)*1.5</f>
        <v>5852885.9025671333</v>
      </c>
      <c r="N17" s="89">
        <f>'7.2. Stage 2 budget'!N112*(1+'7.3. Stage 3 budget'!$K$31)*1.5</f>
        <v>5573119.7327175671</v>
      </c>
      <c r="O17" s="92">
        <f t="shared" si="1"/>
        <v>63182747.057454608</v>
      </c>
    </row>
    <row r="18" spans="1:25" ht="13.2" customHeight="1" x14ac:dyDescent="0.25">
      <c r="A18" s="84"/>
      <c r="B18" s="58" t="s">
        <v>249</v>
      </c>
      <c r="C18" s="89">
        <f t="shared" ref="C18:N18" si="3">C6*5%</f>
        <v>8816250</v>
      </c>
      <c r="D18" s="89">
        <f t="shared" si="3"/>
        <v>8816250</v>
      </c>
      <c r="E18" s="89">
        <f t="shared" si="3"/>
        <v>8816250</v>
      </c>
      <c r="F18" s="89">
        <f t="shared" si="3"/>
        <v>8816250</v>
      </c>
      <c r="G18" s="89">
        <f t="shared" si="3"/>
        <v>8816250</v>
      </c>
      <c r="H18" s="89">
        <f t="shared" si="3"/>
        <v>8816250</v>
      </c>
      <c r="I18" s="89">
        <f t="shared" si="3"/>
        <v>8816250</v>
      </c>
      <c r="J18" s="89">
        <f t="shared" si="3"/>
        <v>8816250</v>
      </c>
      <c r="K18" s="89">
        <f t="shared" si="3"/>
        <v>8816250</v>
      </c>
      <c r="L18" s="89">
        <f t="shared" si="3"/>
        <v>8816250</v>
      </c>
      <c r="M18" s="89">
        <f t="shared" si="3"/>
        <v>8816250</v>
      </c>
      <c r="N18" s="89">
        <f t="shared" si="3"/>
        <v>8816250</v>
      </c>
      <c r="O18" s="92">
        <f t="shared" si="1"/>
        <v>105795000</v>
      </c>
    </row>
    <row r="19" spans="1:25" ht="13.2" customHeight="1" x14ac:dyDescent="0.25">
      <c r="A19" s="84"/>
      <c r="B19" s="58" t="s">
        <v>180</v>
      </c>
      <c r="C19" s="89">
        <f>'7.2. Stage 2 budget'!C114*(1+'7.3. Stage 3 budget'!$K$31)*1.5</f>
        <v>6447944.1051043067</v>
      </c>
      <c r="D19" s="89">
        <f>'7.2. Stage 2 budget'!D114*(1+'7.3. Stage 3 budget'!$K$31)*1.5</f>
        <v>6363570.1808639616</v>
      </c>
      <c r="E19" s="89">
        <f>'7.2. Stage 2 budget'!E114*(1+'7.3. Stage 3 budget'!$K$31)*1.5</f>
        <v>5288912.8300132453</v>
      </c>
      <c r="F19" s="89">
        <f>'7.2. Stage 2 budget'!F114*(1+'7.3. Stage 3 budget'!$K$31)*1.5</f>
        <v>5839563.7040028702</v>
      </c>
      <c r="G19" s="89">
        <f>'7.2. Stage 2 budget'!G114*(1+'7.3. Stage 3 budget'!$K$31)*1.5</f>
        <v>4605039.9703809693</v>
      </c>
      <c r="H19" s="89">
        <f>'7.2. Stage 2 budget'!H114*(1+'7.3. Stage 3 budget'!$K$31)*1.5</f>
        <v>5120164.9815325532</v>
      </c>
      <c r="I19" s="89">
        <f>'7.2. Stage 2 budget'!I114*(1+'7.3. Stage 3 budget'!$K$31)*1.5</f>
        <v>5297794.2957227556</v>
      </c>
      <c r="J19" s="89">
        <f>'7.2. Stage 2 budget'!J114*(1+'7.3. Stage 3 budget'!$K$31)*1.5</f>
        <v>6279196.2566236164</v>
      </c>
      <c r="K19" s="89">
        <f>'7.2. Stage 2 budget'!K114*(1+'7.3. Stage 3 budget'!$K$31)*1.5</f>
        <v>4915891.2702138219</v>
      </c>
      <c r="L19" s="89">
        <f>'7.2. Stage 2 budget'!L114*(1+'7.3. Stage 3 budget'!$K$31)*1.5</f>
        <v>5262268.4328847136</v>
      </c>
      <c r="M19" s="89">
        <f>'7.2. Stage 2 budget'!M114*(1+'7.3. Stage 3 budget'!$K$31)*1.5</f>
        <v>5271149.898594223</v>
      </c>
      <c r="N19" s="89">
        <f>'7.2. Stage 2 budget'!N114*(1+'7.3. Stage 3 budget'!$K$31)*1.5</f>
        <v>5137927.9129515728</v>
      </c>
      <c r="O19" s="92">
        <f t="shared" si="1"/>
        <v>65829423.838888608</v>
      </c>
    </row>
    <row r="20" spans="1:25" ht="13.2" customHeight="1" x14ac:dyDescent="0.25">
      <c r="A20" s="84"/>
      <c r="B20" s="58" t="s">
        <v>86</v>
      </c>
      <c r="C20" s="89">
        <f>'7.2. Stage 2 budget'!C115*(1+'7.3. Stage 3 budget'!$K$31)*1.5</f>
        <v>4693854.6274760682</v>
      </c>
      <c r="D20" s="89">
        <f>'7.2. Stage 2 budget'!D115*(1+'7.3. Stage 3 budget'!$K$31)*1.5</f>
        <v>4640565.8332190095</v>
      </c>
      <c r="E20" s="89">
        <f>'7.2. Stage 2 budget'!E115*(1+'7.3. Stage 3 budget'!$K$31)*1.5</f>
        <v>4502903.1147216046</v>
      </c>
      <c r="F20" s="89">
        <f>'7.2. Stage 2 budget'!F115*(1+'7.3. Stage 3 budget'!$K$31)*1.5</f>
        <v>5875089.5668409085</v>
      </c>
      <c r="G20" s="89">
        <f>'7.2. Stage 2 budget'!G115*(1+'7.3. Stage 3 budget'!$K$31)*1.5</f>
        <v>5466542.1442034449</v>
      </c>
      <c r="H20" s="89">
        <f>'7.2. Stage 2 budget'!H115*(1+'7.3. Stage 3 budget'!$K$31)*1.5</f>
        <v>4551751.1761239097</v>
      </c>
      <c r="I20" s="89">
        <f>'7.2. Stage 2 budget'!I115*(1+'7.3. Stage 3 budget'!$K$31)*1.5</f>
        <v>6172618.6681094971</v>
      </c>
      <c r="J20" s="89">
        <f>'7.2. Stage 2 budget'!J115*(1+'7.3. Stage 3 budget'!$K$31)*1.5</f>
        <v>5923937.6282432145</v>
      </c>
      <c r="K20" s="89">
        <f>'7.2. Stage 2 budget'!K115*(1+'7.3. Stage 3 budget'!$K$31)*1.5</f>
        <v>4769347.0860069059</v>
      </c>
      <c r="L20" s="89">
        <f>'7.2. Stage 2 budget'!L115*(1+'7.3. Stage 3 budget'!$K$31)*1.5</f>
        <v>4933654.2016328424</v>
      </c>
      <c r="M20" s="89">
        <f>'7.2. Stage 2 budget'!M115*(1+'7.3. Stage 3 budget'!$K$31)*1.5</f>
        <v>5999430.0867740503</v>
      </c>
      <c r="N20" s="89">
        <f>'7.2. Stage 2 budget'!N115*(1+'7.3. Stage 3 budget'!$K$31)*1.5</f>
        <v>6314722.1194616575</v>
      </c>
      <c r="O20" s="92">
        <f t="shared" si="1"/>
        <v>63844416.252813116</v>
      </c>
    </row>
    <row r="21" spans="1:25" ht="13.2" customHeight="1" x14ac:dyDescent="0.25">
      <c r="A21" s="82"/>
      <c r="B21" s="46" t="s">
        <v>208</v>
      </c>
      <c r="C21" s="47">
        <f t="shared" ref="C21:N21" si="4">SUM(C14:C20)</f>
        <v>36881681.642051801</v>
      </c>
      <c r="D21" s="47">
        <f t="shared" si="4"/>
        <v>37099277.551934801</v>
      </c>
      <c r="E21" s="47">
        <f t="shared" si="4"/>
        <v>36624119.136476018</v>
      </c>
      <c r="F21" s="47">
        <f t="shared" si="4"/>
        <v>37134803.414772846</v>
      </c>
      <c r="G21" s="47">
        <f t="shared" si="4"/>
        <v>39639376.744854681</v>
      </c>
      <c r="H21" s="47">
        <f t="shared" si="4"/>
        <v>36619678.403621264</v>
      </c>
      <c r="I21" s="47">
        <f t="shared" si="4"/>
        <v>39195303.459379189</v>
      </c>
      <c r="J21" s="47">
        <f t="shared" si="4"/>
        <v>40580812.110062756</v>
      </c>
      <c r="K21" s="47">
        <f t="shared" si="4"/>
        <v>38249427.361316353</v>
      </c>
      <c r="L21" s="47">
        <f t="shared" si="4"/>
        <v>37601080.364522122</v>
      </c>
      <c r="M21" s="47">
        <f t="shared" si="4"/>
        <v>38826722.63243451</v>
      </c>
      <c r="N21" s="47">
        <f t="shared" si="4"/>
        <v>38773433.838177457</v>
      </c>
      <c r="O21" s="47">
        <f t="shared" si="1"/>
        <v>457225716.65960371</v>
      </c>
    </row>
    <row r="22" spans="1:25" ht="13.2" customHeight="1" x14ac:dyDescent="0.25">
      <c r="A22" s="82"/>
      <c r="B22" s="60" t="s">
        <v>87</v>
      </c>
      <c r="C22" s="47">
        <f t="shared" ref="C22:N22" si="5">C12+C21</f>
        <v>38734947.486769564</v>
      </c>
      <c r="D22" s="47">
        <f t="shared" si="5"/>
        <v>38757151.151043348</v>
      </c>
      <c r="E22" s="47">
        <f t="shared" si="5"/>
        <v>38281992.735584565</v>
      </c>
      <c r="F22" s="47">
        <f t="shared" si="5"/>
        <v>38792677.013881393</v>
      </c>
      <c r="G22" s="47">
        <f t="shared" si="5"/>
        <v>41297250.343963228</v>
      </c>
      <c r="H22" s="47">
        <f t="shared" si="5"/>
        <v>38277552.002729811</v>
      </c>
      <c r="I22" s="47">
        <f t="shared" si="5"/>
        <v>40853177.058487736</v>
      </c>
      <c r="J22" s="47">
        <f t="shared" si="5"/>
        <v>42238685.709171303</v>
      </c>
      <c r="K22" s="47">
        <f t="shared" si="5"/>
        <v>39907300.9604249</v>
      </c>
      <c r="L22" s="47">
        <f t="shared" si="5"/>
        <v>39258953.963630669</v>
      </c>
      <c r="M22" s="47">
        <f t="shared" si="5"/>
        <v>40484596.231543057</v>
      </c>
      <c r="N22" s="47">
        <f t="shared" si="5"/>
        <v>40431307.437286004</v>
      </c>
      <c r="O22" s="47">
        <f t="shared" si="1"/>
        <v>477315592.09451556</v>
      </c>
    </row>
    <row r="23" spans="1:25" s="11" customFormat="1" x14ac:dyDescent="0.25">
      <c r="A23" s="82"/>
      <c r="B23" s="108" t="s">
        <v>204</v>
      </c>
      <c r="C23" s="109">
        <f>$O22*(3/12)/12</f>
        <v>9944074.8353024069</v>
      </c>
      <c r="D23" s="109">
        <f t="shared" ref="D23:N23" si="6">$O22*(3/12)/12</f>
        <v>9944074.8353024069</v>
      </c>
      <c r="E23" s="109">
        <f t="shared" si="6"/>
        <v>9944074.8353024069</v>
      </c>
      <c r="F23" s="109">
        <f t="shared" si="6"/>
        <v>9944074.8353024069</v>
      </c>
      <c r="G23" s="109">
        <f t="shared" si="6"/>
        <v>9944074.8353024069</v>
      </c>
      <c r="H23" s="109">
        <f t="shared" si="6"/>
        <v>9944074.8353024069</v>
      </c>
      <c r="I23" s="109">
        <f t="shared" si="6"/>
        <v>9944074.8353024069</v>
      </c>
      <c r="J23" s="109">
        <f t="shared" si="6"/>
        <v>9944074.8353024069</v>
      </c>
      <c r="K23" s="109">
        <f t="shared" si="6"/>
        <v>9944074.8353024069</v>
      </c>
      <c r="L23" s="109">
        <f t="shared" si="6"/>
        <v>9944074.8353024069</v>
      </c>
      <c r="M23" s="109">
        <f t="shared" si="6"/>
        <v>9944074.8353024069</v>
      </c>
      <c r="N23" s="109">
        <f t="shared" si="6"/>
        <v>9944074.8353024069</v>
      </c>
      <c r="O23" s="109">
        <f t="shared" ref="O23:O28" si="7">SUM(C23:N23)</f>
        <v>119328898.02362891</v>
      </c>
      <c r="P23" s="43"/>
      <c r="Q23" s="43"/>
      <c r="R23" s="40"/>
      <c r="S23" s="40"/>
      <c r="T23" s="40"/>
      <c r="U23" s="40"/>
      <c r="V23" s="40"/>
      <c r="W23" s="40"/>
      <c r="X23" s="40"/>
      <c r="Y23" s="40"/>
    </row>
    <row r="24" spans="1:25" s="11" customFormat="1" x14ac:dyDescent="0.25">
      <c r="A24" s="82"/>
      <c r="B24" s="108" t="s">
        <v>82</v>
      </c>
      <c r="C24" s="109">
        <f>'6. Mortgage payment'!$C$7</f>
        <v>28168245.060798287</v>
      </c>
      <c r="D24" s="109">
        <f>'6. Mortgage payment'!$C$7</f>
        <v>28168245.060798287</v>
      </c>
      <c r="E24" s="109">
        <f>'6. Mortgage payment'!$C$7</f>
        <v>28168245.060798287</v>
      </c>
      <c r="F24" s="109">
        <f>'6. Mortgage payment'!$C$7</f>
        <v>28168245.060798287</v>
      </c>
      <c r="G24" s="109">
        <f>'6. Mortgage payment'!$C$7</f>
        <v>28168245.060798287</v>
      </c>
      <c r="H24" s="109">
        <f>'6. Mortgage payment'!$C$7</f>
        <v>28168245.060798287</v>
      </c>
      <c r="I24" s="109">
        <f>'6. Mortgage payment'!$C$7</f>
        <v>28168245.060798287</v>
      </c>
      <c r="J24" s="109">
        <f>'6. Mortgage payment'!$C$7</f>
        <v>28168245.060798287</v>
      </c>
      <c r="K24" s="109">
        <f>'6. Mortgage payment'!$C$7</f>
        <v>28168245.060798287</v>
      </c>
      <c r="L24" s="109">
        <f>'6. Mortgage payment'!$C$7</f>
        <v>28168245.060798287</v>
      </c>
      <c r="M24" s="109">
        <f>'6. Mortgage payment'!$C$7</f>
        <v>28168245.060798287</v>
      </c>
      <c r="N24" s="109">
        <f>'6. Mortgage payment'!$C$7</f>
        <v>28168245.060798287</v>
      </c>
      <c r="O24" s="109">
        <f t="shared" si="7"/>
        <v>338018940.72957945</v>
      </c>
      <c r="P24" s="43"/>
      <c r="Q24" s="43"/>
      <c r="R24" s="40"/>
      <c r="S24" s="40"/>
      <c r="T24" s="40"/>
      <c r="U24" s="40"/>
      <c r="V24" s="40"/>
      <c r="W24" s="40"/>
      <c r="X24" s="40"/>
      <c r="Y24" s="40"/>
    </row>
    <row r="25" spans="1:25" s="11" customFormat="1" x14ac:dyDescent="0.25">
      <c r="A25" s="82"/>
      <c r="B25" s="108" t="s">
        <v>251</v>
      </c>
      <c r="C25" s="109">
        <f>-PMT(4%,18*12,(150000000*8)/(1+4%)^18)</f>
        <v>23699110.369091634</v>
      </c>
      <c r="D25" s="109">
        <f t="shared" ref="D25:N25" si="8">-PMT(4%,18*12,(150000000*8)/(1+4%)^18)</f>
        <v>23699110.369091634</v>
      </c>
      <c r="E25" s="109">
        <f t="shared" si="8"/>
        <v>23699110.369091634</v>
      </c>
      <c r="F25" s="109">
        <f t="shared" si="8"/>
        <v>23699110.369091634</v>
      </c>
      <c r="G25" s="109">
        <f t="shared" si="8"/>
        <v>23699110.369091634</v>
      </c>
      <c r="H25" s="109">
        <f t="shared" si="8"/>
        <v>23699110.369091634</v>
      </c>
      <c r="I25" s="109">
        <f t="shared" si="8"/>
        <v>23699110.369091634</v>
      </c>
      <c r="J25" s="109">
        <f t="shared" si="8"/>
        <v>23699110.369091634</v>
      </c>
      <c r="K25" s="109">
        <f t="shared" si="8"/>
        <v>23699110.369091634</v>
      </c>
      <c r="L25" s="109">
        <f t="shared" si="8"/>
        <v>23699110.369091634</v>
      </c>
      <c r="M25" s="109">
        <f t="shared" si="8"/>
        <v>23699110.369091634</v>
      </c>
      <c r="N25" s="109">
        <f t="shared" si="8"/>
        <v>23699110.369091634</v>
      </c>
      <c r="O25" s="109">
        <f>SUM(C25:N25)</f>
        <v>284389324.42909962</v>
      </c>
      <c r="P25" s="43"/>
      <c r="Q25" s="43"/>
      <c r="R25" s="40"/>
      <c r="S25" s="40"/>
      <c r="T25" s="40"/>
      <c r="U25" s="40"/>
      <c r="V25" s="40"/>
      <c r="W25" s="40"/>
      <c r="X25" s="40"/>
      <c r="Y25" s="40"/>
    </row>
    <row r="26" spans="1:25" s="11" customFormat="1" x14ac:dyDescent="0.25">
      <c r="A26" s="82"/>
      <c r="B26" s="108" t="s">
        <v>384</v>
      </c>
      <c r="C26" s="109">
        <f>'4. Car'!$F$18</f>
        <v>20512430.142180242</v>
      </c>
      <c r="D26" s="109">
        <f>'4. Car'!$F$18</f>
        <v>20512430.142180242</v>
      </c>
      <c r="E26" s="109">
        <f>'4. Car'!$F$18</f>
        <v>20512430.142180242</v>
      </c>
      <c r="F26" s="109">
        <f>'4. Car'!$F$18</f>
        <v>20512430.142180242</v>
      </c>
      <c r="G26" s="109">
        <f>'4. Car'!$F$18</f>
        <v>20512430.142180242</v>
      </c>
      <c r="H26" s="109">
        <f>'4. Car'!$F$18</f>
        <v>20512430.142180242</v>
      </c>
      <c r="I26" s="109">
        <f>'4. Car'!$F$18</f>
        <v>20512430.142180242</v>
      </c>
      <c r="J26" s="109">
        <f>'4. Car'!$F$18</f>
        <v>20512430.142180242</v>
      </c>
      <c r="K26" s="109">
        <f>'4. Car'!$F$18</f>
        <v>20512430.142180242</v>
      </c>
      <c r="L26" s="109">
        <f>'4. Car'!$F$18</f>
        <v>20512430.142180242</v>
      </c>
      <c r="M26" s="109">
        <f>'4. Car'!$F$18</f>
        <v>20512430.142180242</v>
      </c>
      <c r="N26" s="109">
        <f>'4. Car'!$F$18</f>
        <v>20512430.142180242</v>
      </c>
      <c r="O26" s="109">
        <f t="shared" si="7"/>
        <v>246149161.70616284</v>
      </c>
      <c r="P26" s="43"/>
      <c r="Q26" s="43"/>
      <c r="R26" s="40"/>
      <c r="S26" s="40"/>
      <c r="T26" s="40"/>
      <c r="U26" s="40"/>
      <c r="V26" s="40"/>
      <c r="W26" s="40"/>
      <c r="X26" s="40"/>
      <c r="Y26" s="40"/>
    </row>
    <row r="27" spans="1:25" s="11" customFormat="1" x14ac:dyDescent="0.25">
      <c r="A27" s="82"/>
      <c r="B27" s="108" t="s">
        <v>364</v>
      </c>
      <c r="C27" s="109">
        <f>'4. Car'!$F$12</f>
        <v>1622400</v>
      </c>
      <c r="D27" s="109">
        <v>0</v>
      </c>
      <c r="E27" s="109">
        <v>0</v>
      </c>
      <c r="F27" s="109">
        <v>0</v>
      </c>
      <c r="G27" s="109">
        <v>0</v>
      </c>
      <c r="H27" s="109">
        <v>0</v>
      </c>
      <c r="I27" s="109">
        <v>0</v>
      </c>
      <c r="J27" s="109">
        <v>0</v>
      </c>
      <c r="K27" s="109">
        <v>0</v>
      </c>
      <c r="L27" s="109">
        <v>0</v>
      </c>
      <c r="M27" s="109">
        <v>0</v>
      </c>
      <c r="N27" s="109">
        <v>0</v>
      </c>
      <c r="O27" s="109">
        <f t="shared" si="7"/>
        <v>1622400</v>
      </c>
      <c r="P27" s="43"/>
      <c r="Q27" s="43"/>
      <c r="R27" s="40"/>
      <c r="S27" s="40"/>
      <c r="T27" s="40"/>
      <c r="U27" s="40"/>
      <c r="V27" s="40"/>
      <c r="W27" s="40"/>
      <c r="X27" s="40"/>
      <c r="Y27" s="40"/>
    </row>
    <row r="28" spans="1:25" s="11" customFormat="1" x14ac:dyDescent="0.25">
      <c r="A28" s="82"/>
      <c r="B28" s="60" t="s">
        <v>206</v>
      </c>
      <c r="C28" s="61">
        <f>C6-C22-C23-C24-C27-C26-C25</f>
        <v>53643792.105857879</v>
      </c>
      <c r="D28" s="61">
        <f t="shared" ref="D28:N28" si="9">D6-D22-D23-D24-D27-D26-D25</f>
        <v>55243988.44158408</v>
      </c>
      <c r="E28" s="61">
        <f t="shared" si="9"/>
        <v>55719146.857042879</v>
      </c>
      <c r="F28" s="61">
        <f t="shared" si="9"/>
        <v>55208462.578746051</v>
      </c>
      <c r="G28" s="61">
        <f t="shared" si="9"/>
        <v>52703889.2486642</v>
      </c>
      <c r="H28" s="61">
        <f t="shared" si="9"/>
        <v>55723587.589897633</v>
      </c>
      <c r="I28" s="61">
        <f t="shared" si="9"/>
        <v>53147962.534139693</v>
      </c>
      <c r="J28" s="61">
        <f t="shared" si="9"/>
        <v>51762453.883456141</v>
      </c>
      <c r="K28" s="61">
        <f t="shared" si="9"/>
        <v>54093838.632202536</v>
      </c>
      <c r="L28" s="61">
        <f t="shared" si="9"/>
        <v>54742185.62899676</v>
      </c>
      <c r="M28" s="61">
        <f t="shared" si="9"/>
        <v>53516543.361084372</v>
      </c>
      <c r="N28" s="61">
        <f t="shared" si="9"/>
        <v>53569832.155341417</v>
      </c>
      <c r="O28" s="47">
        <f t="shared" si="7"/>
        <v>649075683.01701355</v>
      </c>
      <c r="P28" s="43"/>
      <c r="Q28" s="43"/>
      <c r="R28" s="40"/>
      <c r="S28" s="40"/>
      <c r="T28" s="40"/>
      <c r="U28" s="40"/>
      <c r="V28" s="40"/>
      <c r="W28" s="40"/>
      <c r="X28" s="40"/>
      <c r="Y28" s="40"/>
    </row>
    <row r="29" spans="1:25" ht="13.2" customHeight="1" x14ac:dyDescent="0.25">
      <c r="A29" s="85"/>
      <c r="B29" s="40"/>
      <c r="C29" s="40"/>
      <c r="D29" s="40"/>
      <c r="E29" s="40"/>
      <c r="F29" s="40"/>
      <c r="G29" s="40"/>
      <c r="H29" s="40"/>
      <c r="I29" s="40"/>
      <c r="J29" s="40"/>
      <c r="K29" s="40"/>
      <c r="L29" s="353" t="s">
        <v>217</v>
      </c>
      <c r="M29" s="354"/>
      <c r="N29" s="350">
        <f>SUM(C28:N28)+'7.2. Stage 2 budget'!N122</f>
        <v>1500133111.8669717</v>
      </c>
      <c r="O29" s="40"/>
    </row>
    <row r="30" spans="1:25" ht="13.2" customHeight="1" x14ac:dyDescent="0.25">
      <c r="A30" s="85"/>
      <c r="B30" s="40"/>
      <c r="C30" s="40"/>
      <c r="D30" s="40"/>
      <c r="E30" s="40"/>
      <c r="F30" s="40"/>
      <c r="G30" s="40"/>
      <c r="H30" s="40"/>
      <c r="I30" s="40"/>
      <c r="J30" s="40"/>
      <c r="K30" s="40"/>
      <c r="L30" s="320"/>
      <c r="M30" s="355"/>
      <c r="N30" s="351"/>
      <c r="O30" s="40"/>
    </row>
    <row r="31" spans="1:25" ht="13.2" customHeight="1" x14ac:dyDescent="0.25">
      <c r="A31" s="85"/>
      <c r="B31" s="319" t="s">
        <v>632</v>
      </c>
      <c r="C31" s="352" t="s">
        <v>252</v>
      </c>
      <c r="D31" s="352"/>
      <c r="E31" s="352"/>
      <c r="F31" s="352"/>
      <c r="G31" s="352"/>
      <c r="H31" s="352"/>
      <c r="I31" s="40"/>
      <c r="J31" s="358" t="s">
        <v>231</v>
      </c>
      <c r="K31" s="359">
        <v>0.04</v>
      </c>
      <c r="L31" s="40"/>
      <c r="M31" s="40"/>
      <c r="N31" s="40"/>
      <c r="O31" s="361"/>
    </row>
    <row r="32" spans="1:25" ht="13.2" customHeight="1" x14ac:dyDescent="0.25">
      <c r="A32" s="85"/>
      <c r="B32" s="319"/>
      <c r="C32" s="352"/>
      <c r="D32" s="352"/>
      <c r="E32" s="352"/>
      <c r="F32" s="352"/>
      <c r="G32" s="352"/>
      <c r="H32" s="352"/>
      <c r="I32" s="40"/>
      <c r="J32" s="358"/>
      <c r="K32" s="360"/>
      <c r="L32" s="40"/>
      <c r="M32" s="40"/>
      <c r="N32" s="40"/>
      <c r="O32" s="362"/>
    </row>
    <row r="33" spans="1:15" ht="13.2" customHeight="1" x14ac:dyDescent="0.25">
      <c r="A33" s="85"/>
      <c r="B33" s="319"/>
      <c r="C33" s="352"/>
      <c r="D33" s="352"/>
      <c r="E33" s="352"/>
      <c r="F33" s="352"/>
      <c r="G33" s="352"/>
      <c r="H33" s="352"/>
      <c r="I33" s="40"/>
      <c r="J33" s="40"/>
      <c r="K33" s="40"/>
      <c r="L33" s="40"/>
      <c r="M33" s="40"/>
      <c r="N33" s="40"/>
      <c r="O33" s="40"/>
    </row>
    <row r="36" spans="1:15" ht="24.6" customHeight="1" x14ac:dyDescent="0.25">
      <c r="A36" s="96"/>
      <c r="B36" s="348" t="s">
        <v>253</v>
      </c>
      <c r="C36" s="348"/>
      <c r="D36" s="348"/>
      <c r="E36" s="348"/>
      <c r="F36" s="348"/>
      <c r="G36" s="348"/>
      <c r="H36" s="348"/>
      <c r="I36" s="348"/>
      <c r="J36" s="348"/>
      <c r="K36" s="348"/>
      <c r="L36" s="348"/>
      <c r="M36" s="348"/>
      <c r="N36" s="348"/>
      <c r="O36" s="348"/>
    </row>
    <row r="37" spans="1:15" ht="24.6" customHeight="1" x14ac:dyDescent="0.25">
      <c r="A37" s="96"/>
      <c r="B37" s="349"/>
      <c r="C37" s="349"/>
      <c r="D37" s="349"/>
      <c r="E37" s="349"/>
      <c r="F37" s="349"/>
      <c r="G37" s="349"/>
      <c r="H37" s="349"/>
      <c r="I37" s="349"/>
      <c r="J37" s="349"/>
      <c r="K37" s="349"/>
      <c r="L37" s="349"/>
      <c r="M37" s="349"/>
      <c r="N37" s="349"/>
      <c r="O37" s="349"/>
    </row>
    <row r="38" spans="1:15" ht="13.2" customHeight="1" x14ac:dyDescent="0.25">
      <c r="A38" s="82"/>
      <c r="B38" s="41"/>
      <c r="C38" s="42" t="s">
        <v>66</v>
      </c>
      <c r="D38" s="42" t="s">
        <v>67</v>
      </c>
      <c r="E38" s="42" t="s">
        <v>68</v>
      </c>
      <c r="F38" s="42" t="s">
        <v>69</v>
      </c>
      <c r="G38" s="42" t="s">
        <v>70</v>
      </c>
      <c r="H38" s="42" t="s">
        <v>71</v>
      </c>
      <c r="I38" s="42" t="s">
        <v>72</v>
      </c>
      <c r="J38" s="42" t="s">
        <v>73</v>
      </c>
      <c r="K38" s="42" t="s">
        <v>74</v>
      </c>
      <c r="L38" s="42" t="s">
        <v>75</v>
      </c>
      <c r="M38" s="42" t="s">
        <v>76</v>
      </c>
      <c r="N38" s="42" t="s">
        <v>77</v>
      </c>
      <c r="O38" s="42" t="s">
        <v>236</v>
      </c>
    </row>
    <row r="39" spans="1:15" ht="13.2" customHeight="1" x14ac:dyDescent="0.25">
      <c r="A39" s="82"/>
      <c r="B39" s="44" t="s">
        <v>194</v>
      </c>
      <c r="C39" s="45">
        <f>'3.1. My Income Tax Calculation'!$P$13/12</f>
        <v>130665970.5882353</v>
      </c>
      <c r="D39" s="45">
        <f>'3.1. My Income Tax Calculation'!$P$13/12</f>
        <v>130665970.5882353</v>
      </c>
      <c r="E39" s="45">
        <f>'3.1. My Income Tax Calculation'!$P$13/12</f>
        <v>130665970.5882353</v>
      </c>
      <c r="F39" s="45">
        <f>'3.1. My Income Tax Calculation'!$P$13/12</f>
        <v>130665970.5882353</v>
      </c>
      <c r="G39" s="45">
        <f>'3.1. My Income Tax Calculation'!$P$13/12</f>
        <v>130665970.5882353</v>
      </c>
      <c r="H39" s="45">
        <f>'3.1. My Income Tax Calculation'!$P$13/12</f>
        <v>130665970.5882353</v>
      </c>
      <c r="I39" s="45">
        <f>'3.1. My Income Tax Calculation'!$P$13/12</f>
        <v>130665970.5882353</v>
      </c>
      <c r="J39" s="45">
        <f>'3.1. My Income Tax Calculation'!$P$13/12</f>
        <v>130665970.5882353</v>
      </c>
      <c r="K39" s="45">
        <f>'3.1. My Income Tax Calculation'!$P$13/12</f>
        <v>130665970.5882353</v>
      </c>
      <c r="L39" s="45">
        <f>'3.1. My Income Tax Calculation'!$P$13/12</f>
        <v>130665970.5882353</v>
      </c>
      <c r="M39" s="45">
        <f>'3.1. My Income Tax Calculation'!$P$13/12</f>
        <v>130665970.5882353</v>
      </c>
      <c r="N39" s="45">
        <f>'3.1. My Income Tax Calculation'!$P$13/12</f>
        <v>130665970.5882353</v>
      </c>
      <c r="O39" s="45" t="s">
        <v>173</v>
      </c>
    </row>
    <row r="40" spans="1:15" ht="13.2" customHeight="1" x14ac:dyDescent="0.25">
      <c r="A40" s="82"/>
      <c r="B40" s="44" t="s">
        <v>246</v>
      </c>
      <c r="C40" s="45">
        <f>'3.2. My wife''s Tax Calc'!$P$13/12</f>
        <v>52987500</v>
      </c>
      <c r="D40" s="45">
        <f>'3.2. My wife''s Tax Calc'!$P$13/12</f>
        <v>52987500</v>
      </c>
      <c r="E40" s="45">
        <f>'3.2. My wife''s Tax Calc'!$P$13/12</f>
        <v>52987500</v>
      </c>
      <c r="F40" s="45">
        <f>'3.2. My wife''s Tax Calc'!$P$13/12</f>
        <v>52987500</v>
      </c>
      <c r="G40" s="45">
        <f>'3.2. My wife''s Tax Calc'!$P$13/12</f>
        <v>52987500</v>
      </c>
      <c r="H40" s="45">
        <f>'3.2. My wife''s Tax Calc'!$P$13/12</f>
        <v>52987500</v>
      </c>
      <c r="I40" s="45">
        <f>'3.2. My wife''s Tax Calc'!$P$13/12</f>
        <v>52987500</v>
      </c>
      <c r="J40" s="45">
        <f>'3.2. My wife''s Tax Calc'!$P$13/12</f>
        <v>52987500</v>
      </c>
      <c r="K40" s="45">
        <f>'3.2. My wife''s Tax Calc'!$P$13/12</f>
        <v>52987500</v>
      </c>
      <c r="L40" s="45">
        <f>'3.2. My wife''s Tax Calc'!$P$13/12</f>
        <v>52987500</v>
      </c>
      <c r="M40" s="45">
        <f>'3.2. My wife''s Tax Calc'!$P$13/12</f>
        <v>52987500</v>
      </c>
      <c r="N40" s="45">
        <f>'3.2. My wife''s Tax Calc'!$P$13/12</f>
        <v>52987500</v>
      </c>
      <c r="O40" s="45" t="s">
        <v>173</v>
      </c>
    </row>
    <row r="41" spans="1:15" ht="13.2" customHeight="1" x14ac:dyDescent="0.25">
      <c r="A41" s="82"/>
      <c r="B41" s="46" t="s">
        <v>209</v>
      </c>
      <c r="C41" s="47">
        <f>SUM(C39:C40)</f>
        <v>183653470.58823532</v>
      </c>
      <c r="D41" s="47">
        <f t="shared" ref="D41" si="10">SUM(D39:D40)</f>
        <v>183653470.58823532</v>
      </c>
      <c r="E41" s="47">
        <f t="shared" ref="E41" si="11">SUM(E39:E40)</f>
        <v>183653470.58823532</v>
      </c>
      <c r="F41" s="47">
        <f t="shared" ref="F41" si="12">SUM(F39:F40)</f>
        <v>183653470.58823532</v>
      </c>
      <c r="G41" s="47">
        <f t="shared" ref="G41" si="13">SUM(G39:G40)</f>
        <v>183653470.58823532</v>
      </c>
      <c r="H41" s="47">
        <f t="shared" ref="H41" si="14">SUM(H39:H40)</f>
        <v>183653470.58823532</v>
      </c>
      <c r="I41" s="47">
        <f t="shared" ref="I41" si="15">SUM(I39:I40)</f>
        <v>183653470.58823532</v>
      </c>
      <c r="J41" s="47">
        <f t="shared" ref="J41" si="16">SUM(J39:J40)</f>
        <v>183653470.58823532</v>
      </c>
      <c r="K41" s="47">
        <f>SUM(K39:K40)</f>
        <v>183653470.58823532</v>
      </c>
      <c r="L41" s="47">
        <f t="shared" ref="L41" si="17">SUM(L39:L40)</f>
        <v>183653470.58823532</v>
      </c>
      <c r="M41" s="47">
        <f t="shared" ref="M41" si="18">SUM(M39:M40)</f>
        <v>183653470.58823532</v>
      </c>
      <c r="N41" s="47">
        <f t="shared" ref="N41" si="19">SUM(N39:N40)</f>
        <v>183653470.58823532</v>
      </c>
      <c r="O41" s="47">
        <f>SUM(C41:N41)</f>
        <v>2203841647.0588241</v>
      </c>
    </row>
    <row r="42" spans="1:15" ht="13.2" customHeight="1" x14ac:dyDescent="0.25">
      <c r="A42" s="82"/>
      <c r="B42" s="52" t="s">
        <v>78</v>
      </c>
      <c r="C42" s="53" t="s">
        <v>173</v>
      </c>
      <c r="D42" s="53" t="s">
        <v>173</v>
      </c>
      <c r="E42" s="53" t="s">
        <v>173</v>
      </c>
      <c r="F42" s="53" t="s">
        <v>173</v>
      </c>
      <c r="G42" s="53" t="s">
        <v>173</v>
      </c>
      <c r="H42" s="53" t="s">
        <v>173</v>
      </c>
      <c r="I42" s="53" t="s">
        <v>173</v>
      </c>
      <c r="J42" s="53" t="s">
        <v>173</v>
      </c>
      <c r="K42" s="53" t="s">
        <v>173</v>
      </c>
      <c r="L42" s="53" t="s">
        <v>173</v>
      </c>
      <c r="M42" s="53" t="s">
        <v>173</v>
      </c>
      <c r="N42" s="53" t="s">
        <v>173</v>
      </c>
      <c r="O42" s="91" t="s">
        <v>173</v>
      </c>
    </row>
    <row r="43" spans="1:15" ht="13.2" customHeight="1" x14ac:dyDescent="0.25">
      <c r="A43" s="82"/>
      <c r="B43" s="48" t="s">
        <v>79</v>
      </c>
      <c r="C43" s="54" t="s">
        <v>173</v>
      </c>
      <c r="D43" s="54" t="s">
        <v>173</v>
      </c>
      <c r="E43" s="54" t="s">
        <v>173</v>
      </c>
      <c r="F43" s="54" t="s">
        <v>173</v>
      </c>
      <c r="G43" s="54" t="s">
        <v>173</v>
      </c>
      <c r="H43" s="54" t="s">
        <v>173</v>
      </c>
      <c r="I43" s="54" t="s">
        <v>173</v>
      </c>
      <c r="J43" s="54" t="s">
        <v>173</v>
      </c>
      <c r="K43" s="54" t="s">
        <v>173</v>
      </c>
      <c r="L43" s="54" t="s">
        <v>173</v>
      </c>
      <c r="M43" s="54" t="s">
        <v>173</v>
      </c>
      <c r="N43" s="54" t="s">
        <v>173</v>
      </c>
      <c r="O43" s="91" t="s">
        <v>173</v>
      </c>
    </row>
    <row r="44" spans="1:15" ht="13.2" customHeight="1" x14ac:dyDescent="0.25">
      <c r="A44" s="83"/>
      <c r="B44" s="49" t="s">
        <v>195</v>
      </c>
      <c r="C44" s="50">
        <f>C9*(1+$K$65)</f>
        <v>203207.93543359032</v>
      </c>
      <c r="D44" s="50">
        <v>0</v>
      </c>
      <c r="E44" s="50">
        <v>0</v>
      </c>
      <c r="F44" s="50">
        <v>0</v>
      </c>
      <c r="G44" s="50">
        <v>0</v>
      </c>
      <c r="H44" s="50">
        <v>0</v>
      </c>
      <c r="I44" s="50">
        <v>0</v>
      </c>
      <c r="J44" s="50">
        <v>0</v>
      </c>
      <c r="K44" s="50">
        <v>0</v>
      </c>
      <c r="L44" s="50">
        <v>0</v>
      </c>
      <c r="M44" s="50">
        <v>0</v>
      </c>
      <c r="N44" s="50">
        <v>0</v>
      </c>
      <c r="O44" s="90">
        <f t="shared" ref="O44:O47" si="20">SUM(C44:N44)</f>
        <v>203207.93543359032</v>
      </c>
    </row>
    <row r="45" spans="1:15" ht="13.2" customHeight="1" x14ac:dyDescent="0.25">
      <c r="A45" s="82"/>
      <c r="B45" s="51" t="s">
        <v>178</v>
      </c>
      <c r="C45" s="50">
        <f>C10*(1+$K$65)</f>
        <v>1539454.0563150779</v>
      </c>
      <c r="D45" s="50">
        <f t="shared" ref="D45:N45" si="21">D10*(1+$K$65)</f>
        <v>1539454.0563150779</v>
      </c>
      <c r="E45" s="50">
        <f t="shared" si="21"/>
        <v>1539454.0563150779</v>
      </c>
      <c r="F45" s="50">
        <f t="shared" si="21"/>
        <v>1539454.0563150779</v>
      </c>
      <c r="G45" s="50">
        <f t="shared" si="21"/>
        <v>1539454.0563150779</v>
      </c>
      <c r="H45" s="50">
        <f t="shared" si="21"/>
        <v>1539454.0563150779</v>
      </c>
      <c r="I45" s="50">
        <f t="shared" si="21"/>
        <v>1539454.0563150779</v>
      </c>
      <c r="J45" s="50">
        <f t="shared" si="21"/>
        <v>1539454.0563150779</v>
      </c>
      <c r="K45" s="50">
        <f t="shared" si="21"/>
        <v>1539454.0563150779</v>
      </c>
      <c r="L45" s="50">
        <f t="shared" si="21"/>
        <v>1539454.0563150779</v>
      </c>
      <c r="M45" s="50">
        <f t="shared" si="21"/>
        <v>1539454.0563150779</v>
      </c>
      <c r="N45" s="50">
        <f t="shared" si="21"/>
        <v>1539454.0563150779</v>
      </c>
      <c r="O45" s="90">
        <f t="shared" si="20"/>
        <v>18473448.675780933</v>
      </c>
    </row>
    <row r="46" spans="1:15" ht="13.2" customHeight="1" x14ac:dyDescent="0.25">
      <c r="A46" s="84"/>
      <c r="B46" s="51" t="s">
        <v>248</v>
      </c>
      <c r="C46" s="50">
        <f>C11*(1+$K$65)</f>
        <v>184734.48675780938</v>
      </c>
      <c r="D46" s="50">
        <f t="shared" ref="D46:N46" si="22">D11*(1+$K$65)</f>
        <v>184734.48675780938</v>
      </c>
      <c r="E46" s="50">
        <f t="shared" si="22"/>
        <v>184734.48675780938</v>
      </c>
      <c r="F46" s="50">
        <f t="shared" si="22"/>
        <v>184734.48675780938</v>
      </c>
      <c r="G46" s="50">
        <f t="shared" si="22"/>
        <v>184734.48675780938</v>
      </c>
      <c r="H46" s="50">
        <f t="shared" si="22"/>
        <v>184734.48675780938</v>
      </c>
      <c r="I46" s="50">
        <f t="shared" si="22"/>
        <v>184734.48675780938</v>
      </c>
      <c r="J46" s="50">
        <f t="shared" si="22"/>
        <v>184734.48675780938</v>
      </c>
      <c r="K46" s="50">
        <f t="shared" si="22"/>
        <v>184734.48675780938</v>
      </c>
      <c r="L46" s="50">
        <f t="shared" si="22"/>
        <v>184734.48675780938</v>
      </c>
      <c r="M46" s="50">
        <f t="shared" si="22"/>
        <v>184734.48675780938</v>
      </c>
      <c r="N46" s="50">
        <f t="shared" si="22"/>
        <v>184734.48675780938</v>
      </c>
      <c r="O46" s="90">
        <f t="shared" si="20"/>
        <v>2216813.841093712</v>
      </c>
    </row>
    <row r="47" spans="1:15" ht="13.2" customHeight="1" x14ac:dyDescent="0.25">
      <c r="A47" s="82"/>
      <c r="B47" s="46" t="s">
        <v>207</v>
      </c>
      <c r="C47" s="47">
        <f t="shared" ref="C47:N47" si="23">SUM(C44:C46)</f>
        <v>1927396.4785064775</v>
      </c>
      <c r="D47" s="47">
        <f t="shared" si="23"/>
        <v>1724188.5430728872</v>
      </c>
      <c r="E47" s="47">
        <f t="shared" si="23"/>
        <v>1724188.5430728872</v>
      </c>
      <c r="F47" s="47">
        <f t="shared" si="23"/>
        <v>1724188.5430728872</v>
      </c>
      <c r="G47" s="47">
        <f t="shared" si="23"/>
        <v>1724188.5430728872</v>
      </c>
      <c r="H47" s="47">
        <f t="shared" si="23"/>
        <v>1724188.5430728872</v>
      </c>
      <c r="I47" s="47">
        <f t="shared" si="23"/>
        <v>1724188.5430728872</v>
      </c>
      <c r="J47" s="47">
        <f t="shared" si="23"/>
        <v>1724188.5430728872</v>
      </c>
      <c r="K47" s="47">
        <f t="shared" si="23"/>
        <v>1724188.5430728872</v>
      </c>
      <c r="L47" s="47">
        <f t="shared" si="23"/>
        <v>1724188.5430728872</v>
      </c>
      <c r="M47" s="47">
        <f t="shared" si="23"/>
        <v>1724188.5430728872</v>
      </c>
      <c r="N47" s="47">
        <f t="shared" si="23"/>
        <v>1724188.5430728872</v>
      </c>
      <c r="O47" s="47">
        <f t="shared" si="20"/>
        <v>20893470.452308234</v>
      </c>
    </row>
    <row r="48" spans="1:15" ht="13.2" customHeight="1" x14ac:dyDescent="0.25">
      <c r="A48" s="82"/>
      <c r="B48" s="55" t="s">
        <v>83</v>
      </c>
      <c r="C48" s="59" t="s">
        <v>173</v>
      </c>
      <c r="D48" s="59" t="s">
        <v>173</v>
      </c>
      <c r="E48" s="59" t="s">
        <v>173</v>
      </c>
      <c r="F48" s="59" t="s">
        <v>173</v>
      </c>
      <c r="G48" s="59" t="s">
        <v>173</v>
      </c>
      <c r="H48" s="59" t="s">
        <v>173</v>
      </c>
      <c r="I48" s="59" t="s">
        <v>173</v>
      </c>
      <c r="J48" s="59" t="s">
        <v>173</v>
      </c>
      <c r="K48" s="59" t="s">
        <v>173</v>
      </c>
      <c r="L48" s="59" t="s">
        <v>173</v>
      </c>
      <c r="M48" s="59" t="s">
        <v>173</v>
      </c>
      <c r="N48" s="59" t="s">
        <v>173</v>
      </c>
      <c r="O48" s="91" t="s">
        <v>173</v>
      </c>
    </row>
    <row r="49" spans="1:25" ht="13.2" customHeight="1" x14ac:dyDescent="0.25">
      <c r="A49" s="82"/>
      <c r="B49" s="57" t="s">
        <v>210</v>
      </c>
      <c r="C49" s="89">
        <f t="shared" ref="C49:N49" si="24">C14*(1+$K$65)</f>
        <v>1528677.8779208728</v>
      </c>
      <c r="D49" s="89">
        <f t="shared" si="24"/>
        <v>1842726.5054091485</v>
      </c>
      <c r="E49" s="89">
        <f t="shared" si="24"/>
        <v>1699557.2781718459</v>
      </c>
      <c r="F49" s="89">
        <f t="shared" si="24"/>
        <v>1588716.5861171605</v>
      </c>
      <c r="G49" s="89">
        <f t="shared" si="24"/>
        <v>1459402.4453866943</v>
      </c>
      <c r="H49" s="89">
        <f t="shared" si="24"/>
        <v>1828871.4189023126</v>
      </c>
      <c r="I49" s="89">
        <f t="shared" si="24"/>
        <v>2133683.3220526981</v>
      </c>
      <c r="J49" s="89">
        <f t="shared" si="24"/>
        <v>2045934.4408427386</v>
      </c>
      <c r="K49" s="89">
        <f t="shared" si="24"/>
        <v>1579479.8617792702</v>
      </c>
      <c r="L49" s="89">
        <f t="shared" si="24"/>
        <v>1621045.1212997774</v>
      </c>
      <c r="M49" s="89">
        <f t="shared" si="24"/>
        <v>1542532.9644277084</v>
      </c>
      <c r="N49" s="89">
        <f t="shared" si="24"/>
        <v>1667228.7429892295</v>
      </c>
      <c r="O49" s="92">
        <f t="shared" ref="O49:O57" si="25">SUM(C49:N49)</f>
        <v>20537856.565299463</v>
      </c>
    </row>
    <row r="50" spans="1:25" ht="13.2" customHeight="1" x14ac:dyDescent="0.25">
      <c r="A50" s="82"/>
      <c r="B50" s="57" t="s">
        <v>203</v>
      </c>
      <c r="C50" s="89">
        <f t="shared" ref="C50:N50" si="26">C15*(1+$K$65)</f>
        <v>5518942.7918895539</v>
      </c>
      <c r="D50" s="89">
        <f t="shared" si="26"/>
        <v>5943832.1114325169</v>
      </c>
      <c r="E50" s="89">
        <f t="shared" si="26"/>
        <v>6664296.6097879726</v>
      </c>
      <c r="F50" s="89">
        <f t="shared" si="26"/>
        <v>5052488.2128260871</v>
      </c>
      <c r="G50" s="89">
        <f t="shared" si="26"/>
        <v>6724335.3179842616</v>
      </c>
      <c r="H50" s="89">
        <f t="shared" si="26"/>
        <v>6336392.8957928615</v>
      </c>
      <c r="I50" s="89">
        <f t="shared" si="26"/>
        <v>5814517.9707020503</v>
      </c>
      <c r="J50" s="89">
        <f t="shared" si="26"/>
        <v>6913688.1669110162</v>
      </c>
      <c r="K50" s="89">
        <f t="shared" si="26"/>
        <v>6756663.8531668773</v>
      </c>
      <c r="L50" s="89">
        <f t="shared" si="26"/>
        <v>6756663.8531668773</v>
      </c>
      <c r="M50" s="89">
        <f t="shared" si="26"/>
        <v>5251077.7860907326</v>
      </c>
      <c r="N50" s="89">
        <f t="shared" si="26"/>
        <v>6474943.7608612198</v>
      </c>
      <c r="O50" s="92">
        <f t="shared" si="25"/>
        <v>74207843.330612034</v>
      </c>
    </row>
    <row r="51" spans="1:25" ht="13.2" customHeight="1" x14ac:dyDescent="0.25">
      <c r="A51" s="82"/>
      <c r="B51" s="58" t="s">
        <v>84</v>
      </c>
      <c r="C51" s="89">
        <f t="shared" ref="C51:N51" si="27">C16*(1+$K$65)</f>
        <v>4881608.8125751112</v>
      </c>
      <c r="D51" s="89">
        <f t="shared" si="27"/>
        <v>5329589.9429628002</v>
      </c>
      <c r="E51" s="89">
        <f t="shared" si="27"/>
        <v>5348063.3916385826</v>
      </c>
      <c r="F51" s="89">
        <f t="shared" si="27"/>
        <v>5523561.1540584993</v>
      </c>
      <c r="G51" s="89">
        <f t="shared" si="27"/>
        <v>6534982.4690575069</v>
      </c>
      <c r="H51" s="89">
        <f t="shared" si="27"/>
        <v>5652875.294788966</v>
      </c>
      <c r="I51" s="89">
        <f t="shared" si="27"/>
        <v>5869938.3167293947</v>
      </c>
      <c r="J51" s="89">
        <f t="shared" si="27"/>
        <v>6756663.8531668773</v>
      </c>
      <c r="K51" s="89">
        <f t="shared" si="27"/>
        <v>6183986.9442176698</v>
      </c>
      <c r="L51" s="89">
        <f t="shared" si="27"/>
        <v>6174750.219879779</v>
      </c>
      <c r="M51" s="89">
        <f t="shared" si="27"/>
        <v>6608876.263760631</v>
      </c>
      <c r="N51" s="89">
        <f t="shared" si="27"/>
        <v>5306498.1321180761</v>
      </c>
      <c r="O51" s="92">
        <f t="shared" si="25"/>
        <v>70171394.794953898</v>
      </c>
    </row>
    <row r="52" spans="1:25" ht="13.2" customHeight="1" x14ac:dyDescent="0.25">
      <c r="A52" s="82"/>
      <c r="B52" s="57" t="s">
        <v>85</v>
      </c>
      <c r="C52" s="89">
        <f t="shared" ref="C52:N52" si="28">C17*(1+$K$65)</f>
        <v>5671348.7434647484</v>
      </c>
      <c r="D52" s="89">
        <f t="shared" si="28"/>
        <v>4853898.6395614427</v>
      </c>
      <c r="E52" s="89">
        <f t="shared" si="28"/>
        <v>5024778.0398124158</v>
      </c>
      <c r="F52" s="89">
        <f t="shared" si="28"/>
        <v>5103290.1966844834</v>
      </c>
      <c r="G52" s="89">
        <f t="shared" si="28"/>
        <v>6862886.183052619</v>
      </c>
      <c r="H52" s="89">
        <f t="shared" si="28"/>
        <v>5038633.126319252</v>
      </c>
      <c r="I52" s="89">
        <f t="shared" si="28"/>
        <v>5846846.5058846669</v>
      </c>
      <c r="J52" s="89">
        <f t="shared" si="28"/>
        <v>4627598.8932831259</v>
      </c>
      <c r="K52" s="89">
        <f t="shared" si="28"/>
        <v>6017725.906135641</v>
      </c>
      <c r="L52" s="89">
        <f t="shared" si="28"/>
        <v>4780004.8448583167</v>
      </c>
      <c r="M52" s="89">
        <f t="shared" si="28"/>
        <v>6087001.3386698188</v>
      </c>
      <c r="N52" s="89">
        <f t="shared" si="28"/>
        <v>5796044.5220262697</v>
      </c>
      <c r="O52" s="92">
        <f t="shared" si="25"/>
        <v>65710056.93975281</v>
      </c>
    </row>
    <row r="53" spans="1:25" ht="13.2" customHeight="1" x14ac:dyDescent="0.25">
      <c r="A53" s="84"/>
      <c r="B53" s="58" t="s">
        <v>249</v>
      </c>
      <c r="C53" s="89">
        <f t="shared" ref="C53:N53" si="29">C41*5%</f>
        <v>9182673.5294117667</v>
      </c>
      <c r="D53" s="89">
        <f t="shared" si="29"/>
        <v>9182673.5294117667</v>
      </c>
      <c r="E53" s="89">
        <f t="shared" si="29"/>
        <v>9182673.5294117667</v>
      </c>
      <c r="F53" s="89">
        <f t="shared" si="29"/>
        <v>9182673.5294117667</v>
      </c>
      <c r="G53" s="89">
        <f t="shared" si="29"/>
        <v>9182673.5294117667</v>
      </c>
      <c r="H53" s="89">
        <f t="shared" si="29"/>
        <v>9182673.5294117667</v>
      </c>
      <c r="I53" s="89">
        <f t="shared" si="29"/>
        <v>9182673.5294117667</v>
      </c>
      <c r="J53" s="89">
        <f t="shared" si="29"/>
        <v>9182673.5294117667</v>
      </c>
      <c r="K53" s="89">
        <f t="shared" si="29"/>
        <v>9182673.5294117667</v>
      </c>
      <c r="L53" s="89">
        <f t="shared" si="29"/>
        <v>9182673.5294117667</v>
      </c>
      <c r="M53" s="89">
        <f t="shared" si="29"/>
        <v>9182673.5294117667</v>
      </c>
      <c r="N53" s="89">
        <f t="shared" si="29"/>
        <v>9182673.5294117667</v>
      </c>
      <c r="O53" s="92">
        <f t="shared" si="25"/>
        <v>110192082.35294117</v>
      </c>
    </row>
    <row r="54" spans="1:25" ht="13.2" customHeight="1" x14ac:dyDescent="0.25">
      <c r="A54" s="84"/>
      <c r="B54" s="58" t="s">
        <v>180</v>
      </c>
      <c r="C54" s="89">
        <f t="shared" ref="C54:N54" si="30">C19*(1+$K$65)</f>
        <v>6705861.8693084791</v>
      </c>
      <c r="D54" s="89">
        <f t="shared" si="30"/>
        <v>6618112.9880985199</v>
      </c>
      <c r="E54" s="89">
        <f t="shared" si="30"/>
        <v>5500469.3432137752</v>
      </c>
      <c r="F54" s="89">
        <f t="shared" si="30"/>
        <v>6073146.2521629855</v>
      </c>
      <c r="G54" s="89">
        <f t="shared" si="30"/>
        <v>4789241.5691962084</v>
      </c>
      <c r="H54" s="89">
        <f t="shared" si="30"/>
        <v>5324971.5807938557</v>
      </c>
      <c r="I54" s="89">
        <f t="shared" si="30"/>
        <v>5509706.0675516659</v>
      </c>
      <c r="J54" s="89">
        <f t="shared" si="30"/>
        <v>6530364.1068885615</v>
      </c>
      <c r="K54" s="89">
        <f t="shared" si="30"/>
        <v>5112526.9210223751</v>
      </c>
      <c r="L54" s="89">
        <f t="shared" si="30"/>
        <v>5472759.170200102</v>
      </c>
      <c r="M54" s="89">
        <f t="shared" si="30"/>
        <v>5481995.8945379918</v>
      </c>
      <c r="N54" s="89">
        <f t="shared" si="30"/>
        <v>5343445.0294696363</v>
      </c>
      <c r="O54" s="92">
        <f t="shared" si="25"/>
        <v>68462600.792444155</v>
      </c>
    </row>
    <row r="55" spans="1:25" ht="13.2" customHeight="1" x14ac:dyDescent="0.25">
      <c r="A55" s="84"/>
      <c r="B55" s="58" t="s">
        <v>86</v>
      </c>
      <c r="C55" s="89">
        <f t="shared" ref="C55:N55" si="31">C20*(1+$K$65)</f>
        <v>4881608.8125751112</v>
      </c>
      <c r="D55" s="89">
        <f t="shared" si="31"/>
        <v>4826188.4665477704</v>
      </c>
      <c r="E55" s="89">
        <f t="shared" si="31"/>
        <v>4683019.2393104685</v>
      </c>
      <c r="F55" s="89">
        <f t="shared" si="31"/>
        <v>6110093.1495145448</v>
      </c>
      <c r="G55" s="89">
        <f t="shared" si="31"/>
        <v>5685203.8299715826</v>
      </c>
      <c r="H55" s="89">
        <f t="shared" si="31"/>
        <v>4733821.2231688658</v>
      </c>
      <c r="I55" s="89">
        <f t="shared" si="31"/>
        <v>6419523.4148338772</v>
      </c>
      <c r="J55" s="89">
        <f t="shared" si="31"/>
        <v>6160895.1333729429</v>
      </c>
      <c r="K55" s="89">
        <f t="shared" si="31"/>
        <v>4960120.9694471825</v>
      </c>
      <c r="L55" s="89">
        <f t="shared" si="31"/>
        <v>5131000.3696981566</v>
      </c>
      <c r="M55" s="89">
        <f t="shared" si="31"/>
        <v>6239407.2902450124</v>
      </c>
      <c r="N55" s="89">
        <f t="shared" si="31"/>
        <v>6567311.0042401236</v>
      </c>
      <c r="O55" s="92">
        <f t="shared" si="25"/>
        <v>66398192.90292564</v>
      </c>
    </row>
    <row r="56" spans="1:25" ht="13.2" customHeight="1" x14ac:dyDescent="0.25">
      <c r="A56" s="82"/>
      <c r="B56" s="46" t="s">
        <v>208</v>
      </c>
      <c r="C56" s="47">
        <f t="shared" ref="C56:N56" si="32">SUM(C49:C55)</f>
        <v>38370722.437145643</v>
      </c>
      <c r="D56" s="47">
        <f t="shared" si="32"/>
        <v>38597022.183423966</v>
      </c>
      <c r="E56" s="47">
        <f t="shared" si="32"/>
        <v>38102857.431346826</v>
      </c>
      <c r="F56" s="47">
        <f t="shared" si="32"/>
        <v>38633969.080775529</v>
      </c>
      <c r="G56" s="47">
        <f t="shared" si="32"/>
        <v>41238725.344060637</v>
      </c>
      <c r="H56" s="47">
        <f t="shared" si="32"/>
        <v>38098239.069177881</v>
      </c>
      <c r="I56" s="47">
        <f t="shared" si="32"/>
        <v>40776889.127166122</v>
      </c>
      <c r="J56" s="47">
        <f t="shared" si="32"/>
        <v>42217818.123877026</v>
      </c>
      <c r="K56" s="47">
        <f t="shared" si="32"/>
        <v>39793177.98518078</v>
      </c>
      <c r="L56" s="47">
        <f t="shared" si="32"/>
        <v>39118897.108514778</v>
      </c>
      <c r="M56" s="47">
        <f t="shared" si="32"/>
        <v>40393565.067143656</v>
      </c>
      <c r="N56" s="47">
        <f t="shared" si="32"/>
        <v>40338144.721116327</v>
      </c>
      <c r="O56" s="47">
        <f t="shared" si="25"/>
        <v>475680027.67892927</v>
      </c>
    </row>
    <row r="57" spans="1:25" ht="13.2" customHeight="1" x14ac:dyDescent="0.25">
      <c r="A57" s="82"/>
      <c r="B57" s="60" t="s">
        <v>87</v>
      </c>
      <c r="C57" s="47">
        <f t="shared" ref="C57:N57" si="33">C47+C56</f>
        <v>40298118.915652119</v>
      </c>
      <c r="D57" s="47">
        <f t="shared" si="33"/>
        <v>40321210.726496853</v>
      </c>
      <c r="E57" s="47">
        <f t="shared" si="33"/>
        <v>39827045.974419713</v>
      </c>
      <c r="F57" s="47">
        <f t="shared" si="33"/>
        <v>40358157.623848416</v>
      </c>
      <c r="G57" s="47">
        <f t="shared" si="33"/>
        <v>42962913.887133524</v>
      </c>
      <c r="H57" s="47">
        <f t="shared" si="33"/>
        <v>39822427.612250768</v>
      </c>
      <c r="I57" s="47">
        <f t="shared" si="33"/>
        <v>42501077.670239009</v>
      </c>
      <c r="J57" s="47">
        <f t="shared" si="33"/>
        <v>43942006.666949913</v>
      </c>
      <c r="K57" s="47">
        <f t="shared" si="33"/>
        <v>41517366.528253667</v>
      </c>
      <c r="L57" s="47">
        <f t="shared" si="33"/>
        <v>40843085.651587665</v>
      </c>
      <c r="M57" s="47">
        <f t="shared" si="33"/>
        <v>42117753.610216543</v>
      </c>
      <c r="N57" s="47">
        <f t="shared" si="33"/>
        <v>42062333.264189214</v>
      </c>
      <c r="O57" s="47">
        <f t="shared" si="25"/>
        <v>496573498.13123739</v>
      </c>
    </row>
    <row r="58" spans="1:25" s="11" customFormat="1" x14ac:dyDescent="0.25">
      <c r="A58" s="82"/>
      <c r="B58" s="108" t="s">
        <v>204</v>
      </c>
      <c r="C58" s="109">
        <f>$O57*(3/12)/12</f>
        <v>10345281.211067446</v>
      </c>
      <c r="D58" s="109">
        <f t="shared" ref="D58" si="34">$O57*(3/12)/12</f>
        <v>10345281.211067446</v>
      </c>
      <c r="E58" s="109">
        <f t="shared" ref="E58" si="35">$O57*(3/12)/12</f>
        <v>10345281.211067446</v>
      </c>
      <c r="F58" s="109">
        <f t="shared" ref="F58" si="36">$O57*(3/12)/12</f>
        <v>10345281.211067446</v>
      </c>
      <c r="G58" s="109">
        <f t="shared" ref="G58" si="37">$O57*(3/12)/12</f>
        <v>10345281.211067446</v>
      </c>
      <c r="H58" s="109">
        <f t="shared" ref="H58" si="38">$O57*(3/12)/12</f>
        <v>10345281.211067446</v>
      </c>
      <c r="I58" s="109">
        <f t="shared" ref="I58" si="39">$O57*(3/12)/12</f>
        <v>10345281.211067446</v>
      </c>
      <c r="J58" s="109">
        <f t="shared" ref="J58" si="40">$O57*(3/12)/12</f>
        <v>10345281.211067446</v>
      </c>
      <c r="K58" s="109">
        <f t="shared" ref="K58" si="41">$O57*(3/12)/12</f>
        <v>10345281.211067446</v>
      </c>
      <c r="L58" s="109">
        <f t="shared" ref="L58" si="42">$O57*(3/12)/12</f>
        <v>10345281.211067446</v>
      </c>
      <c r="M58" s="109">
        <f t="shared" ref="M58" si="43">$O57*(3/12)/12</f>
        <v>10345281.211067446</v>
      </c>
      <c r="N58" s="109">
        <f t="shared" ref="N58" si="44">$O57*(3/12)/12</f>
        <v>10345281.211067446</v>
      </c>
      <c r="O58" s="109">
        <f t="shared" ref="O58:O61" si="45">SUM(C58:N58)</f>
        <v>124143374.53280932</v>
      </c>
      <c r="P58" s="43"/>
      <c r="Q58" s="43"/>
      <c r="R58" s="40"/>
      <c r="S58" s="40"/>
      <c r="T58" s="40"/>
      <c r="U58" s="40"/>
      <c r="V58" s="40"/>
      <c r="W58" s="40"/>
      <c r="X58" s="40"/>
      <c r="Y58" s="40"/>
    </row>
    <row r="59" spans="1:25" s="11" customFormat="1" x14ac:dyDescent="0.25">
      <c r="A59" s="82"/>
      <c r="B59" s="108" t="s">
        <v>82</v>
      </c>
      <c r="C59" s="109">
        <f>'6. Mortgage payment'!$C$7</f>
        <v>28168245.060798287</v>
      </c>
      <c r="D59" s="109">
        <f>'6. Mortgage payment'!$C$7</f>
        <v>28168245.060798287</v>
      </c>
      <c r="E59" s="109">
        <f>'6. Mortgage payment'!$C$7</f>
        <v>28168245.060798287</v>
      </c>
      <c r="F59" s="109">
        <f>'6. Mortgage payment'!$C$7</f>
        <v>28168245.060798287</v>
      </c>
      <c r="G59" s="109">
        <f>'6. Mortgage payment'!$C$7</f>
        <v>28168245.060798287</v>
      </c>
      <c r="H59" s="109">
        <f>'6. Mortgage payment'!$C$7</f>
        <v>28168245.060798287</v>
      </c>
      <c r="I59" s="109">
        <f>'6. Mortgage payment'!$C$7</f>
        <v>28168245.060798287</v>
      </c>
      <c r="J59" s="109">
        <f>'6. Mortgage payment'!$C$7</f>
        <v>28168245.060798287</v>
      </c>
      <c r="K59" s="109">
        <f>'6. Mortgage payment'!$C$7</f>
        <v>28168245.060798287</v>
      </c>
      <c r="L59" s="109">
        <f>'6. Mortgage payment'!$C$7</f>
        <v>28168245.060798287</v>
      </c>
      <c r="M59" s="109">
        <f>'6. Mortgage payment'!$C$7</f>
        <v>28168245.060798287</v>
      </c>
      <c r="N59" s="109">
        <f>'6. Mortgage payment'!$C$7</f>
        <v>28168245.060798287</v>
      </c>
      <c r="O59" s="109">
        <f t="shared" si="45"/>
        <v>338018940.72957945</v>
      </c>
      <c r="P59" s="43"/>
      <c r="Q59" s="43"/>
      <c r="R59" s="40"/>
      <c r="S59" s="40"/>
      <c r="T59" s="40"/>
      <c r="U59" s="40"/>
      <c r="V59" s="40"/>
      <c r="W59" s="40"/>
      <c r="X59" s="40"/>
      <c r="Y59" s="40"/>
    </row>
    <row r="60" spans="1:25" s="11" customFormat="1" x14ac:dyDescent="0.25">
      <c r="A60" s="82"/>
      <c r="B60" s="108" t="s">
        <v>251</v>
      </c>
      <c r="C60" s="109">
        <f>-PMT(4%,18*12,(150000000*8)/(1+4%)^18)</f>
        <v>23699110.369091634</v>
      </c>
      <c r="D60" s="109">
        <f t="shared" ref="D60:N60" si="46">-PMT(4%,18*12,(150000000*8)/(1+4%)^18)</f>
        <v>23699110.369091634</v>
      </c>
      <c r="E60" s="109">
        <f t="shared" si="46"/>
        <v>23699110.369091634</v>
      </c>
      <c r="F60" s="109">
        <f t="shared" si="46"/>
        <v>23699110.369091634</v>
      </c>
      <c r="G60" s="109">
        <f t="shared" si="46"/>
        <v>23699110.369091634</v>
      </c>
      <c r="H60" s="109">
        <f t="shared" si="46"/>
        <v>23699110.369091634</v>
      </c>
      <c r="I60" s="109">
        <f t="shared" si="46"/>
        <v>23699110.369091634</v>
      </c>
      <c r="J60" s="109">
        <f t="shared" si="46"/>
        <v>23699110.369091634</v>
      </c>
      <c r="K60" s="109">
        <f t="shared" si="46"/>
        <v>23699110.369091634</v>
      </c>
      <c r="L60" s="109">
        <f t="shared" si="46"/>
        <v>23699110.369091634</v>
      </c>
      <c r="M60" s="109">
        <f t="shared" si="46"/>
        <v>23699110.369091634</v>
      </c>
      <c r="N60" s="109">
        <f t="shared" si="46"/>
        <v>23699110.369091634</v>
      </c>
      <c r="O60" s="109">
        <f>SUM(C60:N60)</f>
        <v>284389324.42909962</v>
      </c>
      <c r="P60" s="43"/>
      <c r="Q60" s="43"/>
      <c r="R60" s="40"/>
      <c r="S60" s="40"/>
      <c r="T60" s="40"/>
      <c r="U60" s="40"/>
      <c r="V60" s="40"/>
      <c r="W60" s="40"/>
      <c r="X60" s="40"/>
      <c r="Y60" s="40"/>
    </row>
    <row r="61" spans="1:25" s="11" customFormat="1" x14ac:dyDescent="0.25">
      <c r="A61" s="82"/>
      <c r="B61" s="108" t="s">
        <v>364</v>
      </c>
      <c r="C61" s="109">
        <f>C27*(1+$K$65)</f>
        <v>1687296</v>
      </c>
      <c r="D61" s="109">
        <v>0</v>
      </c>
      <c r="E61" s="109">
        <v>0</v>
      </c>
      <c r="F61" s="109">
        <v>0</v>
      </c>
      <c r="G61" s="109">
        <v>0</v>
      </c>
      <c r="H61" s="109">
        <v>0</v>
      </c>
      <c r="I61" s="109">
        <v>0</v>
      </c>
      <c r="J61" s="109">
        <v>0</v>
      </c>
      <c r="K61" s="109">
        <v>0</v>
      </c>
      <c r="L61" s="109">
        <v>0</v>
      </c>
      <c r="M61" s="109">
        <v>0</v>
      </c>
      <c r="N61" s="109">
        <v>0</v>
      </c>
      <c r="O61" s="109">
        <f t="shared" si="45"/>
        <v>1687296</v>
      </c>
      <c r="P61" s="43"/>
      <c r="Q61" s="43"/>
      <c r="R61" s="40"/>
      <c r="S61" s="40"/>
      <c r="T61" s="40"/>
      <c r="U61" s="40"/>
      <c r="V61" s="40"/>
      <c r="W61" s="40"/>
      <c r="X61" s="40"/>
      <c r="Y61" s="40"/>
    </row>
    <row r="62" spans="1:25" s="11" customFormat="1" x14ac:dyDescent="0.25">
      <c r="A62" s="82"/>
      <c r="B62" s="60" t="s">
        <v>206</v>
      </c>
      <c r="C62" s="61">
        <f>C41-C57-C58-C59-C61-C60</f>
        <v>79455419.031625837</v>
      </c>
      <c r="D62" s="61">
        <f t="shared" ref="D62:N62" si="47">D41-D57-D58-D59-D61-D60</f>
        <v>81119623.220781118</v>
      </c>
      <c r="E62" s="61">
        <f t="shared" si="47"/>
        <v>81613787.97285825</v>
      </c>
      <c r="F62" s="61">
        <f t="shared" si="47"/>
        <v>81082676.323429555</v>
      </c>
      <c r="G62" s="61">
        <f t="shared" si="47"/>
        <v>78477920.060144424</v>
      </c>
      <c r="H62" s="61">
        <f t="shared" si="47"/>
        <v>81618406.335027188</v>
      </c>
      <c r="I62" s="61">
        <f t="shared" si="47"/>
        <v>78939756.277038962</v>
      </c>
      <c r="J62" s="61">
        <f t="shared" si="47"/>
        <v>77498827.280328035</v>
      </c>
      <c r="K62" s="61">
        <f t="shared" si="47"/>
        <v>79923467.419024289</v>
      </c>
      <c r="L62" s="61">
        <f t="shared" si="47"/>
        <v>80597748.295690298</v>
      </c>
      <c r="M62" s="61">
        <f t="shared" si="47"/>
        <v>79323080.337061405</v>
      </c>
      <c r="N62" s="61">
        <f t="shared" si="47"/>
        <v>79378500.68308875</v>
      </c>
      <c r="O62" s="47">
        <f t="shared" ref="O62" si="48">SUM(C62:N62)</f>
        <v>959029213.23609805</v>
      </c>
      <c r="P62" s="43"/>
      <c r="Q62" s="43"/>
      <c r="R62" s="40"/>
      <c r="S62" s="40"/>
      <c r="T62" s="40"/>
      <c r="U62" s="40"/>
      <c r="V62" s="40"/>
      <c r="W62" s="40"/>
      <c r="X62" s="40"/>
      <c r="Y62" s="40"/>
    </row>
    <row r="63" spans="1:25" ht="13.2" customHeight="1" x14ac:dyDescent="0.25">
      <c r="A63" s="85"/>
      <c r="B63" s="40"/>
      <c r="C63" s="40"/>
      <c r="D63" s="40"/>
      <c r="E63" s="40"/>
      <c r="F63" s="40"/>
      <c r="G63" s="40"/>
      <c r="H63" s="40"/>
      <c r="I63" s="40"/>
      <c r="J63" s="40"/>
      <c r="K63" s="40"/>
      <c r="L63" s="353" t="s">
        <v>217</v>
      </c>
      <c r="M63" s="354"/>
      <c r="N63" s="350">
        <f>SUM(C62:N62)+N29</f>
        <v>2459162325.1030698</v>
      </c>
      <c r="O63" s="40"/>
    </row>
    <row r="64" spans="1:25" ht="13.2" customHeight="1" x14ac:dyDescent="0.25">
      <c r="A64" s="85"/>
      <c r="B64" s="40"/>
      <c r="C64" s="40"/>
      <c r="D64" s="40"/>
      <c r="E64" s="40"/>
      <c r="F64" s="40"/>
      <c r="G64" s="40"/>
      <c r="H64" s="40"/>
      <c r="I64" s="40"/>
      <c r="J64" s="40"/>
      <c r="K64" s="40"/>
      <c r="L64" s="320"/>
      <c r="M64" s="355"/>
      <c r="N64" s="351"/>
      <c r="O64" s="40"/>
    </row>
    <row r="65" spans="1:15" ht="13.2" customHeight="1" x14ac:dyDescent="0.25">
      <c r="A65" s="85"/>
      <c r="B65" s="319" t="s">
        <v>632</v>
      </c>
      <c r="C65" s="352" t="s">
        <v>173</v>
      </c>
      <c r="D65" s="352"/>
      <c r="E65" s="352"/>
      <c r="F65" s="352"/>
      <c r="G65" s="352"/>
      <c r="H65" s="352"/>
      <c r="I65" s="40"/>
      <c r="J65" s="358" t="s">
        <v>231</v>
      </c>
      <c r="K65" s="359">
        <v>0.04</v>
      </c>
      <c r="L65" s="40"/>
      <c r="M65" s="40"/>
      <c r="N65" s="40"/>
      <c r="O65" s="361"/>
    </row>
    <row r="66" spans="1:15" ht="13.2" customHeight="1" x14ac:dyDescent="0.25">
      <c r="A66" s="85"/>
      <c r="B66" s="319"/>
      <c r="C66" s="352"/>
      <c r="D66" s="352"/>
      <c r="E66" s="352"/>
      <c r="F66" s="352"/>
      <c r="G66" s="352"/>
      <c r="H66" s="352"/>
      <c r="I66" s="40"/>
      <c r="J66" s="358"/>
      <c r="K66" s="360"/>
      <c r="L66" s="40"/>
      <c r="M66" s="40"/>
      <c r="N66" s="40"/>
      <c r="O66" s="362"/>
    </row>
    <row r="67" spans="1:15" ht="13.2" customHeight="1" x14ac:dyDescent="0.25">
      <c r="A67" s="85"/>
      <c r="B67" s="319"/>
      <c r="C67" s="352"/>
      <c r="D67" s="352"/>
      <c r="E67" s="352"/>
      <c r="F67" s="352"/>
      <c r="G67" s="352"/>
      <c r="H67" s="352"/>
      <c r="I67" s="40"/>
      <c r="J67" s="40"/>
      <c r="K67" s="40"/>
      <c r="L67" s="40"/>
      <c r="M67" s="40"/>
      <c r="N67" s="40"/>
      <c r="O67" s="40"/>
    </row>
    <row r="70" spans="1:15" ht="24.6" customHeight="1" x14ac:dyDescent="0.25">
      <c r="A70" s="96"/>
      <c r="B70" s="348" t="s">
        <v>254</v>
      </c>
      <c r="C70" s="348"/>
      <c r="D70" s="348"/>
      <c r="E70" s="348"/>
      <c r="F70" s="348"/>
      <c r="G70" s="348"/>
      <c r="H70" s="348"/>
      <c r="I70" s="348"/>
      <c r="J70" s="348"/>
      <c r="K70" s="348"/>
      <c r="L70" s="348"/>
      <c r="M70" s="348"/>
      <c r="N70" s="348"/>
      <c r="O70" s="348"/>
    </row>
    <row r="71" spans="1:15" ht="24.6" customHeight="1" x14ac:dyDescent="0.25">
      <c r="A71" s="96"/>
      <c r="B71" s="349"/>
      <c r="C71" s="349"/>
      <c r="D71" s="349"/>
      <c r="E71" s="349"/>
      <c r="F71" s="349"/>
      <c r="G71" s="349"/>
      <c r="H71" s="349"/>
      <c r="I71" s="349"/>
      <c r="J71" s="349"/>
      <c r="K71" s="349"/>
      <c r="L71" s="349"/>
      <c r="M71" s="349"/>
      <c r="N71" s="349"/>
      <c r="O71" s="349"/>
    </row>
    <row r="72" spans="1:15" ht="13.2" customHeight="1" x14ac:dyDescent="0.25">
      <c r="A72" s="82"/>
      <c r="B72" s="41"/>
      <c r="C72" s="42" t="s">
        <v>66</v>
      </c>
      <c r="D72" s="42" t="s">
        <v>67</v>
      </c>
      <c r="E72" s="42" t="s">
        <v>68</v>
      </c>
      <c r="F72" s="42" t="s">
        <v>69</v>
      </c>
      <c r="G72" s="42" t="s">
        <v>70</v>
      </c>
      <c r="H72" s="42" t="s">
        <v>71</v>
      </c>
      <c r="I72" s="42" t="s">
        <v>72</v>
      </c>
      <c r="J72" s="42" t="s">
        <v>73</v>
      </c>
      <c r="K72" s="42" t="s">
        <v>74</v>
      </c>
      <c r="L72" s="42" t="s">
        <v>75</v>
      </c>
      <c r="M72" s="42" t="s">
        <v>76</v>
      </c>
      <c r="N72" s="42" t="s">
        <v>77</v>
      </c>
      <c r="O72" s="42" t="s">
        <v>236</v>
      </c>
    </row>
    <row r="73" spans="1:15" ht="13.2" customHeight="1" x14ac:dyDescent="0.25">
      <c r="A73" s="82"/>
      <c r="B73" s="44" t="s">
        <v>194</v>
      </c>
      <c r="C73" s="45">
        <f>'3.1. My Income Tax Calculation'!$P$14/12</f>
        <v>131285202.19723189</v>
      </c>
      <c r="D73" s="45">
        <f>'3.1. My Income Tax Calculation'!$P$14/12</f>
        <v>131285202.19723189</v>
      </c>
      <c r="E73" s="45">
        <f>'3.1. My Income Tax Calculation'!$P$14/12</f>
        <v>131285202.19723189</v>
      </c>
      <c r="F73" s="45">
        <f>'3.1. My Income Tax Calculation'!$P$14/12</f>
        <v>131285202.19723189</v>
      </c>
      <c r="G73" s="45">
        <f>'3.1. My Income Tax Calculation'!$P$14/12</f>
        <v>131285202.19723189</v>
      </c>
      <c r="H73" s="45">
        <f>'3.1. My Income Tax Calculation'!$P$14/12</f>
        <v>131285202.19723189</v>
      </c>
      <c r="I73" s="45">
        <f>'3.1. My Income Tax Calculation'!$P$14/12</f>
        <v>131285202.19723189</v>
      </c>
      <c r="J73" s="45">
        <f>'3.1. My Income Tax Calculation'!$P$14/12</f>
        <v>131285202.19723189</v>
      </c>
      <c r="K73" s="45">
        <f>'3.1. My Income Tax Calculation'!$P$14/12</f>
        <v>131285202.19723189</v>
      </c>
      <c r="L73" s="45">
        <f>'3.1. My Income Tax Calculation'!$P$14/12</f>
        <v>131285202.19723189</v>
      </c>
      <c r="M73" s="45">
        <f>'3.1. My Income Tax Calculation'!$P$14/12</f>
        <v>131285202.19723189</v>
      </c>
      <c r="N73" s="45">
        <f>'3.1. My Income Tax Calculation'!$P$14/12</f>
        <v>131285202.19723189</v>
      </c>
      <c r="O73" s="45" t="s">
        <v>173</v>
      </c>
    </row>
    <row r="74" spans="1:15" ht="13.2" customHeight="1" x14ac:dyDescent="0.25">
      <c r="A74" s="82"/>
      <c r="B74" s="44" t="s">
        <v>246</v>
      </c>
      <c r="C74" s="45">
        <f>'3.2. My wife''s Tax Calc'!$P$14/12</f>
        <v>59270000</v>
      </c>
      <c r="D74" s="45">
        <f>'3.2. My wife''s Tax Calc'!$P$14/12</f>
        <v>59270000</v>
      </c>
      <c r="E74" s="45">
        <f>'3.2. My wife''s Tax Calc'!$P$14/12</f>
        <v>59270000</v>
      </c>
      <c r="F74" s="45">
        <f>'3.2. My wife''s Tax Calc'!$P$14/12</f>
        <v>59270000</v>
      </c>
      <c r="G74" s="45">
        <f>'3.2. My wife''s Tax Calc'!$P$14/12</f>
        <v>59270000</v>
      </c>
      <c r="H74" s="45">
        <f>'3.2. My wife''s Tax Calc'!$P$14/12</f>
        <v>59270000</v>
      </c>
      <c r="I74" s="45">
        <f>'3.2. My wife''s Tax Calc'!$P$14/12</f>
        <v>59270000</v>
      </c>
      <c r="J74" s="45">
        <f>'3.2. My wife''s Tax Calc'!$P$14/12</f>
        <v>59270000</v>
      </c>
      <c r="K74" s="45">
        <f>'3.2. My wife''s Tax Calc'!$P$14/12</f>
        <v>59270000</v>
      </c>
      <c r="L74" s="45">
        <f>'3.2. My wife''s Tax Calc'!$P$14/12</f>
        <v>59270000</v>
      </c>
      <c r="M74" s="45">
        <f>'3.2. My wife''s Tax Calc'!$P$14/12</f>
        <v>59270000</v>
      </c>
      <c r="N74" s="45">
        <f>'3.2. My wife''s Tax Calc'!$P$14/12</f>
        <v>59270000</v>
      </c>
      <c r="O74" s="45" t="s">
        <v>173</v>
      </c>
    </row>
    <row r="75" spans="1:15" ht="13.2" customHeight="1" x14ac:dyDescent="0.25">
      <c r="A75" s="82"/>
      <c r="B75" s="46" t="s">
        <v>209</v>
      </c>
      <c r="C75" s="47">
        <f>SUM(C73:C74)</f>
        <v>190555202.19723189</v>
      </c>
      <c r="D75" s="47">
        <f t="shared" ref="D75" si="49">SUM(D73:D74)</f>
        <v>190555202.19723189</v>
      </c>
      <c r="E75" s="47">
        <f t="shared" ref="E75" si="50">SUM(E73:E74)</f>
        <v>190555202.19723189</v>
      </c>
      <c r="F75" s="47">
        <f t="shared" ref="F75" si="51">SUM(F73:F74)</f>
        <v>190555202.19723189</v>
      </c>
      <c r="G75" s="47">
        <f t="shared" ref="G75" si="52">SUM(G73:G74)</f>
        <v>190555202.19723189</v>
      </c>
      <c r="H75" s="47">
        <f t="shared" ref="H75" si="53">SUM(H73:H74)</f>
        <v>190555202.19723189</v>
      </c>
      <c r="I75" s="47">
        <f t="shared" ref="I75" si="54">SUM(I73:I74)</f>
        <v>190555202.19723189</v>
      </c>
      <c r="J75" s="47">
        <f t="shared" ref="J75" si="55">SUM(J73:J74)</f>
        <v>190555202.19723189</v>
      </c>
      <c r="K75" s="47">
        <f>SUM(K73:K74)</f>
        <v>190555202.19723189</v>
      </c>
      <c r="L75" s="47">
        <f t="shared" ref="L75" si="56">SUM(L73:L74)</f>
        <v>190555202.19723189</v>
      </c>
      <c r="M75" s="47">
        <f t="shared" ref="M75" si="57">SUM(M73:M74)</f>
        <v>190555202.19723189</v>
      </c>
      <c r="N75" s="47">
        <f t="shared" ref="N75" si="58">SUM(N73:N74)</f>
        <v>190555202.19723189</v>
      </c>
      <c r="O75" s="47">
        <f>SUM(C75:N75)</f>
        <v>2286662426.3667822</v>
      </c>
    </row>
    <row r="76" spans="1:15" ht="13.2" customHeight="1" x14ac:dyDescent="0.25">
      <c r="A76" s="82"/>
      <c r="B76" s="52" t="s">
        <v>78</v>
      </c>
      <c r="C76" s="53" t="s">
        <v>173</v>
      </c>
      <c r="D76" s="53" t="s">
        <v>173</v>
      </c>
      <c r="E76" s="53" t="s">
        <v>173</v>
      </c>
      <c r="F76" s="53" t="s">
        <v>173</v>
      </c>
      <c r="G76" s="53" t="s">
        <v>173</v>
      </c>
      <c r="H76" s="53" t="s">
        <v>173</v>
      </c>
      <c r="I76" s="53" t="s">
        <v>173</v>
      </c>
      <c r="J76" s="53" t="s">
        <v>173</v>
      </c>
      <c r="K76" s="53" t="s">
        <v>173</v>
      </c>
      <c r="L76" s="53" t="s">
        <v>173</v>
      </c>
      <c r="M76" s="53" t="s">
        <v>173</v>
      </c>
      <c r="N76" s="53" t="s">
        <v>173</v>
      </c>
      <c r="O76" s="91" t="s">
        <v>173</v>
      </c>
    </row>
    <row r="77" spans="1:15" ht="13.2" customHeight="1" x14ac:dyDescent="0.25">
      <c r="A77" s="82"/>
      <c r="B77" s="48" t="s">
        <v>79</v>
      </c>
      <c r="C77" s="54" t="s">
        <v>173</v>
      </c>
      <c r="D77" s="54" t="s">
        <v>173</v>
      </c>
      <c r="E77" s="54" t="s">
        <v>173</v>
      </c>
      <c r="F77" s="54" t="s">
        <v>173</v>
      </c>
      <c r="G77" s="54" t="s">
        <v>173</v>
      </c>
      <c r="H77" s="54" t="s">
        <v>173</v>
      </c>
      <c r="I77" s="54" t="s">
        <v>173</v>
      </c>
      <c r="J77" s="54" t="s">
        <v>173</v>
      </c>
      <c r="K77" s="54" t="s">
        <v>173</v>
      </c>
      <c r="L77" s="54" t="s">
        <v>173</v>
      </c>
      <c r="M77" s="54" t="s">
        <v>173</v>
      </c>
      <c r="N77" s="54" t="s">
        <v>173</v>
      </c>
      <c r="O77" s="91" t="s">
        <v>173</v>
      </c>
    </row>
    <row r="78" spans="1:15" ht="13.2" customHeight="1" x14ac:dyDescent="0.25">
      <c r="A78" s="83"/>
      <c r="B78" s="49" t="s">
        <v>195</v>
      </c>
      <c r="C78" s="50">
        <f>C44*(1+$K$65)</f>
        <v>211336.25285093393</v>
      </c>
      <c r="D78" s="50">
        <v>0</v>
      </c>
      <c r="E78" s="50">
        <v>0</v>
      </c>
      <c r="F78" s="50">
        <v>0</v>
      </c>
      <c r="G78" s="50">
        <v>0</v>
      </c>
      <c r="H78" s="50">
        <v>0</v>
      </c>
      <c r="I78" s="50">
        <v>0</v>
      </c>
      <c r="J78" s="50">
        <v>0</v>
      </c>
      <c r="K78" s="50">
        <v>0</v>
      </c>
      <c r="L78" s="50">
        <v>0</v>
      </c>
      <c r="M78" s="50">
        <v>0</v>
      </c>
      <c r="N78" s="50">
        <v>0</v>
      </c>
      <c r="O78" s="90">
        <f t="shared" ref="O78:O81" si="59">SUM(C78:N78)</f>
        <v>211336.25285093393</v>
      </c>
    </row>
    <row r="79" spans="1:15" ht="13.2" customHeight="1" x14ac:dyDescent="0.25">
      <c r="A79" s="82"/>
      <c r="B79" s="51" t="s">
        <v>178</v>
      </c>
      <c r="C79" s="50">
        <f>C45*(1+$K$65)</f>
        <v>1601032.218567681</v>
      </c>
      <c r="D79" s="50">
        <f t="shared" ref="D79:N79" si="60">D45*(1+$K$65)</f>
        <v>1601032.218567681</v>
      </c>
      <c r="E79" s="50">
        <f t="shared" si="60"/>
        <v>1601032.218567681</v>
      </c>
      <c r="F79" s="50">
        <f t="shared" si="60"/>
        <v>1601032.218567681</v>
      </c>
      <c r="G79" s="50">
        <f t="shared" si="60"/>
        <v>1601032.218567681</v>
      </c>
      <c r="H79" s="50">
        <f t="shared" si="60"/>
        <v>1601032.218567681</v>
      </c>
      <c r="I79" s="50">
        <f t="shared" si="60"/>
        <v>1601032.218567681</v>
      </c>
      <c r="J79" s="50">
        <f t="shared" si="60"/>
        <v>1601032.218567681</v>
      </c>
      <c r="K79" s="50">
        <f t="shared" si="60"/>
        <v>1601032.218567681</v>
      </c>
      <c r="L79" s="50">
        <f t="shared" si="60"/>
        <v>1601032.218567681</v>
      </c>
      <c r="M79" s="50">
        <f t="shared" si="60"/>
        <v>1601032.218567681</v>
      </c>
      <c r="N79" s="50">
        <f t="shared" si="60"/>
        <v>1601032.218567681</v>
      </c>
      <c r="O79" s="90">
        <f t="shared" si="59"/>
        <v>19212386.622812171</v>
      </c>
    </row>
    <row r="80" spans="1:15" ht="13.2" customHeight="1" x14ac:dyDescent="0.25">
      <c r="A80" s="84"/>
      <c r="B80" s="51" t="s">
        <v>248</v>
      </c>
      <c r="C80" s="50">
        <f>C46*(1+$K$65)</f>
        <v>192123.86622812177</v>
      </c>
      <c r="D80" s="50">
        <f t="shared" ref="D80:N80" si="61">D46*(1+$K$65)</f>
        <v>192123.86622812177</v>
      </c>
      <c r="E80" s="50">
        <f t="shared" si="61"/>
        <v>192123.86622812177</v>
      </c>
      <c r="F80" s="50">
        <f t="shared" si="61"/>
        <v>192123.86622812177</v>
      </c>
      <c r="G80" s="50">
        <f t="shared" si="61"/>
        <v>192123.86622812177</v>
      </c>
      <c r="H80" s="50">
        <f t="shared" si="61"/>
        <v>192123.86622812177</v>
      </c>
      <c r="I80" s="50">
        <f t="shared" si="61"/>
        <v>192123.86622812177</v>
      </c>
      <c r="J80" s="50">
        <f t="shared" si="61"/>
        <v>192123.86622812177</v>
      </c>
      <c r="K80" s="50">
        <f t="shared" si="61"/>
        <v>192123.86622812177</v>
      </c>
      <c r="L80" s="50">
        <f t="shared" si="61"/>
        <v>192123.86622812177</v>
      </c>
      <c r="M80" s="50">
        <f t="shared" si="61"/>
        <v>192123.86622812177</v>
      </c>
      <c r="N80" s="50">
        <f t="shared" si="61"/>
        <v>192123.86622812177</v>
      </c>
      <c r="O80" s="90">
        <f t="shared" si="59"/>
        <v>2305486.3947374611</v>
      </c>
    </row>
    <row r="81" spans="1:25" ht="13.2" customHeight="1" x14ac:dyDescent="0.25">
      <c r="A81" s="82"/>
      <c r="B81" s="46" t="s">
        <v>207</v>
      </c>
      <c r="C81" s="47">
        <f t="shared" ref="C81:N81" si="62">SUM(C78:C80)</f>
        <v>2004492.3376467368</v>
      </c>
      <c r="D81" s="47">
        <f t="shared" si="62"/>
        <v>1793156.0847958028</v>
      </c>
      <c r="E81" s="47">
        <f t="shared" si="62"/>
        <v>1793156.0847958028</v>
      </c>
      <c r="F81" s="47">
        <f t="shared" si="62"/>
        <v>1793156.0847958028</v>
      </c>
      <c r="G81" s="47">
        <f t="shared" si="62"/>
        <v>1793156.0847958028</v>
      </c>
      <c r="H81" s="47">
        <f t="shared" si="62"/>
        <v>1793156.0847958028</v>
      </c>
      <c r="I81" s="47">
        <f t="shared" si="62"/>
        <v>1793156.0847958028</v>
      </c>
      <c r="J81" s="47">
        <f t="shared" si="62"/>
        <v>1793156.0847958028</v>
      </c>
      <c r="K81" s="47">
        <f t="shared" si="62"/>
        <v>1793156.0847958028</v>
      </c>
      <c r="L81" s="47">
        <f t="shared" si="62"/>
        <v>1793156.0847958028</v>
      </c>
      <c r="M81" s="47">
        <f t="shared" si="62"/>
        <v>1793156.0847958028</v>
      </c>
      <c r="N81" s="47">
        <f t="shared" si="62"/>
        <v>1793156.0847958028</v>
      </c>
      <c r="O81" s="47">
        <f t="shared" si="59"/>
        <v>21729209.270400569</v>
      </c>
    </row>
    <row r="82" spans="1:25" ht="13.2" customHeight="1" x14ac:dyDescent="0.25">
      <c r="A82" s="82"/>
      <c r="B82" s="55" t="s">
        <v>83</v>
      </c>
      <c r="C82" s="59" t="s">
        <v>173</v>
      </c>
      <c r="D82" s="59" t="s">
        <v>173</v>
      </c>
      <c r="E82" s="59" t="s">
        <v>173</v>
      </c>
      <c r="F82" s="59" t="s">
        <v>173</v>
      </c>
      <c r="G82" s="59" t="s">
        <v>173</v>
      </c>
      <c r="H82" s="59" t="s">
        <v>173</v>
      </c>
      <c r="I82" s="59" t="s">
        <v>173</v>
      </c>
      <c r="J82" s="59" t="s">
        <v>173</v>
      </c>
      <c r="K82" s="59" t="s">
        <v>173</v>
      </c>
      <c r="L82" s="59" t="s">
        <v>173</v>
      </c>
      <c r="M82" s="59" t="s">
        <v>173</v>
      </c>
      <c r="N82" s="59" t="s">
        <v>173</v>
      </c>
      <c r="O82" s="91" t="s">
        <v>173</v>
      </c>
    </row>
    <row r="83" spans="1:25" ht="13.2" customHeight="1" x14ac:dyDescent="0.25">
      <c r="A83" s="82"/>
      <c r="B83" s="57" t="s">
        <v>210</v>
      </c>
      <c r="C83" s="89">
        <f t="shared" ref="C83:N83" si="63">C49*(1+$K$65)</f>
        <v>1589824.9930377076</v>
      </c>
      <c r="D83" s="89">
        <f t="shared" si="63"/>
        <v>1916435.5656255146</v>
      </c>
      <c r="E83" s="89">
        <f t="shared" si="63"/>
        <v>1767539.5692987198</v>
      </c>
      <c r="F83" s="89">
        <f t="shared" si="63"/>
        <v>1652265.249561847</v>
      </c>
      <c r="G83" s="89">
        <f t="shared" si="63"/>
        <v>1517778.543202162</v>
      </c>
      <c r="H83" s="89">
        <f t="shared" si="63"/>
        <v>1902026.2756584052</v>
      </c>
      <c r="I83" s="89">
        <f t="shared" si="63"/>
        <v>2219030.6549348063</v>
      </c>
      <c r="J83" s="89">
        <f t="shared" si="63"/>
        <v>2127771.8184764483</v>
      </c>
      <c r="K83" s="89">
        <f t="shared" si="63"/>
        <v>1642659.0562504411</v>
      </c>
      <c r="L83" s="89">
        <f t="shared" si="63"/>
        <v>1685886.9261517685</v>
      </c>
      <c r="M83" s="89">
        <f t="shared" si="63"/>
        <v>1604234.2830048169</v>
      </c>
      <c r="N83" s="89">
        <f t="shared" si="63"/>
        <v>1733917.8927087986</v>
      </c>
      <c r="O83" s="92">
        <f t="shared" ref="O83:O92" si="64">SUM(C83:N83)</f>
        <v>21359370.827911433</v>
      </c>
    </row>
    <row r="84" spans="1:25" ht="13.2" customHeight="1" x14ac:dyDescent="0.25">
      <c r="A84" s="82"/>
      <c r="B84" s="57" t="s">
        <v>203</v>
      </c>
      <c r="C84" s="89">
        <f t="shared" ref="C84:N84" si="65">C50*(1+$K$65)</f>
        <v>5739700.5035651363</v>
      </c>
      <c r="D84" s="89">
        <f t="shared" si="65"/>
        <v>6181585.3958898177</v>
      </c>
      <c r="E84" s="89">
        <f t="shared" si="65"/>
        <v>6930868.4741794914</v>
      </c>
      <c r="F84" s="89">
        <f t="shared" si="65"/>
        <v>5254587.7413391313</v>
      </c>
      <c r="G84" s="89">
        <f t="shared" si="65"/>
        <v>6993308.7307036323</v>
      </c>
      <c r="H84" s="89">
        <f t="shared" si="65"/>
        <v>6589848.6116245762</v>
      </c>
      <c r="I84" s="89">
        <f t="shared" si="65"/>
        <v>6047098.6895301323</v>
      </c>
      <c r="J84" s="89">
        <f t="shared" si="65"/>
        <v>7190235.6935874568</v>
      </c>
      <c r="K84" s="89">
        <f t="shared" si="65"/>
        <v>7026930.4072935525</v>
      </c>
      <c r="L84" s="89">
        <f t="shared" si="65"/>
        <v>7026930.4072935525</v>
      </c>
      <c r="M84" s="89">
        <f t="shared" si="65"/>
        <v>5461120.897534362</v>
      </c>
      <c r="N84" s="89">
        <f t="shared" si="65"/>
        <v>6733941.5112956688</v>
      </c>
      <c r="O84" s="92">
        <f t="shared" si="64"/>
        <v>77176157.063836515</v>
      </c>
    </row>
    <row r="85" spans="1:25" ht="13.2" customHeight="1" x14ac:dyDescent="0.25">
      <c r="A85" s="82"/>
      <c r="B85" s="58" t="s">
        <v>84</v>
      </c>
      <c r="C85" s="89">
        <f t="shared" ref="C85:N85" si="66">C51*(1+$K$65)</f>
        <v>5076873.1650781156</v>
      </c>
      <c r="D85" s="89">
        <f t="shared" si="66"/>
        <v>5542773.5406813128</v>
      </c>
      <c r="E85" s="89">
        <f t="shared" si="66"/>
        <v>5561985.9273041263</v>
      </c>
      <c r="F85" s="89">
        <f t="shared" si="66"/>
        <v>5744503.6002208395</v>
      </c>
      <c r="G85" s="89">
        <f t="shared" si="66"/>
        <v>6796381.7678198069</v>
      </c>
      <c r="H85" s="89">
        <f t="shared" si="66"/>
        <v>5878990.3065805249</v>
      </c>
      <c r="I85" s="89">
        <f t="shared" si="66"/>
        <v>6104735.8493985711</v>
      </c>
      <c r="J85" s="89">
        <f t="shared" si="66"/>
        <v>7026930.4072935525</v>
      </c>
      <c r="K85" s="89">
        <f t="shared" si="66"/>
        <v>6431346.4219863769</v>
      </c>
      <c r="L85" s="89">
        <f t="shared" si="66"/>
        <v>6421740.2286749706</v>
      </c>
      <c r="M85" s="89">
        <f t="shared" si="66"/>
        <v>6873231.3143110564</v>
      </c>
      <c r="N85" s="89">
        <f t="shared" si="66"/>
        <v>5518758.0574027989</v>
      </c>
      <c r="O85" s="92">
        <f t="shared" si="64"/>
        <v>72978250.586752057</v>
      </c>
    </row>
    <row r="86" spans="1:25" ht="13.2" customHeight="1" x14ac:dyDescent="0.25">
      <c r="A86" s="82"/>
      <c r="B86" s="57" t="s">
        <v>85</v>
      </c>
      <c r="C86" s="89">
        <f t="shared" ref="C86:N86" si="67">C52*(1+$K$65)</f>
        <v>5898202.6932033384</v>
      </c>
      <c r="D86" s="89">
        <f t="shared" si="67"/>
        <v>5048054.5851439005</v>
      </c>
      <c r="E86" s="89">
        <f t="shared" si="67"/>
        <v>5225769.1614049124</v>
      </c>
      <c r="F86" s="89">
        <f t="shared" si="67"/>
        <v>5307421.8045518631</v>
      </c>
      <c r="G86" s="89">
        <f t="shared" si="67"/>
        <v>7137401.630374724</v>
      </c>
      <c r="H86" s="89">
        <f t="shared" si="67"/>
        <v>5240178.4513720218</v>
      </c>
      <c r="I86" s="89">
        <f t="shared" si="67"/>
        <v>6080720.3661200535</v>
      </c>
      <c r="J86" s="89">
        <f t="shared" si="67"/>
        <v>4812702.8490144508</v>
      </c>
      <c r="K86" s="89">
        <f t="shared" si="67"/>
        <v>6258434.9423810672</v>
      </c>
      <c r="L86" s="89">
        <f t="shared" si="67"/>
        <v>4971205.0386526491</v>
      </c>
      <c r="M86" s="89">
        <f t="shared" si="67"/>
        <v>6330481.3922166117</v>
      </c>
      <c r="N86" s="89">
        <f t="shared" si="67"/>
        <v>6027886.3029073207</v>
      </c>
      <c r="O86" s="92">
        <f t="shared" si="64"/>
        <v>68338459.217342913</v>
      </c>
    </row>
    <row r="87" spans="1:25" ht="13.2" customHeight="1" x14ac:dyDescent="0.25">
      <c r="A87" s="84"/>
      <c r="B87" s="58" t="s">
        <v>249</v>
      </c>
      <c r="C87" s="89">
        <f t="shared" ref="C87:N87" si="68">C75*5%</f>
        <v>9527760.1098615956</v>
      </c>
      <c r="D87" s="89">
        <f t="shared" si="68"/>
        <v>9527760.1098615956</v>
      </c>
      <c r="E87" s="89">
        <f t="shared" si="68"/>
        <v>9527760.1098615956</v>
      </c>
      <c r="F87" s="89">
        <f t="shared" si="68"/>
        <v>9527760.1098615956</v>
      </c>
      <c r="G87" s="89">
        <f t="shared" si="68"/>
        <v>9527760.1098615956</v>
      </c>
      <c r="H87" s="89">
        <f t="shared" si="68"/>
        <v>9527760.1098615956</v>
      </c>
      <c r="I87" s="89">
        <f t="shared" si="68"/>
        <v>9527760.1098615956</v>
      </c>
      <c r="J87" s="89">
        <f t="shared" si="68"/>
        <v>9527760.1098615956</v>
      </c>
      <c r="K87" s="89">
        <f t="shared" si="68"/>
        <v>9527760.1098615956</v>
      </c>
      <c r="L87" s="89">
        <f t="shared" si="68"/>
        <v>9527760.1098615956</v>
      </c>
      <c r="M87" s="89">
        <f t="shared" si="68"/>
        <v>9527760.1098615956</v>
      </c>
      <c r="N87" s="89">
        <f t="shared" si="68"/>
        <v>9527760.1098615956</v>
      </c>
      <c r="O87" s="92">
        <f t="shared" si="64"/>
        <v>114333121.31833915</v>
      </c>
    </row>
    <row r="88" spans="1:25" ht="13.2" customHeight="1" x14ac:dyDescent="0.25">
      <c r="A88" s="84"/>
      <c r="B88" s="58" t="s">
        <v>251</v>
      </c>
      <c r="C88" s="89">
        <f>-PMT(4%,18*12,(150000000*8)/(1+4%)^18)</f>
        <v>23699110.369091634</v>
      </c>
      <c r="D88" s="89">
        <f t="shared" ref="D88:N88" si="69">-PMT(4%,18*12,(150000000*8)/(1+4%)^18)</f>
        <v>23699110.369091634</v>
      </c>
      <c r="E88" s="89">
        <f t="shared" si="69"/>
        <v>23699110.369091634</v>
      </c>
      <c r="F88" s="89">
        <f t="shared" si="69"/>
        <v>23699110.369091634</v>
      </c>
      <c r="G88" s="89">
        <f t="shared" si="69"/>
        <v>23699110.369091634</v>
      </c>
      <c r="H88" s="89">
        <f t="shared" si="69"/>
        <v>23699110.369091634</v>
      </c>
      <c r="I88" s="89">
        <f t="shared" si="69"/>
        <v>23699110.369091634</v>
      </c>
      <c r="J88" s="89">
        <f t="shared" si="69"/>
        <v>23699110.369091634</v>
      </c>
      <c r="K88" s="89">
        <f t="shared" si="69"/>
        <v>23699110.369091634</v>
      </c>
      <c r="L88" s="89">
        <f t="shared" si="69"/>
        <v>23699110.369091634</v>
      </c>
      <c r="M88" s="89">
        <f t="shared" si="69"/>
        <v>23699110.369091634</v>
      </c>
      <c r="N88" s="89">
        <f t="shared" si="69"/>
        <v>23699110.369091634</v>
      </c>
      <c r="O88" s="92">
        <f t="shared" si="64"/>
        <v>284389324.42909962</v>
      </c>
    </row>
    <row r="89" spans="1:25" ht="13.2" customHeight="1" x14ac:dyDescent="0.25">
      <c r="A89" s="84"/>
      <c r="B89" s="58" t="s">
        <v>180</v>
      </c>
      <c r="C89" s="89">
        <f t="shared" ref="C89:N89" si="70">C54*(1+$K$65)</f>
        <v>6974096.3440808188</v>
      </c>
      <c r="D89" s="89">
        <f t="shared" si="70"/>
        <v>6882837.5076224608</v>
      </c>
      <c r="E89" s="89">
        <f t="shared" si="70"/>
        <v>5720488.1169423265</v>
      </c>
      <c r="F89" s="89">
        <f t="shared" si="70"/>
        <v>6316072.102249505</v>
      </c>
      <c r="G89" s="89">
        <f t="shared" si="70"/>
        <v>4980811.2319640573</v>
      </c>
      <c r="H89" s="89">
        <f t="shared" si="70"/>
        <v>5537970.4440256106</v>
      </c>
      <c r="I89" s="89">
        <f t="shared" si="70"/>
        <v>5730094.3102537328</v>
      </c>
      <c r="J89" s="89">
        <f t="shared" si="70"/>
        <v>6791578.6711641038</v>
      </c>
      <c r="K89" s="89">
        <f t="shared" si="70"/>
        <v>5317027.9978632703</v>
      </c>
      <c r="L89" s="89">
        <f t="shared" si="70"/>
        <v>5691669.5370081067</v>
      </c>
      <c r="M89" s="89">
        <f t="shared" si="70"/>
        <v>5701275.7303195121</v>
      </c>
      <c r="N89" s="89">
        <f t="shared" si="70"/>
        <v>5557182.8306484222</v>
      </c>
      <c r="O89" s="92">
        <f t="shared" si="64"/>
        <v>71201104.824141935</v>
      </c>
    </row>
    <row r="90" spans="1:25" ht="13.2" customHeight="1" x14ac:dyDescent="0.25">
      <c r="A90" s="84"/>
      <c r="B90" s="58" t="s">
        <v>86</v>
      </c>
      <c r="C90" s="89">
        <f t="shared" ref="C90:N90" si="71">C55*(1+$K$65)</f>
        <v>5076873.1650781156</v>
      </c>
      <c r="D90" s="89">
        <f t="shared" si="71"/>
        <v>5019236.0052096816</v>
      </c>
      <c r="E90" s="89">
        <f t="shared" si="71"/>
        <v>4870340.0088828877</v>
      </c>
      <c r="F90" s="89">
        <f t="shared" si="71"/>
        <v>6354496.8754951265</v>
      </c>
      <c r="G90" s="89">
        <f t="shared" si="71"/>
        <v>5912611.983170446</v>
      </c>
      <c r="H90" s="89">
        <f t="shared" si="71"/>
        <v>4923174.0720956204</v>
      </c>
      <c r="I90" s="89">
        <f t="shared" si="71"/>
        <v>6676304.3514272328</v>
      </c>
      <c r="J90" s="89">
        <f t="shared" si="71"/>
        <v>6407330.9387078611</v>
      </c>
      <c r="K90" s="89">
        <f t="shared" si="71"/>
        <v>5158525.8082250701</v>
      </c>
      <c r="L90" s="89">
        <f t="shared" si="71"/>
        <v>5336240.3844860829</v>
      </c>
      <c r="M90" s="89">
        <f t="shared" si="71"/>
        <v>6488983.5818548128</v>
      </c>
      <c r="N90" s="89">
        <f t="shared" si="71"/>
        <v>6830003.444409729</v>
      </c>
      <c r="O90" s="92">
        <f t="shared" si="64"/>
        <v>69054120.61904268</v>
      </c>
    </row>
    <row r="91" spans="1:25" ht="13.2" customHeight="1" x14ac:dyDescent="0.25">
      <c r="A91" s="82"/>
      <c r="B91" s="46" t="s">
        <v>208</v>
      </c>
      <c r="C91" s="47">
        <f t="shared" ref="C91:N91" si="72">SUM(C83:C90)</f>
        <v>63582441.342996463</v>
      </c>
      <c r="D91" s="47">
        <f t="shared" si="72"/>
        <v>63817793.079125918</v>
      </c>
      <c r="E91" s="47">
        <f t="shared" si="72"/>
        <v>63303861.736965686</v>
      </c>
      <c r="F91" s="47">
        <f t="shared" si="72"/>
        <v>63856217.852371536</v>
      </c>
      <c r="G91" s="47">
        <f t="shared" si="72"/>
        <v>66565164.366188064</v>
      </c>
      <c r="H91" s="47">
        <f t="shared" si="72"/>
        <v>63299058.640309982</v>
      </c>
      <c r="I91" s="47">
        <f t="shared" si="72"/>
        <v>66084854.70061776</v>
      </c>
      <c r="J91" s="47">
        <f t="shared" si="72"/>
        <v>67583420.857197106</v>
      </c>
      <c r="K91" s="47">
        <f t="shared" si="72"/>
        <v>65061795.112953007</v>
      </c>
      <c r="L91" s="47">
        <f t="shared" si="72"/>
        <v>64360543.00122036</v>
      </c>
      <c r="M91" s="47">
        <f t="shared" si="72"/>
        <v>65686197.678194411</v>
      </c>
      <c r="N91" s="47">
        <f t="shared" si="72"/>
        <v>65628560.51832597</v>
      </c>
      <c r="O91" s="47">
        <f t="shared" si="64"/>
        <v>778829908.88646626</v>
      </c>
    </row>
    <row r="92" spans="1:25" ht="13.2" customHeight="1" x14ac:dyDescent="0.25">
      <c r="A92" s="82"/>
      <c r="B92" s="60" t="s">
        <v>87</v>
      </c>
      <c r="C92" s="47">
        <f t="shared" ref="C92:N92" si="73">C81+C91</f>
        <v>65586933.680643201</v>
      </c>
      <c r="D92" s="47">
        <f t="shared" si="73"/>
        <v>65610949.163921721</v>
      </c>
      <c r="E92" s="47">
        <f t="shared" si="73"/>
        <v>65097017.821761489</v>
      </c>
      <c r="F92" s="47">
        <f t="shared" si="73"/>
        <v>65649373.937167339</v>
      </c>
      <c r="G92" s="47">
        <f t="shared" si="73"/>
        <v>68358320.450983867</v>
      </c>
      <c r="H92" s="47">
        <f t="shared" si="73"/>
        <v>65092214.725105785</v>
      </c>
      <c r="I92" s="47">
        <f t="shared" si="73"/>
        <v>67878010.785413563</v>
      </c>
      <c r="J92" s="47">
        <f t="shared" si="73"/>
        <v>69376576.941992909</v>
      </c>
      <c r="K92" s="47">
        <f t="shared" si="73"/>
        <v>66854951.19774881</v>
      </c>
      <c r="L92" s="47">
        <f t="shared" si="73"/>
        <v>66153699.086016163</v>
      </c>
      <c r="M92" s="47">
        <f t="shared" si="73"/>
        <v>67479353.762990206</v>
      </c>
      <c r="N92" s="47">
        <f t="shared" si="73"/>
        <v>67421716.603121772</v>
      </c>
      <c r="O92" s="47">
        <f t="shared" si="64"/>
        <v>800559118.15686679</v>
      </c>
    </row>
    <row r="93" spans="1:25" s="11" customFormat="1" x14ac:dyDescent="0.25">
      <c r="A93" s="82"/>
      <c r="B93" s="108" t="s">
        <v>204</v>
      </c>
      <c r="C93" s="109">
        <f>$O92*(3/12)/12</f>
        <v>16678314.961601391</v>
      </c>
      <c r="D93" s="109">
        <f t="shared" ref="D93" si="74">$O92*(3/12)/12</f>
        <v>16678314.961601391</v>
      </c>
      <c r="E93" s="109">
        <f t="shared" ref="E93" si="75">$O92*(3/12)/12</f>
        <v>16678314.961601391</v>
      </c>
      <c r="F93" s="109">
        <f t="shared" ref="F93" si="76">$O92*(3/12)/12</f>
        <v>16678314.961601391</v>
      </c>
      <c r="G93" s="109">
        <f t="shared" ref="G93" si="77">$O92*(3/12)/12</f>
        <v>16678314.961601391</v>
      </c>
      <c r="H93" s="109">
        <f t="shared" ref="H93" si="78">$O92*(3/12)/12</f>
        <v>16678314.961601391</v>
      </c>
      <c r="I93" s="109">
        <f t="shared" ref="I93" si="79">$O92*(3/12)/12</f>
        <v>16678314.961601391</v>
      </c>
      <c r="J93" s="109">
        <f t="shared" ref="J93" si="80">$O92*(3/12)/12</f>
        <v>16678314.961601391</v>
      </c>
      <c r="K93" s="109">
        <f t="shared" ref="K93" si="81">$O92*(3/12)/12</f>
        <v>16678314.961601391</v>
      </c>
      <c r="L93" s="109">
        <f t="shared" ref="L93" si="82">$O92*(3/12)/12</f>
        <v>16678314.961601391</v>
      </c>
      <c r="M93" s="109">
        <f t="shared" ref="M93" si="83">$O92*(3/12)/12</f>
        <v>16678314.961601391</v>
      </c>
      <c r="N93" s="109">
        <f t="shared" ref="N93" si="84">$O92*(3/12)/12</f>
        <v>16678314.961601391</v>
      </c>
      <c r="O93" s="109">
        <f t="shared" ref="O93:O96" si="85">SUM(C93:N93)</f>
        <v>200139779.53921664</v>
      </c>
      <c r="P93" s="43"/>
      <c r="Q93" s="43"/>
      <c r="R93" s="40"/>
      <c r="S93" s="40"/>
      <c r="T93" s="40"/>
      <c r="U93" s="40"/>
      <c r="V93" s="40"/>
      <c r="W93" s="40"/>
      <c r="X93" s="40"/>
      <c r="Y93" s="40"/>
    </row>
    <row r="94" spans="1:25" s="11" customFormat="1" x14ac:dyDescent="0.25">
      <c r="A94" s="82"/>
      <c r="B94" s="108" t="s">
        <v>82</v>
      </c>
      <c r="C94" s="109">
        <f>'6. Mortgage payment'!$C$7</f>
        <v>28168245.060798287</v>
      </c>
      <c r="D94" s="109">
        <f>'6. Mortgage payment'!$C$7</f>
        <v>28168245.060798287</v>
      </c>
      <c r="E94" s="109">
        <f>'6. Mortgage payment'!$C$7</f>
        <v>28168245.060798287</v>
      </c>
      <c r="F94" s="109">
        <f>'6. Mortgage payment'!$C$7</f>
        <v>28168245.060798287</v>
      </c>
      <c r="G94" s="109">
        <f>'6. Mortgage payment'!$C$7</f>
        <v>28168245.060798287</v>
      </c>
      <c r="H94" s="109">
        <f>'6. Mortgage payment'!$C$7</f>
        <v>28168245.060798287</v>
      </c>
      <c r="I94" s="109">
        <f>'6. Mortgage payment'!$C$7</f>
        <v>28168245.060798287</v>
      </c>
      <c r="J94" s="109">
        <f>'6. Mortgage payment'!$C$7</f>
        <v>28168245.060798287</v>
      </c>
      <c r="K94" s="109">
        <f>'6. Mortgage payment'!$C$7</f>
        <v>28168245.060798287</v>
      </c>
      <c r="L94" s="109">
        <f>'6. Mortgage payment'!$C$7</f>
        <v>28168245.060798287</v>
      </c>
      <c r="M94" s="109">
        <f>'6. Mortgage payment'!$C$7</f>
        <v>28168245.060798287</v>
      </c>
      <c r="N94" s="109">
        <f>'6. Mortgage payment'!$C$7</f>
        <v>28168245.060798287</v>
      </c>
      <c r="O94" s="109">
        <f t="shared" si="85"/>
        <v>338018940.72957945</v>
      </c>
      <c r="P94" s="43"/>
      <c r="Q94" s="43"/>
      <c r="R94" s="40"/>
      <c r="S94" s="40"/>
      <c r="T94" s="40"/>
      <c r="U94" s="40"/>
      <c r="V94" s="40"/>
      <c r="W94" s="40"/>
      <c r="X94" s="40"/>
      <c r="Y94" s="40"/>
    </row>
    <row r="95" spans="1:25" s="11" customFormat="1" x14ac:dyDescent="0.25">
      <c r="A95" s="82"/>
      <c r="B95" s="108" t="s">
        <v>251</v>
      </c>
      <c r="C95" s="109">
        <f>-PMT(4%,18*12,(150000000*8)/(1+4%)^18)</f>
        <v>23699110.369091634</v>
      </c>
      <c r="D95" s="109">
        <f t="shared" ref="D95:N95" si="86">-PMT(4%,18*12,(150000000*8)/(1+4%)^18)</f>
        <v>23699110.369091634</v>
      </c>
      <c r="E95" s="109">
        <f t="shared" si="86"/>
        <v>23699110.369091634</v>
      </c>
      <c r="F95" s="109">
        <f t="shared" si="86"/>
        <v>23699110.369091634</v>
      </c>
      <c r="G95" s="109">
        <f t="shared" si="86"/>
        <v>23699110.369091634</v>
      </c>
      <c r="H95" s="109">
        <f t="shared" si="86"/>
        <v>23699110.369091634</v>
      </c>
      <c r="I95" s="109">
        <f t="shared" si="86"/>
        <v>23699110.369091634</v>
      </c>
      <c r="J95" s="109">
        <f t="shared" si="86"/>
        <v>23699110.369091634</v>
      </c>
      <c r="K95" s="109">
        <f t="shared" si="86"/>
        <v>23699110.369091634</v>
      </c>
      <c r="L95" s="109">
        <f t="shared" si="86"/>
        <v>23699110.369091634</v>
      </c>
      <c r="M95" s="109">
        <f t="shared" si="86"/>
        <v>23699110.369091634</v>
      </c>
      <c r="N95" s="109">
        <f t="shared" si="86"/>
        <v>23699110.369091634</v>
      </c>
      <c r="O95" s="109">
        <f t="shared" ref="O95" si="87">SUM(C95:N95)</f>
        <v>284389324.42909962</v>
      </c>
      <c r="P95" s="43"/>
      <c r="Q95" s="43"/>
      <c r="R95" s="40"/>
      <c r="S95" s="40"/>
      <c r="T95" s="40"/>
      <c r="U95" s="40"/>
      <c r="V95" s="40"/>
      <c r="W95" s="40"/>
      <c r="X95" s="40"/>
      <c r="Y95" s="40"/>
    </row>
    <row r="96" spans="1:25" s="11" customFormat="1" x14ac:dyDescent="0.25">
      <c r="A96" s="82"/>
      <c r="B96" s="108" t="s">
        <v>364</v>
      </c>
      <c r="C96" s="109">
        <f>C61*(1+$K$65)</f>
        <v>1754787.8400000001</v>
      </c>
      <c r="D96" s="109">
        <v>0</v>
      </c>
      <c r="E96" s="109">
        <v>0</v>
      </c>
      <c r="F96" s="109">
        <v>0</v>
      </c>
      <c r="G96" s="109">
        <v>0</v>
      </c>
      <c r="H96" s="109">
        <v>0</v>
      </c>
      <c r="I96" s="109">
        <v>0</v>
      </c>
      <c r="J96" s="109">
        <v>0</v>
      </c>
      <c r="K96" s="109">
        <v>0</v>
      </c>
      <c r="L96" s="109">
        <v>0</v>
      </c>
      <c r="M96" s="109">
        <v>0</v>
      </c>
      <c r="N96" s="109">
        <v>0</v>
      </c>
      <c r="O96" s="109">
        <f t="shared" si="85"/>
        <v>1754787.8400000001</v>
      </c>
      <c r="P96" s="43"/>
      <c r="Q96" s="43"/>
      <c r="R96" s="40"/>
      <c r="S96" s="40"/>
      <c r="T96" s="40"/>
      <c r="U96" s="40"/>
      <c r="V96" s="40"/>
      <c r="W96" s="40"/>
      <c r="X96" s="40"/>
      <c r="Y96" s="40"/>
    </row>
    <row r="97" spans="1:25" s="11" customFormat="1" x14ac:dyDescent="0.25">
      <c r="A97" s="82"/>
      <c r="B97" s="60" t="s">
        <v>206</v>
      </c>
      <c r="C97" s="61">
        <f>C75-C92-C93-C94-C96-C95</f>
        <v>54667810.285097376</v>
      </c>
      <c r="D97" s="61">
        <f t="shared" ref="D97:N97" si="88">D75-D92-D93-D94-D96-D95</f>
        <v>56398582.641818866</v>
      </c>
      <c r="E97" s="61">
        <f t="shared" si="88"/>
        <v>56912513.983979091</v>
      </c>
      <c r="F97" s="61">
        <f t="shared" si="88"/>
        <v>56360157.868573233</v>
      </c>
      <c r="G97" s="61">
        <f t="shared" si="88"/>
        <v>53651211.354756713</v>
      </c>
      <c r="H97" s="61">
        <f t="shared" si="88"/>
        <v>56917317.080634788</v>
      </c>
      <c r="I97" s="61">
        <f t="shared" si="88"/>
        <v>54131521.020327017</v>
      </c>
      <c r="J97" s="61">
        <f t="shared" si="88"/>
        <v>52632954.863747671</v>
      </c>
      <c r="K97" s="61">
        <f t="shared" si="88"/>
        <v>55154580.60799177</v>
      </c>
      <c r="L97" s="61">
        <f t="shared" si="88"/>
        <v>55855832.719724417</v>
      </c>
      <c r="M97" s="61">
        <f t="shared" si="88"/>
        <v>54530178.042750373</v>
      </c>
      <c r="N97" s="61">
        <f t="shared" si="88"/>
        <v>54587815.202618808</v>
      </c>
      <c r="O97" s="47">
        <f t="shared" ref="O97" si="89">SUM(C97:N97)</f>
        <v>661800475.6720202</v>
      </c>
      <c r="P97" s="43"/>
      <c r="Q97" s="43"/>
      <c r="R97" s="40"/>
      <c r="S97" s="40"/>
      <c r="T97" s="40"/>
      <c r="U97" s="40"/>
      <c r="V97" s="40"/>
      <c r="W97" s="40"/>
      <c r="X97" s="40"/>
      <c r="Y97" s="40"/>
    </row>
    <row r="98" spans="1:25" ht="13.2" customHeight="1" x14ac:dyDescent="0.25">
      <c r="A98" s="85"/>
      <c r="B98" s="40"/>
      <c r="C98" s="40"/>
      <c r="D98" s="40"/>
      <c r="E98" s="40"/>
      <c r="F98" s="40"/>
      <c r="G98" s="40"/>
      <c r="H98" s="40"/>
      <c r="I98" s="40"/>
      <c r="J98" s="40"/>
      <c r="K98" s="40"/>
      <c r="L98" s="353" t="s">
        <v>217</v>
      </c>
      <c r="M98" s="354"/>
      <c r="N98" s="350">
        <f>SUM(C97:N97)+N63</f>
        <v>3120962800.7750902</v>
      </c>
      <c r="O98" s="40"/>
    </row>
    <row r="99" spans="1:25" ht="13.2" customHeight="1" x14ac:dyDescent="0.25">
      <c r="A99" s="85"/>
      <c r="B99" s="40"/>
      <c r="C99" s="40"/>
      <c r="D99" s="40"/>
      <c r="E99" s="40"/>
      <c r="F99" s="40"/>
      <c r="G99" s="40"/>
      <c r="H99" s="40"/>
      <c r="I99" s="40"/>
      <c r="J99" s="40"/>
      <c r="K99" s="40"/>
      <c r="L99" s="320"/>
      <c r="M99" s="355"/>
      <c r="N99" s="351"/>
      <c r="O99" s="40"/>
    </row>
    <row r="100" spans="1:25" ht="13.2" customHeight="1" x14ac:dyDescent="0.25">
      <c r="A100" s="85"/>
      <c r="B100" s="319" t="s">
        <v>632</v>
      </c>
      <c r="C100" s="352" t="s">
        <v>173</v>
      </c>
      <c r="D100" s="352"/>
      <c r="E100" s="352"/>
      <c r="F100" s="352"/>
      <c r="G100" s="352"/>
      <c r="H100" s="352"/>
      <c r="I100" s="40"/>
      <c r="J100" s="358" t="s">
        <v>231</v>
      </c>
      <c r="K100" s="359">
        <v>0.04</v>
      </c>
      <c r="L100" s="40"/>
      <c r="M100" s="40"/>
      <c r="N100" s="40"/>
      <c r="O100" s="361"/>
    </row>
    <row r="101" spans="1:25" ht="13.2" customHeight="1" x14ac:dyDescent="0.25">
      <c r="A101" s="85"/>
      <c r="B101" s="319"/>
      <c r="C101" s="352"/>
      <c r="D101" s="352"/>
      <c r="E101" s="352"/>
      <c r="F101" s="352"/>
      <c r="G101" s="352"/>
      <c r="H101" s="352"/>
      <c r="I101" s="40"/>
      <c r="J101" s="358"/>
      <c r="K101" s="360"/>
      <c r="L101" s="40"/>
      <c r="M101" s="40"/>
      <c r="N101" s="40"/>
      <c r="O101" s="362"/>
    </row>
    <row r="102" spans="1:25" ht="13.2" customHeight="1" x14ac:dyDescent="0.25">
      <c r="A102" s="85"/>
      <c r="B102" s="319"/>
      <c r="C102" s="352"/>
      <c r="D102" s="352"/>
      <c r="E102" s="352"/>
      <c r="F102" s="352"/>
      <c r="G102" s="352"/>
      <c r="H102" s="352"/>
      <c r="I102" s="40"/>
      <c r="J102" s="40"/>
      <c r="K102" s="40"/>
      <c r="L102" s="40"/>
      <c r="M102" s="40"/>
      <c r="N102" s="40"/>
      <c r="O102" s="40"/>
    </row>
    <row r="105" spans="1:25" ht="24.6" customHeight="1" x14ac:dyDescent="0.25">
      <c r="A105" s="96"/>
      <c r="B105" s="348" t="s">
        <v>255</v>
      </c>
      <c r="C105" s="348"/>
      <c r="D105" s="348"/>
      <c r="E105" s="348"/>
      <c r="F105" s="348"/>
      <c r="G105" s="348"/>
      <c r="H105" s="348"/>
      <c r="I105" s="348"/>
      <c r="J105" s="348"/>
      <c r="K105" s="348"/>
      <c r="L105" s="348"/>
      <c r="M105" s="348"/>
      <c r="N105" s="348"/>
      <c r="O105" s="348"/>
    </row>
    <row r="106" spans="1:25" ht="24.6" customHeight="1" x14ac:dyDescent="0.25">
      <c r="A106" s="96"/>
      <c r="B106" s="349"/>
      <c r="C106" s="349"/>
      <c r="D106" s="349"/>
      <c r="E106" s="349"/>
      <c r="F106" s="349"/>
      <c r="G106" s="349"/>
      <c r="H106" s="349"/>
      <c r="I106" s="349"/>
      <c r="J106" s="349"/>
      <c r="K106" s="349"/>
      <c r="L106" s="349"/>
      <c r="M106" s="349"/>
      <c r="N106" s="349"/>
      <c r="O106" s="349"/>
    </row>
    <row r="107" spans="1:25" ht="13.2" customHeight="1" x14ac:dyDescent="0.25">
      <c r="A107" s="82"/>
      <c r="B107" s="41"/>
      <c r="C107" s="42" t="s">
        <v>66</v>
      </c>
      <c r="D107" s="42" t="s">
        <v>67</v>
      </c>
      <c r="E107" s="42" t="s">
        <v>68</v>
      </c>
      <c r="F107" s="42" t="s">
        <v>69</v>
      </c>
      <c r="G107" s="42" t="s">
        <v>70</v>
      </c>
      <c r="H107" s="42" t="s">
        <v>71</v>
      </c>
      <c r="I107" s="42" t="s">
        <v>72</v>
      </c>
      <c r="J107" s="42" t="s">
        <v>73</v>
      </c>
      <c r="K107" s="42" t="s">
        <v>74</v>
      </c>
      <c r="L107" s="42" t="s">
        <v>75</v>
      </c>
      <c r="M107" s="42" t="s">
        <v>76</v>
      </c>
      <c r="N107" s="42" t="s">
        <v>77</v>
      </c>
      <c r="O107" s="42" t="s">
        <v>236</v>
      </c>
    </row>
    <row r="108" spans="1:25" ht="13.2" customHeight="1" x14ac:dyDescent="0.25">
      <c r="A108" s="82"/>
      <c r="B108" s="44" t="s">
        <v>194</v>
      </c>
      <c r="C108" s="45">
        <f>'3.1. My Income Tax Calculation'!$P$15/12</f>
        <v>131907712.0912172</v>
      </c>
      <c r="D108" s="45">
        <f>'3.1. My Income Tax Calculation'!$P$15/12</f>
        <v>131907712.0912172</v>
      </c>
      <c r="E108" s="45">
        <f>'3.1. My Income Tax Calculation'!$P$15/12</f>
        <v>131907712.0912172</v>
      </c>
      <c r="F108" s="45">
        <f>'3.1. My Income Tax Calculation'!$P$15/12</f>
        <v>131907712.0912172</v>
      </c>
      <c r="G108" s="45">
        <f>'3.1. My Income Tax Calculation'!$P$15/12</f>
        <v>131907712.0912172</v>
      </c>
      <c r="H108" s="45">
        <f>'3.1. My Income Tax Calculation'!$P$15/12</f>
        <v>131907712.0912172</v>
      </c>
      <c r="I108" s="45">
        <f>'3.1. My Income Tax Calculation'!$P$15/12</f>
        <v>131907712.0912172</v>
      </c>
      <c r="J108" s="45">
        <f>'3.1. My Income Tax Calculation'!$P$15/12</f>
        <v>131907712.0912172</v>
      </c>
      <c r="K108" s="45">
        <f>'3.1. My Income Tax Calculation'!$P$15/12</f>
        <v>131907712.0912172</v>
      </c>
      <c r="L108" s="45">
        <f>'3.1. My Income Tax Calculation'!$P$15/12</f>
        <v>131907712.0912172</v>
      </c>
      <c r="M108" s="45">
        <f>'3.1. My Income Tax Calculation'!$P$15/12</f>
        <v>131907712.0912172</v>
      </c>
      <c r="N108" s="45">
        <f>'3.1. My Income Tax Calculation'!$P$15/12</f>
        <v>131907712.0912172</v>
      </c>
      <c r="O108" s="45" t="s">
        <v>173</v>
      </c>
    </row>
    <row r="109" spans="1:25" ht="13.2" customHeight="1" x14ac:dyDescent="0.25">
      <c r="A109" s="82"/>
      <c r="B109" s="44" t="s">
        <v>246</v>
      </c>
      <c r="C109" s="45">
        <f>'3.2. My wife''s Tax Calc'!$P$15/12</f>
        <v>59535341.1764706</v>
      </c>
      <c r="D109" s="45">
        <f>'3.2. My wife''s Tax Calc'!$P$15/12</f>
        <v>59535341.1764706</v>
      </c>
      <c r="E109" s="45">
        <f>'3.2. My wife''s Tax Calc'!$P$15/12</f>
        <v>59535341.1764706</v>
      </c>
      <c r="F109" s="45">
        <f>'3.2. My wife''s Tax Calc'!$P$15/12</f>
        <v>59535341.1764706</v>
      </c>
      <c r="G109" s="45">
        <f>'3.2. My wife''s Tax Calc'!$P$15/12</f>
        <v>59535341.1764706</v>
      </c>
      <c r="H109" s="45">
        <f>'3.2. My wife''s Tax Calc'!$P$15/12</f>
        <v>59535341.1764706</v>
      </c>
      <c r="I109" s="45">
        <f>'3.2. My wife''s Tax Calc'!$P$15/12</f>
        <v>59535341.1764706</v>
      </c>
      <c r="J109" s="45">
        <f>'3.2. My wife''s Tax Calc'!$P$15/12</f>
        <v>59535341.1764706</v>
      </c>
      <c r="K109" s="45">
        <f>'3.2. My wife''s Tax Calc'!$P$15/12</f>
        <v>59535341.1764706</v>
      </c>
      <c r="L109" s="45">
        <f>'3.2. My wife''s Tax Calc'!$P$15/12</f>
        <v>59535341.1764706</v>
      </c>
      <c r="M109" s="45">
        <f>'3.2. My wife''s Tax Calc'!$P$15/12</f>
        <v>59535341.1764706</v>
      </c>
      <c r="N109" s="45">
        <f>'3.2. My wife''s Tax Calc'!$P$15/12</f>
        <v>59535341.1764706</v>
      </c>
      <c r="O109" s="45" t="s">
        <v>173</v>
      </c>
    </row>
    <row r="110" spans="1:25" ht="13.2" customHeight="1" x14ac:dyDescent="0.25">
      <c r="A110" s="82"/>
      <c r="B110" s="46" t="s">
        <v>209</v>
      </c>
      <c r="C110" s="47">
        <f>SUM(C108:C109)</f>
        <v>191443053.2676878</v>
      </c>
      <c r="D110" s="47">
        <f t="shared" ref="D110" si="90">SUM(D108:D109)</f>
        <v>191443053.2676878</v>
      </c>
      <c r="E110" s="47">
        <f t="shared" ref="E110" si="91">SUM(E108:E109)</f>
        <v>191443053.2676878</v>
      </c>
      <c r="F110" s="47">
        <f t="shared" ref="F110" si="92">SUM(F108:F109)</f>
        <v>191443053.2676878</v>
      </c>
      <c r="G110" s="47">
        <f t="shared" ref="G110" si="93">SUM(G108:G109)</f>
        <v>191443053.2676878</v>
      </c>
      <c r="H110" s="47">
        <f t="shared" ref="H110" si="94">SUM(H108:H109)</f>
        <v>191443053.2676878</v>
      </c>
      <c r="I110" s="47">
        <f t="shared" ref="I110" si="95">SUM(I108:I109)</f>
        <v>191443053.2676878</v>
      </c>
      <c r="J110" s="47">
        <f t="shared" ref="J110" si="96">SUM(J108:J109)</f>
        <v>191443053.2676878</v>
      </c>
      <c r="K110" s="47">
        <f>SUM(K108:K109)</f>
        <v>191443053.2676878</v>
      </c>
      <c r="L110" s="47">
        <f t="shared" ref="L110" si="97">SUM(L108:L109)</f>
        <v>191443053.2676878</v>
      </c>
      <c r="M110" s="47">
        <f t="shared" ref="M110" si="98">SUM(M108:M109)</f>
        <v>191443053.2676878</v>
      </c>
      <c r="N110" s="47">
        <f t="shared" ref="N110" si="99">SUM(N108:N109)</f>
        <v>191443053.2676878</v>
      </c>
      <c r="O110" s="47">
        <f>SUM(C110:N110)</f>
        <v>2297316639.2122536</v>
      </c>
    </row>
    <row r="111" spans="1:25" ht="13.2" customHeight="1" x14ac:dyDescent="0.25">
      <c r="A111" s="82"/>
      <c r="B111" s="52" t="s">
        <v>78</v>
      </c>
      <c r="C111" s="53" t="s">
        <v>173</v>
      </c>
      <c r="D111" s="53" t="s">
        <v>173</v>
      </c>
      <c r="E111" s="53" t="s">
        <v>173</v>
      </c>
      <c r="F111" s="53" t="s">
        <v>173</v>
      </c>
      <c r="G111" s="53" t="s">
        <v>173</v>
      </c>
      <c r="H111" s="53" t="s">
        <v>173</v>
      </c>
      <c r="I111" s="53" t="s">
        <v>173</v>
      </c>
      <c r="J111" s="53" t="s">
        <v>173</v>
      </c>
      <c r="K111" s="53" t="s">
        <v>173</v>
      </c>
      <c r="L111" s="53" t="s">
        <v>173</v>
      </c>
      <c r="M111" s="53" t="s">
        <v>173</v>
      </c>
      <c r="N111" s="53" t="s">
        <v>173</v>
      </c>
      <c r="O111" s="91" t="s">
        <v>173</v>
      </c>
    </row>
    <row r="112" spans="1:25" ht="13.2" customHeight="1" x14ac:dyDescent="0.25">
      <c r="A112" s="82"/>
      <c r="B112" s="48" t="s">
        <v>79</v>
      </c>
      <c r="C112" s="54" t="s">
        <v>173</v>
      </c>
      <c r="D112" s="54" t="s">
        <v>173</v>
      </c>
      <c r="E112" s="54" t="s">
        <v>173</v>
      </c>
      <c r="F112" s="54" t="s">
        <v>173</v>
      </c>
      <c r="G112" s="54" t="s">
        <v>173</v>
      </c>
      <c r="H112" s="54" t="s">
        <v>173</v>
      </c>
      <c r="I112" s="54" t="s">
        <v>173</v>
      </c>
      <c r="J112" s="54" t="s">
        <v>173</v>
      </c>
      <c r="K112" s="54" t="s">
        <v>173</v>
      </c>
      <c r="L112" s="54" t="s">
        <v>173</v>
      </c>
      <c r="M112" s="54" t="s">
        <v>173</v>
      </c>
      <c r="N112" s="54" t="s">
        <v>173</v>
      </c>
      <c r="O112" s="91" t="s">
        <v>173</v>
      </c>
    </row>
    <row r="113" spans="1:25" ht="13.2" customHeight="1" x14ac:dyDescent="0.25">
      <c r="A113" s="83"/>
      <c r="B113" s="49" t="s">
        <v>195</v>
      </c>
      <c r="C113" s="50">
        <f>C78*(1+$K$65)</f>
        <v>219789.70296497131</v>
      </c>
      <c r="D113" s="50">
        <v>0</v>
      </c>
      <c r="E113" s="50">
        <v>0</v>
      </c>
      <c r="F113" s="50">
        <v>0</v>
      </c>
      <c r="G113" s="50">
        <v>0</v>
      </c>
      <c r="H113" s="50">
        <v>0</v>
      </c>
      <c r="I113" s="50">
        <v>0</v>
      </c>
      <c r="J113" s="50">
        <v>0</v>
      </c>
      <c r="K113" s="50">
        <v>0</v>
      </c>
      <c r="L113" s="50">
        <v>0</v>
      </c>
      <c r="M113" s="50">
        <v>0</v>
      </c>
      <c r="N113" s="50">
        <v>0</v>
      </c>
      <c r="O113" s="90">
        <f t="shared" ref="O113:O116" si="100">SUM(C113:N113)</f>
        <v>219789.70296497131</v>
      </c>
    </row>
    <row r="114" spans="1:25" ht="13.2" customHeight="1" x14ac:dyDescent="0.25">
      <c r="A114" s="82"/>
      <c r="B114" s="51" t="s">
        <v>178</v>
      </c>
      <c r="C114" s="50">
        <f>C79*(1+$K$65)</f>
        <v>1665073.5073103884</v>
      </c>
      <c r="D114" s="50">
        <f t="shared" ref="D114:N114" si="101">D79*(1+$K$65)</f>
        <v>1665073.5073103884</v>
      </c>
      <c r="E114" s="50">
        <f t="shared" si="101"/>
        <v>1665073.5073103884</v>
      </c>
      <c r="F114" s="50">
        <f t="shared" si="101"/>
        <v>1665073.5073103884</v>
      </c>
      <c r="G114" s="50">
        <f t="shared" si="101"/>
        <v>1665073.5073103884</v>
      </c>
      <c r="H114" s="50">
        <f t="shared" si="101"/>
        <v>1665073.5073103884</v>
      </c>
      <c r="I114" s="50">
        <f t="shared" si="101"/>
        <v>1665073.5073103884</v>
      </c>
      <c r="J114" s="50">
        <f t="shared" si="101"/>
        <v>1665073.5073103884</v>
      </c>
      <c r="K114" s="50">
        <f t="shared" si="101"/>
        <v>1665073.5073103884</v>
      </c>
      <c r="L114" s="50">
        <f t="shared" si="101"/>
        <v>1665073.5073103884</v>
      </c>
      <c r="M114" s="50">
        <f t="shared" si="101"/>
        <v>1665073.5073103884</v>
      </c>
      <c r="N114" s="50">
        <f t="shared" si="101"/>
        <v>1665073.5073103884</v>
      </c>
      <c r="O114" s="90">
        <f t="shared" si="100"/>
        <v>19980882.08772466</v>
      </c>
    </row>
    <row r="115" spans="1:25" ht="13.2" customHeight="1" x14ac:dyDescent="0.25">
      <c r="A115" s="84"/>
      <c r="B115" s="51" t="s">
        <v>248</v>
      </c>
      <c r="C115" s="50">
        <f>C80*(1+$K$65)</f>
        <v>199808.82087724665</v>
      </c>
      <c r="D115" s="50">
        <f t="shared" ref="D115:N115" si="102">D80*(1+$K$65)</f>
        <v>199808.82087724665</v>
      </c>
      <c r="E115" s="50">
        <f t="shared" si="102"/>
        <v>199808.82087724665</v>
      </c>
      <c r="F115" s="50">
        <f t="shared" si="102"/>
        <v>199808.82087724665</v>
      </c>
      <c r="G115" s="50">
        <f t="shared" si="102"/>
        <v>199808.82087724665</v>
      </c>
      <c r="H115" s="50">
        <f t="shared" si="102"/>
        <v>199808.82087724665</v>
      </c>
      <c r="I115" s="50">
        <f t="shared" si="102"/>
        <v>199808.82087724665</v>
      </c>
      <c r="J115" s="50">
        <f t="shared" si="102"/>
        <v>199808.82087724665</v>
      </c>
      <c r="K115" s="50">
        <f t="shared" si="102"/>
        <v>199808.82087724665</v>
      </c>
      <c r="L115" s="50">
        <f t="shared" si="102"/>
        <v>199808.82087724665</v>
      </c>
      <c r="M115" s="50">
        <f t="shared" si="102"/>
        <v>199808.82087724665</v>
      </c>
      <c r="N115" s="50">
        <f t="shared" si="102"/>
        <v>199808.82087724665</v>
      </c>
      <c r="O115" s="90">
        <f t="shared" si="100"/>
        <v>2397705.8505269592</v>
      </c>
    </row>
    <row r="116" spans="1:25" ht="13.2" customHeight="1" x14ac:dyDescent="0.25">
      <c r="A116" s="82"/>
      <c r="B116" s="46" t="s">
        <v>207</v>
      </c>
      <c r="C116" s="47">
        <f t="shared" ref="C116:N116" si="103">SUM(C113:C115)</f>
        <v>2084672.0311526062</v>
      </c>
      <c r="D116" s="47">
        <f t="shared" si="103"/>
        <v>1864882.3281876349</v>
      </c>
      <c r="E116" s="47">
        <f t="shared" si="103"/>
        <v>1864882.3281876349</v>
      </c>
      <c r="F116" s="47">
        <f t="shared" si="103"/>
        <v>1864882.3281876349</v>
      </c>
      <c r="G116" s="47">
        <f t="shared" si="103"/>
        <v>1864882.3281876349</v>
      </c>
      <c r="H116" s="47">
        <f t="shared" si="103"/>
        <v>1864882.3281876349</v>
      </c>
      <c r="I116" s="47">
        <f t="shared" si="103"/>
        <v>1864882.3281876349</v>
      </c>
      <c r="J116" s="47">
        <f t="shared" si="103"/>
        <v>1864882.3281876349</v>
      </c>
      <c r="K116" s="47">
        <f t="shared" si="103"/>
        <v>1864882.3281876349</v>
      </c>
      <c r="L116" s="47">
        <f t="shared" si="103"/>
        <v>1864882.3281876349</v>
      </c>
      <c r="M116" s="47">
        <f t="shared" si="103"/>
        <v>1864882.3281876349</v>
      </c>
      <c r="N116" s="47">
        <f t="shared" si="103"/>
        <v>1864882.3281876349</v>
      </c>
      <c r="O116" s="47">
        <f t="shared" si="100"/>
        <v>22598377.641216587</v>
      </c>
    </row>
    <row r="117" spans="1:25" ht="13.2" customHeight="1" x14ac:dyDescent="0.25">
      <c r="A117" s="82"/>
      <c r="B117" s="55" t="s">
        <v>83</v>
      </c>
      <c r="C117" s="59" t="s">
        <v>173</v>
      </c>
      <c r="D117" s="59" t="s">
        <v>173</v>
      </c>
      <c r="E117" s="59" t="s">
        <v>173</v>
      </c>
      <c r="F117" s="59" t="s">
        <v>173</v>
      </c>
      <c r="G117" s="59" t="s">
        <v>173</v>
      </c>
      <c r="H117" s="59" t="s">
        <v>173</v>
      </c>
      <c r="I117" s="59" t="s">
        <v>173</v>
      </c>
      <c r="J117" s="59" t="s">
        <v>173</v>
      </c>
      <c r="K117" s="59" t="s">
        <v>173</v>
      </c>
      <c r="L117" s="59" t="s">
        <v>173</v>
      </c>
      <c r="M117" s="59" t="s">
        <v>173</v>
      </c>
      <c r="N117" s="59" t="s">
        <v>173</v>
      </c>
      <c r="O117" s="91" t="s">
        <v>173</v>
      </c>
    </row>
    <row r="118" spans="1:25" ht="13.2" customHeight="1" x14ac:dyDescent="0.25">
      <c r="A118" s="82"/>
      <c r="B118" s="57" t="s">
        <v>210</v>
      </c>
      <c r="C118" s="89">
        <f t="shared" ref="C118:N118" si="104">C83*(1+$K$65)</f>
        <v>1653417.9927592161</v>
      </c>
      <c r="D118" s="89">
        <f t="shared" si="104"/>
        <v>1993092.9882505352</v>
      </c>
      <c r="E118" s="89">
        <f t="shared" si="104"/>
        <v>1838241.1520706685</v>
      </c>
      <c r="F118" s="89">
        <f t="shared" si="104"/>
        <v>1718355.859544321</v>
      </c>
      <c r="G118" s="89">
        <f t="shared" si="104"/>
        <v>1578489.6849302487</v>
      </c>
      <c r="H118" s="89">
        <f t="shared" si="104"/>
        <v>1978107.3266847415</v>
      </c>
      <c r="I118" s="89">
        <f t="shared" si="104"/>
        <v>2307791.8811321985</v>
      </c>
      <c r="J118" s="89">
        <f t="shared" si="104"/>
        <v>2212882.6912155063</v>
      </c>
      <c r="K118" s="89">
        <f t="shared" si="104"/>
        <v>1708365.4185004588</v>
      </c>
      <c r="L118" s="89">
        <f t="shared" si="104"/>
        <v>1753322.4031978394</v>
      </c>
      <c r="M118" s="89">
        <f t="shared" si="104"/>
        <v>1668403.6543250096</v>
      </c>
      <c r="N118" s="89">
        <f t="shared" si="104"/>
        <v>1803274.6084171506</v>
      </c>
      <c r="O118" s="92">
        <f t="shared" ref="O118:O127" si="105">SUM(C118:N118)</f>
        <v>22213745.66102789</v>
      </c>
    </row>
    <row r="119" spans="1:25" ht="13.2" customHeight="1" x14ac:dyDescent="0.25">
      <c r="A119" s="82"/>
      <c r="B119" s="57" t="s">
        <v>203</v>
      </c>
      <c r="C119" s="89">
        <f t="shared" ref="C119:N119" si="106">C84*(1+$K$65)</f>
        <v>5969288.5237077419</v>
      </c>
      <c r="D119" s="89">
        <f t="shared" si="106"/>
        <v>6428848.8117254106</v>
      </c>
      <c r="E119" s="89">
        <f t="shared" si="106"/>
        <v>7208103.2131466717</v>
      </c>
      <c r="F119" s="89">
        <f t="shared" si="106"/>
        <v>5464771.2509926967</v>
      </c>
      <c r="G119" s="89">
        <f t="shared" si="106"/>
        <v>7273041.0799317779</v>
      </c>
      <c r="H119" s="89">
        <f t="shared" si="106"/>
        <v>6853442.5560895596</v>
      </c>
      <c r="I119" s="89">
        <f t="shared" si="106"/>
        <v>6288982.6371113379</v>
      </c>
      <c r="J119" s="89">
        <f t="shared" si="106"/>
        <v>7477845.1213309551</v>
      </c>
      <c r="K119" s="89">
        <f t="shared" si="106"/>
        <v>7308007.6235852949</v>
      </c>
      <c r="L119" s="89">
        <f t="shared" si="106"/>
        <v>7308007.6235852949</v>
      </c>
      <c r="M119" s="89">
        <f t="shared" si="106"/>
        <v>5679565.733435737</v>
      </c>
      <c r="N119" s="89">
        <f t="shared" si="106"/>
        <v>7003299.1717474954</v>
      </c>
      <c r="O119" s="92">
        <f t="shared" si="105"/>
        <v>80263203.346389964</v>
      </c>
    </row>
    <row r="120" spans="1:25" ht="13.2" customHeight="1" x14ac:dyDescent="0.25">
      <c r="A120" s="82"/>
      <c r="B120" s="58" t="s">
        <v>84</v>
      </c>
      <c r="C120" s="89">
        <f t="shared" ref="C120:N120" si="107">C85*(1+$K$65)</f>
        <v>5279948.0916812401</v>
      </c>
      <c r="D120" s="89">
        <f t="shared" si="107"/>
        <v>5764484.4823085656</v>
      </c>
      <c r="E120" s="89">
        <f t="shared" si="107"/>
        <v>5784465.3643962918</v>
      </c>
      <c r="F120" s="89">
        <f t="shared" si="107"/>
        <v>5974283.7442296734</v>
      </c>
      <c r="G120" s="89">
        <f t="shared" si="107"/>
        <v>7068237.0385325998</v>
      </c>
      <c r="H120" s="89">
        <f t="shared" si="107"/>
        <v>6114149.9188437462</v>
      </c>
      <c r="I120" s="89">
        <f t="shared" si="107"/>
        <v>6348925.2833745144</v>
      </c>
      <c r="J120" s="89">
        <f t="shared" si="107"/>
        <v>7308007.6235852949</v>
      </c>
      <c r="K120" s="89">
        <f t="shared" si="107"/>
        <v>6688600.2788658319</v>
      </c>
      <c r="L120" s="89">
        <f t="shared" si="107"/>
        <v>6678609.8378219698</v>
      </c>
      <c r="M120" s="89">
        <f t="shared" si="107"/>
        <v>7148160.5668834988</v>
      </c>
      <c r="N120" s="89">
        <f t="shared" si="107"/>
        <v>5739508.3796989108</v>
      </c>
      <c r="O120" s="92">
        <f t="shared" si="105"/>
        <v>75897380.610222146</v>
      </c>
    </row>
    <row r="121" spans="1:25" ht="13.2" customHeight="1" x14ac:dyDescent="0.25">
      <c r="A121" s="82"/>
      <c r="B121" s="57" t="s">
        <v>85</v>
      </c>
      <c r="C121" s="89">
        <f t="shared" ref="C121:N121" si="108">C86*(1+$K$65)</f>
        <v>6134130.8009314723</v>
      </c>
      <c r="D121" s="89">
        <f t="shared" si="108"/>
        <v>5249976.7685496565</v>
      </c>
      <c r="E121" s="89">
        <f t="shared" si="108"/>
        <v>5434799.9278611094</v>
      </c>
      <c r="F121" s="89">
        <f t="shared" si="108"/>
        <v>5519718.676733938</v>
      </c>
      <c r="G121" s="89">
        <f t="shared" si="108"/>
        <v>7422897.6955897128</v>
      </c>
      <c r="H121" s="89">
        <f t="shared" si="108"/>
        <v>5449785.5894269031</v>
      </c>
      <c r="I121" s="89">
        <f t="shared" si="108"/>
        <v>6323949.1807648558</v>
      </c>
      <c r="J121" s="89">
        <f t="shared" si="108"/>
        <v>5005210.9629750289</v>
      </c>
      <c r="K121" s="89">
        <f t="shared" si="108"/>
        <v>6508772.3400763106</v>
      </c>
      <c r="L121" s="89">
        <f t="shared" si="108"/>
        <v>5170053.2401987556</v>
      </c>
      <c r="M121" s="89">
        <f t="shared" si="108"/>
        <v>6583700.6479052762</v>
      </c>
      <c r="N121" s="89">
        <f t="shared" si="108"/>
        <v>6269001.7550236136</v>
      </c>
      <c r="O121" s="92">
        <f t="shared" si="105"/>
        <v>71071997.586036623</v>
      </c>
    </row>
    <row r="122" spans="1:25" ht="13.2" customHeight="1" x14ac:dyDescent="0.25">
      <c r="A122" s="84"/>
      <c r="B122" s="58" t="s">
        <v>249</v>
      </c>
      <c r="C122" s="89">
        <f t="shared" ref="C122:N122" si="109">C110*5%</f>
        <v>9572152.663384391</v>
      </c>
      <c r="D122" s="89">
        <f t="shared" si="109"/>
        <v>9572152.663384391</v>
      </c>
      <c r="E122" s="89">
        <f t="shared" si="109"/>
        <v>9572152.663384391</v>
      </c>
      <c r="F122" s="89">
        <f t="shared" si="109"/>
        <v>9572152.663384391</v>
      </c>
      <c r="G122" s="89">
        <f t="shared" si="109"/>
        <v>9572152.663384391</v>
      </c>
      <c r="H122" s="89">
        <f t="shared" si="109"/>
        <v>9572152.663384391</v>
      </c>
      <c r="I122" s="89">
        <f t="shared" si="109"/>
        <v>9572152.663384391</v>
      </c>
      <c r="J122" s="89">
        <f t="shared" si="109"/>
        <v>9572152.663384391</v>
      </c>
      <c r="K122" s="89">
        <f t="shared" si="109"/>
        <v>9572152.663384391</v>
      </c>
      <c r="L122" s="89">
        <f t="shared" si="109"/>
        <v>9572152.663384391</v>
      </c>
      <c r="M122" s="89">
        <f t="shared" si="109"/>
        <v>9572152.663384391</v>
      </c>
      <c r="N122" s="89">
        <f t="shared" si="109"/>
        <v>9572152.663384391</v>
      </c>
      <c r="O122" s="92">
        <f t="shared" si="105"/>
        <v>114865831.9606127</v>
      </c>
    </row>
    <row r="123" spans="1:25" ht="13.2" customHeight="1" x14ac:dyDescent="0.25">
      <c r="A123" s="84"/>
      <c r="B123" s="58" t="s">
        <v>251</v>
      </c>
      <c r="C123" s="89">
        <f>-PMT(4%,18*12,(150000000*8)/(1+4%)^18)</f>
        <v>23699110.369091634</v>
      </c>
      <c r="D123" s="89">
        <f t="shared" ref="D123:N123" si="110">-PMT(4%,18*12,(150000000*8)/(1+4%)^18)</f>
        <v>23699110.369091634</v>
      </c>
      <c r="E123" s="89">
        <f t="shared" si="110"/>
        <v>23699110.369091634</v>
      </c>
      <c r="F123" s="89">
        <f t="shared" si="110"/>
        <v>23699110.369091634</v>
      </c>
      <c r="G123" s="89">
        <f t="shared" si="110"/>
        <v>23699110.369091634</v>
      </c>
      <c r="H123" s="89">
        <f t="shared" si="110"/>
        <v>23699110.369091634</v>
      </c>
      <c r="I123" s="89">
        <f t="shared" si="110"/>
        <v>23699110.369091634</v>
      </c>
      <c r="J123" s="89">
        <f t="shared" si="110"/>
        <v>23699110.369091634</v>
      </c>
      <c r="K123" s="89">
        <f t="shared" si="110"/>
        <v>23699110.369091634</v>
      </c>
      <c r="L123" s="89">
        <f t="shared" si="110"/>
        <v>23699110.369091634</v>
      </c>
      <c r="M123" s="89">
        <f t="shared" si="110"/>
        <v>23699110.369091634</v>
      </c>
      <c r="N123" s="89">
        <f t="shared" si="110"/>
        <v>23699110.369091634</v>
      </c>
      <c r="O123" s="92">
        <f t="shared" si="105"/>
        <v>284389324.42909962</v>
      </c>
    </row>
    <row r="124" spans="1:25" ht="13.2" customHeight="1" x14ac:dyDescent="0.25">
      <c r="A124" s="84"/>
      <c r="B124" s="58" t="s">
        <v>180</v>
      </c>
      <c r="C124" s="89">
        <f t="shared" ref="C124:N124" si="111">C89*(1+$K$65)</f>
        <v>7253060.1978440518</v>
      </c>
      <c r="D124" s="89">
        <f t="shared" si="111"/>
        <v>7158151.0079273591</v>
      </c>
      <c r="E124" s="89">
        <f t="shared" si="111"/>
        <v>5949307.6416200195</v>
      </c>
      <c r="F124" s="89">
        <f t="shared" si="111"/>
        <v>6568714.9863394853</v>
      </c>
      <c r="G124" s="89">
        <f t="shared" si="111"/>
        <v>5180043.6812426196</v>
      </c>
      <c r="H124" s="89">
        <f t="shared" si="111"/>
        <v>5759489.261786635</v>
      </c>
      <c r="I124" s="89">
        <f t="shared" si="111"/>
        <v>5959298.0826638825</v>
      </c>
      <c r="J124" s="89">
        <f t="shared" si="111"/>
        <v>7063241.8180106683</v>
      </c>
      <c r="K124" s="89">
        <f t="shared" si="111"/>
        <v>5529709.1177778011</v>
      </c>
      <c r="L124" s="89">
        <f t="shared" si="111"/>
        <v>5919336.3184884312</v>
      </c>
      <c r="M124" s="89">
        <f t="shared" si="111"/>
        <v>5929326.7595322924</v>
      </c>
      <c r="N124" s="89">
        <f t="shared" si="111"/>
        <v>5779470.1438743593</v>
      </c>
      <c r="O124" s="92">
        <f t="shared" si="105"/>
        <v>74049149.017107606</v>
      </c>
    </row>
    <row r="125" spans="1:25" ht="13.2" customHeight="1" x14ac:dyDescent="0.25">
      <c r="A125" s="84"/>
      <c r="B125" s="58" t="s">
        <v>86</v>
      </c>
      <c r="C125" s="89">
        <f t="shared" ref="C125:N125" si="112">C90*(1+$K$65)</f>
        <v>5279948.0916812401</v>
      </c>
      <c r="D125" s="89">
        <f t="shared" si="112"/>
        <v>5220005.4454180691</v>
      </c>
      <c r="E125" s="89">
        <f t="shared" si="112"/>
        <v>5065153.6092382036</v>
      </c>
      <c r="F125" s="89">
        <f t="shared" si="112"/>
        <v>6608676.750514932</v>
      </c>
      <c r="G125" s="89">
        <f t="shared" si="112"/>
        <v>6149116.4624972641</v>
      </c>
      <c r="H125" s="89">
        <f t="shared" si="112"/>
        <v>5120101.0349794459</v>
      </c>
      <c r="I125" s="89">
        <f t="shared" si="112"/>
        <v>6943356.5254843226</v>
      </c>
      <c r="J125" s="89">
        <f t="shared" si="112"/>
        <v>6663624.1762561761</v>
      </c>
      <c r="K125" s="89">
        <f t="shared" si="112"/>
        <v>5364866.8405540735</v>
      </c>
      <c r="L125" s="89">
        <f t="shared" si="112"/>
        <v>5549689.9998655263</v>
      </c>
      <c r="M125" s="89">
        <f t="shared" si="112"/>
        <v>6748542.9251290057</v>
      </c>
      <c r="N125" s="89">
        <f t="shared" si="112"/>
        <v>7103203.5821861187</v>
      </c>
      <c r="O125" s="92">
        <f t="shared" si="105"/>
        <v>71816285.443804368</v>
      </c>
    </row>
    <row r="126" spans="1:25" ht="13.2" customHeight="1" x14ac:dyDescent="0.25">
      <c r="A126" s="82"/>
      <c r="B126" s="46" t="s">
        <v>208</v>
      </c>
      <c r="C126" s="47">
        <f t="shared" ref="C126:N126" si="113">SUM(C118:C125)</f>
        <v>64841056.731080987</v>
      </c>
      <c r="D126" s="47">
        <f t="shared" si="113"/>
        <v>65085822.536655627</v>
      </c>
      <c r="E126" s="47">
        <f t="shared" si="113"/>
        <v>64551333.940808982</v>
      </c>
      <c r="F126" s="47">
        <f t="shared" si="113"/>
        <v>65125784.300831079</v>
      </c>
      <c r="G126" s="47">
        <f t="shared" si="113"/>
        <v>67943088.675200254</v>
      </c>
      <c r="H126" s="47">
        <f t="shared" si="113"/>
        <v>64546338.720287062</v>
      </c>
      <c r="I126" s="47">
        <f t="shared" si="113"/>
        <v>67443566.623007134</v>
      </c>
      <c r="J126" s="47">
        <f t="shared" si="113"/>
        <v>69002075.425849646</v>
      </c>
      <c r="K126" s="47">
        <f t="shared" si="113"/>
        <v>66379584.651835792</v>
      </c>
      <c r="L126" s="47">
        <f t="shared" si="113"/>
        <v>65650282.455633841</v>
      </c>
      <c r="M126" s="47">
        <f t="shared" si="113"/>
        <v>67028963.319686845</v>
      </c>
      <c r="N126" s="47">
        <f t="shared" si="113"/>
        <v>66969020.673423678</v>
      </c>
      <c r="O126" s="47">
        <f t="shared" si="105"/>
        <v>794566918.05430102</v>
      </c>
    </row>
    <row r="127" spans="1:25" ht="13.2" customHeight="1" x14ac:dyDescent="0.25">
      <c r="A127" s="82"/>
      <c r="B127" s="60" t="s">
        <v>87</v>
      </c>
      <c r="C127" s="47">
        <f t="shared" ref="C127:N127" si="114">C116+C126</f>
        <v>66925728.762233593</v>
      </c>
      <c r="D127" s="47">
        <f t="shared" si="114"/>
        <v>66950704.864843264</v>
      </c>
      <c r="E127" s="47">
        <f t="shared" si="114"/>
        <v>66416216.268996619</v>
      </c>
      <c r="F127" s="47">
        <f t="shared" si="114"/>
        <v>66990666.629018717</v>
      </c>
      <c r="G127" s="47">
        <f t="shared" si="114"/>
        <v>69807971.003387883</v>
      </c>
      <c r="H127" s="47">
        <f t="shared" si="114"/>
        <v>66411221.048474699</v>
      </c>
      <c r="I127" s="47">
        <f t="shared" si="114"/>
        <v>69308448.951194763</v>
      </c>
      <c r="J127" s="47">
        <f t="shared" si="114"/>
        <v>70866957.754037276</v>
      </c>
      <c r="K127" s="47">
        <f t="shared" si="114"/>
        <v>68244466.980023429</v>
      </c>
      <c r="L127" s="47">
        <f t="shared" si="114"/>
        <v>67515164.783821478</v>
      </c>
      <c r="M127" s="47">
        <f t="shared" si="114"/>
        <v>68893845.647874475</v>
      </c>
      <c r="N127" s="47">
        <f t="shared" si="114"/>
        <v>68833903.001611307</v>
      </c>
      <c r="O127" s="47">
        <f t="shared" si="105"/>
        <v>817165295.69551754</v>
      </c>
    </row>
    <row r="128" spans="1:25" s="11" customFormat="1" x14ac:dyDescent="0.25">
      <c r="A128" s="82"/>
      <c r="B128" s="108" t="s">
        <v>204</v>
      </c>
      <c r="C128" s="109">
        <f>$O127*(3/12)/12</f>
        <v>17024276.993656617</v>
      </c>
      <c r="D128" s="109">
        <f t="shared" ref="D128" si="115">$O127*(3/12)/12</f>
        <v>17024276.993656617</v>
      </c>
      <c r="E128" s="109">
        <f t="shared" ref="E128" si="116">$O127*(3/12)/12</f>
        <v>17024276.993656617</v>
      </c>
      <c r="F128" s="109">
        <f t="shared" ref="F128" si="117">$O127*(3/12)/12</f>
        <v>17024276.993656617</v>
      </c>
      <c r="G128" s="109">
        <f t="shared" ref="G128" si="118">$O127*(3/12)/12</f>
        <v>17024276.993656617</v>
      </c>
      <c r="H128" s="109">
        <f t="shared" ref="H128" si="119">$O127*(3/12)/12</f>
        <v>17024276.993656617</v>
      </c>
      <c r="I128" s="109">
        <f t="shared" ref="I128" si="120">$O127*(3/12)/12</f>
        <v>17024276.993656617</v>
      </c>
      <c r="J128" s="109">
        <f t="shared" ref="J128" si="121">$O127*(3/12)/12</f>
        <v>17024276.993656617</v>
      </c>
      <c r="K128" s="109">
        <f t="shared" ref="K128" si="122">$O127*(3/12)/12</f>
        <v>17024276.993656617</v>
      </c>
      <c r="L128" s="109">
        <f t="shared" ref="L128" si="123">$O127*(3/12)/12</f>
        <v>17024276.993656617</v>
      </c>
      <c r="M128" s="109">
        <f t="shared" ref="M128" si="124">$O127*(3/12)/12</f>
        <v>17024276.993656617</v>
      </c>
      <c r="N128" s="109">
        <f t="shared" ref="N128" si="125">$O127*(3/12)/12</f>
        <v>17024276.993656617</v>
      </c>
      <c r="O128" s="109">
        <f t="shared" ref="O128:O131" si="126">SUM(C128:N128)</f>
        <v>204291323.92387936</v>
      </c>
      <c r="P128" s="43"/>
      <c r="Q128" s="43"/>
      <c r="R128" s="40"/>
      <c r="S128" s="40"/>
      <c r="T128" s="40"/>
      <c r="U128" s="40"/>
      <c r="V128" s="40"/>
      <c r="W128" s="40"/>
      <c r="X128" s="40"/>
      <c r="Y128" s="40"/>
    </row>
    <row r="129" spans="1:25" s="11" customFormat="1" x14ac:dyDescent="0.25">
      <c r="A129" s="82"/>
      <c r="B129" s="108" t="s">
        <v>82</v>
      </c>
      <c r="C129" s="109">
        <f>'6. Mortgage payment'!$C$7</f>
        <v>28168245.060798287</v>
      </c>
      <c r="D129" s="109">
        <f>'6. Mortgage payment'!$C$7</f>
        <v>28168245.060798287</v>
      </c>
      <c r="E129" s="109">
        <f>'6. Mortgage payment'!$C$7</f>
        <v>28168245.060798287</v>
      </c>
      <c r="F129" s="109">
        <f>'6. Mortgage payment'!$C$7</f>
        <v>28168245.060798287</v>
      </c>
      <c r="G129" s="109">
        <f>'6. Mortgage payment'!$C$7</f>
        <v>28168245.060798287</v>
      </c>
      <c r="H129" s="109">
        <f>'6. Mortgage payment'!$C$7</f>
        <v>28168245.060798287</v>
      </c>
      <c r="I129" s="109">
        <f>'6. Mortgage payment'!$C$7</f>
        <v>28168245.060798287</v>
      </c>
      <c r="J129" s="109">
        <f>'6. Mortgage payment'!$C$7</f>
        <v>28168245.060798287</v>
      </c>
      <c r="K129" s="109">
        <f>'6. Mortgage payment'!$C$7</f>
        <v>28168245.060798287</v>
      </c>
      <c r="L129" s="109">
        <f>'6. Mortgage payment'!$C$7</f>
        <v>28168245.060798287</v>
      </c>
      <c r="M129" s="109">
        <f>'6. Mortgage payment'!$C$7</f>
        <v>28168245.060798287</v>
      </c>
      <c r="N129" s="109">
        <f>'6. Mortgage payment'!$C$7</f>
        <v>28168245.060798287</v>
      </c>
      <c r="O129" s="109">
        <f t="shared" si="126"/>
        <v>338018940.72957945</v>
      </c>
      <c r="P129" s="43"/>
      <c r="Q129" s="43"/>
      <c r="R129" s="40"/>
      <c r="S129" s="40"/>
      <c r="T129" s="40"/>
      <c r="U129" s="40"/>
      <c r="V129" s="40"/>
      <c r="W129" s="40"/>
      <c r="X129" s="40"/>
      <c r="Y129" s="40"/>
    </row>
    <row r="130" spans="1:25" s="11" customFormat="1" x14ac:dyDescent="0.25">
      <c r="A130" s="82"/>
      <c r="B130" s="108" t="s">
        <v>251</v>
      </c>
      <c r="C130" s="109">
        <f>-PMT(4%,18*12,(150000000*8)/(1+4%)^18)</f>
        <v>23699110.369091634</v>
      </c>
      <c r="D130" s="109">
        <f t="shared" ref="D130:N130" si="127">-PMT(4%,18*12,(150000000*8)/(1+4%)^18)</f>
        <v>23699110.369091634</v>
      </c>
      <c r="E130" s="109">
        <f t="shared" si="127"/>
        <v>23699110.369091634</v>
      </c>
      <c r="F130" s="109">
        <f t="shared" si="127"/>
        <v>23699110.369091634</v>
      </c>
      <c r="G130" s="109">
        <f t="shared" si="127"/>
        <v>23699110.369091634</v>
      </c>
      <c r="H130" s="109">
        <f t="shared" si="127"/>
        <v>23699110.369091634</v>
      </c>
      <c r="I130" s="109">
        <f t="shared" si="127"/>
        <v>23699110.369091634</v>
      </c>
      <c r="J130" s="109">
        <f t="shared" si="127"/>
        <v>23699110.369091634</v>
      </c>
      <c r="K130" s="109">
        <f t="shared" si="127"/>
        <v>23699110.369091634</v>
      </c>
      <c r="L130" s="109">
        <f t="shared" si="127"/>
        <v>23699110.369091634</v>
      </c>
      <c r="M130" s="109">
        <f t="shared" si="127"/>
        <v>23699110.369091634</v>
      </c>
      <c r="N130" s="109">
        <f t="shared" si="127"/>
        <v>23699110.369091634</v>
      </c>
      <c r="O130" s="109">
        <f t="shared" ref="O130" si="128">SUM(C130:N130)</f>
        <v>284389324.42909962</v>
      </c>
      <c r="P130" s="43"/>
      <c r="Q130" s="43"/>
      <c r="R130" s="40"/>
      <c r="S130" s="40"/>
      <c r="T130" s="40"/>
      <c r="U130" s="40"/>
      <c r="V130" s="40"/>
      <c r="W130" s="40"/>
      <c r="X130" s="40"/>
      <c r="Y130" s="40"/>
    </row>
    <row r="131" spans="1:25" s="11" customFormat="1" x14ac:dyDescent="0.25">
      <c r="A131" s="82"/>
      <c r="B131" s="108" t="s">
        <v>364</v>
      </c>
      <c r="C131" s="109">
        <f>C96*(1+$K$65)</f>
        <v>1824979.3536000003</v>
      </c>
      <c r="D131" s="109">
        <v>0</v>
      </c>
      <c r="E131" s="109">
        <v>0</v>
      </c>
      <c r="F131" s="109">
        <v>0</v>
      </c>
      <c r="G131" s="109">
        <v>0</v>
      </c>
      <c r="H131" s="109">
        <v>0</v>
      </c>
      <c r="I131" s="109">
        <v>0</v>
      </c>
      <c r="J131" s="109">
        <v>0</v>
      </c>
      <c r="K131" s="109">
        <v>0</v>
      </c>
      <c r="L131" s="109">
        <v>0</v>
      </c>
      <c r="M131" s="109">
        <v>0</v>
      </c>
      <c r="N131" s="109">
        <v>0</v>
      </c>
      <c r="O131" s="109">
        <f t="shared" si="126"/>
        <v>1824979.3536000003</v>
      </c>
      <c r="P131" s="43"/>
      <c r="Q131" s="43"/>
      <c r="R131" s="40"/>
      <c r="S131" s="40"/>
      <c r="T131" s="40"/>
      <c r="U131" s="40"/>
      <c r="V131" s="40"/>
      <c r="W131" s="40"/>
      <c r="X131" s="40"/>
      <c r="Y131" s="40"/>
    </row>
    <row r="132" spans="1:25" s="11" customFormat="1" x14ac:dyDescent="0.25">
      <c r="A132" s="82"/>
      <c r="B132" s="60" t="s">
        <v>206</v>
      </c>
      <c r="C132" s="61">
        <f>C110-C127-C128-C129-C131-C130</f>
        <v>53800712.728307679</v>
      </c>
      <c r="D132" s="61">
        <f t="shared" ref="D132:N132" si="129">D110-D127-D128-D129-D131-D130</f>
        <v>55600715.979297996</v>
      </c>
      <c r="E132" s="61">
        <f t="shared" si="129"/>
        <v>56135204.575144634</v>
      </c>
      <c r="F132" s="61">
        <f t="shared" si="129"/>
        <v>55560754.215122536</v>
      </c>
      <c r="G132" s="61">
        <f t="shared" si="129"/>
        <v>52743449.840753376</v>
      </c>
      <c r="H132" s="61">
        <f t="shared" si="129"/>
        <v>56140199.795666561</v>
      </c>
      <c r="I132" s="61">
        <f t="shared" si="129"/>
        <v>53242971.892946497</v>
      </c>
      <c r="J132" s="61">
        <f t="shared" si="129"/>
        <v>51684463.090103984</v>
      </c>
      <c r="K132" s="61">
        <f t="shared" si="129"/>
        <v>54306953.864117831</v>
      </c>
      <c r="L132" s="61">
        <f t="shared" si="129"/>
        <v>55036256.060319781</v>
      </c>
      <c r="M132" s="61">
        <f t="shared" si="129"/>
        <v>53657575.196266785</v>
      </c>
      <c r="N132" s="61">
        <f t="shared" si="129"/>
        <v>53717517.842529953</v>
      </c>
      <c r="O132" s="47">
        <f t="shared" ref="O132" si="130">SUM(C132:N132)</f>
        <v>651626775.08057761</v>
      </c>
      <c r="P132" s="43"/>
      <c r="Q132" s="43"/>
      <c r="R132" s="40"/>
      <c r="S132" s="40"/>
      <c r="T132" s="40"/>
      <c r="U132" s="40"/>
      <c r="V132" s="40"/>
      <c r="W132" s="40"/>
      <c r="X132" s="40"/>
      <c r="Y132" s="40"/>
    </row>
    <row r="133" spans="1:25" ht="13.2" customHeight="1" x14ac:dyDescent="0.25">
      <c r="A133" s="85"/>
      <c r="B133" s="40"/>
      <c r="C133" s="40"/>
      <c r="D133" s="40"/>
      <c r="E133" s="40"/>
      <c r="F133" s="40"/>
      <c r="G133" s="40"/>
      <c r="H133" s="40"/>
      <c r="I133" s="40"/>
      <c r="J133" s="40"/>
      <c r="K133" s="40"/>
      <c r="L133" s="353" t="s">
        <v>217</v>
      </c>
      <c r="M133" s="354"/>
      <c r="N133" s="350">
        <f>SUM(C132:N132)+N98</f>
        <v>3772589575.8556681</v>
      </c>
      <c r="O133" s="40"/>
    </row>
    <row r="134" spans="1:25" ht="13.2" customHeight="1" x14ac:dyDescent="0.25">
      <c r="A134" s="85"/>
      <c r="B134" s="40"/>
      <c r="C134" s="40"/>
      <c r="D134" s="40"/>
      <c r="E134" s="40"/>
      <c r="F134" s="40"/>
      <c r="G134" s="40"/>
      <c r="H134" s="40"/>
      <c r="I134" s="40"/>
      <c r="J134" s="40"/>
      <c r="K134" s="40"/>
      <c r="L134" s="320"/>
      <c r="M134" s="355"/>
      <c r="N134" s="351"/>
      <c r="O134" s="40"/>
    </row>
    <row r="135" spans="1:25" ht="13.2" customHeight="1" x14ac:dyDescent="0.25">
      <c r="A135" s="85"/>
      <c r="B135" s="319" t="s">
        <v>632</v>
      </c>
      <c r="C135" s="352" t="s">
        <v>173</v>
      </c>
      <c r="D135" s="352"/>
      <c r="E135" s="352"/>
      <c r="F135" s="352"/>
      <c r="G135" s="352"/>
      <c r="H135" s="352"/>
      <c r="I135" s="40"/>
      <c r="J135" s="358" t="s">
        <v>231</v>
      </c>
      <c r="K135" s="359">
        <v>0.04</v>
      </c>
      <c r="L135" s="40"/>
      <c r="M135" s="40"/>
      <c r="N135" s="40"/>
      <c r="O135" s="361"/>
    </row>
    <row r="136" spans="1:25" ht="13.2" customHeight="1" x14ac:dyDescent="0.25">
      <c r="A136" s="85"/>
      <c r="B136" s="319"/>
      <c r="C136" s="352"/>
      <c r="D136" s="352"/>
      <c r="E136" s="352"/>
      <c r="F136" s="352"/>
      <c r="G136" s="352"/>
      <c r="H136" s="352"/>
      <c r="I136" s="40"/>
      <c r="J136" s="358"/>
      <c r="K136" s="360"/>
      <c r="L136" s="40"/>
      <c r="M136" s="40"/>
      <c r="N136" s="40"/>
      <c r="O136" s="362"/>
    </row>
    <row r="137" spans="1:25" ht="13.2" customHeight="1" x14ac:dyDescent="0.25">
      <c r="A137" s="85"/>
      <c r="B137" s="319"/>
      <c r="C137" s="352"/>
      <c r="D137" s="352"/>
      <c r="E137" s="352"/>
      <c r="F137" s="352"/>
      <c r="G137" s="352"/>
      <c r="H137" s="352"/>
      <c r="I137" s="40"/>
      <c r="J137" s="40"/>
      <c r="K137" s="40"/>
      <c r="L137" s="40"/>
      <c r="M137" s="40"/>
      <c r="N137" s="40"/>
      <c r="O137" s="40"/>
    </row>
    <row r="140" spans="1:25" ht="24.6" customHeight="1" x14ac:dyDescent="0.25">
      <c r="A140" s="96"/>
      <c r="B140" s="348" t="s">
        <v>256</v>
      </c>
      <c r="C140" s="348"/>
      <c r="D140" s="348"/>
      <c r="E140" s="348"/>
      <c r="F140" s="348"/>
      <c r="G140" s="348"/>
      <c r="H140" s="348"/>
      <c r="I140" s="348"/>
      <c r="J140" s="348"/>
      <c r="K140" s="348"/>
      <c r="L140" s="348"/>
      <c r="M140" s="348"/>
      <c r="N140" s="348"/>
      <c r="O140" s="348"/>
    </row>
    <row r="141" spans="1:25" ht="24.6" customHeight="1" x14ac:dyDescent="0.25">
      <c r="A141" s="96"/>
      <c r="B141" s="349"/>
      <c r="C141" s="349"/>
      <c r="D141" s="349"/>
      <c r="E141" s="349"/>
      <c r="F141" s="349"/>
      <c r="G141" s="349"/>
      <c r="H141" s="349"/>
      <c r="I141" s="349"/>
      <c r="J141" s="349"/>
      <c r="K141" s="349"/>
      <c r="L141" s="349"/>
      <c r="M141" s="349"/>
      <c r="N141" s="349"/>
      <c r="O141" s="349"/>
    </row>
    <row r="142" spans="1:25" ht="13.2" customHeight="1" x14ac:dyDescent="0.25">
      <c r="A142" s="82"/>
      <c r="B142" s="41"/>
      <c r="C142" s="42" t="s">
        <v>66</v>
      </c>
      <c r="D142" s="42" t="s">
        <v>67</v>
      </c>
      <c r="E142" s="42" t="s">
        <v>68</v>
      </c>
      <c r="F142" s="42" t="s">
        <v>69</v>
      </c>
      <c r="G142" s="42" t="s">
        <v>70</v>
      </c>
      <c r="H142" s="42" t="s">
        <v>71</v>
      </c>
      <c r="I142" s="42" t="s">
        <v>72</v>
      </c>
      <c r="J142" s="42" t="s">
        <v>73</v>
      </c>
      <c r="K142" s="42" t="s">
        <v>74</v>
      </c>
      <c r="L142" s="42" t="s">
        <v>75</v>
      </c>
      <c r="M142" s="42" t="s">
        <v>76</v>
      </c>
      <c r="N142" s="42" t="s">
        <v>77</v>
      </c>
      <c r="O142" s="42" t="s">
        <v>236</v>
      </c>
    </row>
    <row r="143" spans="1:25" ht="13.2" customHeight="1" x14ac:dyDescent="0.25">
      <c r="A143" s="82"/>
      <c r="B143" s="44" t="s">
        <v>194</v>
      </c>
      <c r="C143" s="45">
        <f>'3.1. My Income Tax Calculation'!$P$16/12</f>
        <v>132533517.62581778</v>
      </c>
      <c r="D143" s="45">
        <f>'3.1. My Income Tax Calculation'!$P$16/12</f>
        <v>132533517.62581778</v>
      </c>
      <c r="E143" s="45">
        <f>'3.1. My Income Tax Calculation'!$P$16/12</f>
        <v>132533517.62581778</v>
      </c>
      <c r="F143" s="45">
        <f>'3.1. My Income Tax Calculation'!$P$16/12</f>
        <v>132533517.62581778</v>
      </c>
      <c r="G143" s="45">
        <f>'3.1. My Income Tax Calculation'!$P$16/12</f>
        <v>132533517.62581778</v>
      </c>
      <c r="H143" s="45">
        <f>'3.1. My Income Tax Calculation'!$P$16/12</f>
        <v>132533517.62581778</v>
      </c>
      <c r="I143" s="45">
        <f>'3.1. My Income Tax Calculation'!$P$16/12</f>
        <v>132533517.62581778</v>
      </c>
      <c r="J143" s="45">
        <f>'3.1. My Income Tax Calculation'!$P$16/12</f>
        <v>132533517.62581778</v>
      </c>
      <c r="K143" s="45">
        <f>'3.1. My Income Tax Calculation'!$P$16/12</f>
        <v>132533517.62581778</v>
      </c>
      <c r="L143" s="45">
        <f>'3.1. My Income Tax Calculation'!$P$16/12</f>
        <v>132533517.62581778</v>
      </c>
      <c r="M143" s="45">
        <f>'3.1. My Income Tax Calculation'!$P$16/12</f>
        <v>132533517.62581778</v>
      </c>
      <c r="N143" s="45">
        <f>'3.1. My Income Tax Calculation'!$P$16/12</f>
        <v>132533517.62581778</v>
      </c>
      <c r="O143" s="45" t="s">
        <v>173</v>
      </c>
    </row>
    <row r="144" spans="1:25" ht="13.2" customHeight="1" x14ac:dyDescent="0.25">
      <c r="A144" s="82"/>
      <c r="B144" s="44" t="s">
        <v>246</v>
      </c>
      <c r="C144" s="45">
        <f>'3.2. My wife''s Tax Calc'!$P$16/12</f>
        <v>59802087.100346029</v>
      </c>
      <c r="D144" s="45">
        <f>'3.2. My wife''s Tax Calc'!$P$16/12</f>
        <v>59802087.100346029</v>
      </c>
      <c r="E144" s="45">
        <f>'3.2. My wife''s Tax Calc'!$P$16/12</f>
        <v>59802087.100346029</v>
      </c>
      <c r="F144" s="45">
        <f>'3.2. My wife''s Tax Calc'!$P$16/12</f>
        <v>59802087.100346029</v>
      </c>
      <c r="G144" s="45">
        <f>'3.2. My wife''s Tax Calc'!$P$16/12</f>
        <v>59802087.100346029</v>
      </c>
      <c r="H144" s="45">
        <f>'3.2. My wife''s Tax Calc'!$P$16/12</f>
        <v>59802087.100346029</v>
      </c>
      <c r="I144" s="45">
        <f>'3.2. My wife''s Tax Calc'!$P$16/12</f>
        <v>59802087.100346029</v>
      </c>
      <c r="J144" s="45">
        <f>'3.2. My wife''s Tax Calc'!$P$16/12</f>
        <v>59802087.100346029</v>
      </c>
      <c r="K144" s="45">
        <f>'3.2. My wife''s Tax Calc'!$P$16/12</f>
        <v>59802087.100346029</v>
      </c>
      <c r="L144" s="45">
        <f>'3.2. My wife''s Tax Calc'!$P$16/12</f>
        <v>59802087.100346029</v>
      </c>
      <c r="M144" s="45">
        <f>'3.2. My wife''s Tax Calc'!$P$16/12</f>
        <v>59802087.100346029</v>
      </c>
      <c r="N144" s="45">
        <f>'3.2. My wife''s Tax Calc'!$P$16/12</f>
        <v>59802087.100346029</v>
      </c>
      <c r="O144" s="45" t="s">
        <v>173</v>
      </c>
    </row>
    <row r="145" spans="1:15" ht="13.2" customHeight="1" x14ac:dyDescent="0.25">
      <c r="A145" s="82"/>
      <c r="B145" s="46" t="s">
        <v>209</v>
      </c>
      <c r="C145" s="47">
        <f>SUM(C143:C144)</f>
        <v>192335604.7261638</v>
      </c>
      <c r="D145" s="47">
        <f t="shared" ref="D145" si="131">SUM(D143:D144)</f>
        <v>192335604.7261638</v>
      </c>
      <c r="E145" s="47">
        <f t="shared" ref="E145" si="132">SUM(E143:E144)</f>
        <v>192335604.7261638</v>
      </c>
      <c r="F145" s="47">
        <f t="shared" ref="F145" si="133">SUM(F143:F144)</f>
        <v>192335604.7261638</v>
      </c>
      <c r="G145" s="47">
        <f t="shared" ref="G145" si="134">SUM(G143:G144)</f>
        <v>192335604.7261638</v>
      </c>
      <c r="H145" s="47">
        <f t="shared" ref="H145" si="135">SUM(H143:H144)</f>
        <v>192335604.7261638</v>
      </c>
      <c r="I145" s="47">
        <f t="shared" ref="I145" si="136">SUM(I143:I144)</f>
        <v>192335604.7261638</v>
      </c>
      <c r="J145" s="47">
        <f t="shared" ref="J145" si="137">SUM(J143:J144)</f>
        <v>192335604.7261638</v>
      </c>
      <c r="K145" s="47">
        <f>SUM(K143:K144)</f>
        <v>192335604.7261638</v>
      </c>
      <c r="L145" s="47">
        <f t="shared" ref="L145" si="138">SUM(L143:L144)</f>
        <v>192335604.7261638</v>
      </c>
      <c r="M145" s="47">
        <f t="shared" ref="M145" si="139">SUM(M143:M144)</f>
        <v>192335604.7261638</v>
      </c>
      <c r="N145" s="47">
        <f t="shared" ref="N145" si="140">SUM(N143:N144)</f>
        <v>192335604.7261638</v>
      </c>
      <c r="O145" s="47">
        <f>SUM(C145:N145)</f>
        <v>2308027256.7139659</v>
      </c>
    </row>
    <row r="146" spans="1:15" ht="13.2" customHeight="1" x14ac:dyDescent="0.25">
      <c r="A146" s="82"/>
      <c r="B146" s="52" t="s">
        <v>78</v>
      </c>
      <c r="C146" s="53" t="s">
        <v>173</v>
      </c>
      <c r="D146" s="53" t="s">
        <v>173</v>
      </c>
      <c r="E146" s="53" t="s">
        <v>173</v>
      </c>
      <c r="F146" s="53" t="s">
        <v>173</v>
      </c>
      <c r="G146" s="53" t="s">
        <v>173</v>
      </c>
      <c r="H146" s="53" t="s">
        <v>173</v>
      </c>
      <c r="I146" s="53" t="s">
        <v>173</v>
      </c>
      <c r="J146" s="53" t="s">
        <v>173</v>
      </c>
      <c r="K146" s="53" t="s">
        <v>173</v>
      </c>
      <c r="L146" s="53" t="s">
        <v>173</v>
      </c>
      <c r="M146" s="53" t="s">
        <v>173</v>
      </c>
      <c r="N146" s="53" t="s">
        <v>173</v>
      </c>
      <c r="O146" s="91" t="s">
        <v>173</v>
      </c>
    </row>
    <row r="147" spans="1:15" ht="13.2" customHeight="1" x14ac:dyDescent="0.25">
      <c r="A147" s="82"/>
      <c r="B147" s="48" t="s">
        <v>79</v>
      </c>
      <c r="C147" s="54" t="s">
        <v>173</v>
      </c>
      <c r="D147" s="54" t="s">
        <v>173</v>
      </c>
      <c r="E147" s="54" t="s">
        <v>173</v>
      </c>
      <c r="F147" s="54" t="s">
        <v>173</v>
      </c>
      <c r="G147" s="54" t="s">
        <v>173</v>
      </c>
      <c r="H147" s="54" t="s">
        <v>173</v>
      </c>
      <c r="I147" s="54" t="s">
        <v>173</v>
      </c>
      <c r="J147" s="54" t="s">
        <v>173</v>
      </c>
      <c r="K147" s="54" t="s">
        <v>173</v>
      </c>
      <c r="L147" s="54" t="s">
        <v>173</v>
      </c>
      <c r="M147" s="54" t="s">
        <v>173</v>
      </c>
      <c r="N147" s="54" t="s">
        <v>173</v>
      </c>
      <c r="O147" s="91" t="s">
        <v>173</v>
      </c>
    </row>
    <row r="148" spans="1:15" ht="13.2" customHeight="1" x14ac:dyDescent="0.25">
      <c r="A148" s="83"/>
      <c r="B148" s="49" t="s">
        <v>195</v>
      </c>
      <c r="C148" s="50">
        <f>C113*(1+$K$65)</f>
        <v>228581.29108357016</v>
      </c>
      <c r="D148" s="50">
        <v>0</v>
      </c>
      <c r="E148" s="50">
        <v>0</v>
      </c>
      <c r="F148" s="50">
        <v>0</v>
      </c>
      <c r="G148" s="50">
        <v>0</v>
      </c>
      <c r="H148" s="50">
        <v>0</v>
      </c>
      <c r="I148" s="50">
        <v>0</v>
      </c>
      <c r="J148" s="50">
        <v>0</v>
      </c>
      <c r="K148" s="50">
        <v>0</v>
      </c>
      <c r="L148" s="50">
        <v>0</v>
      </c>
      <c r="M148" s="50">
        <v>0</v>
      </c>
      <c r="N148" s="50">
        <v>0</v>
      </c>
      <c r="O148" s="90">
        <f t="shared" ref="O148:O151" si="141">SUM(C148:N148)</f>
        <v>228581.29108357016</v>
      </c>
    </row>
    <row r="149" spans="1:15" ht="13.2" customHeight="1" x14ac:dyDescent="0.25">
      <c r="A149" s="82"/>
      <c r="B149" s="51" t="s">
        <v>178</v>
      </c>
      <c r="C149" s="50">
        <f>C114*(1+$K$65)</f>
        <v>1731676.4476028041</v>
      </c>
      <c r="D149" s="50">
        <f t="shared" ref="D149:N149" si="142">D114*(1+$K$65)</f>
        <v>1731676.4476028041</v>
      </c>
      <c r="E149" s="50">
        <f t="shared" si="142"/>
        <v>1731676.4476028041</v>
      </c>
      <c r="F149" s="50">
        <f t="shared" si="142"/>
        <v>1731676.4476028041</v>
      </c>
      <c r="G149" s="50">
        <f t="shared" si="142"/>
        <v>1731676.4476028041</v>
      </c>
      <c r="H149" s="50">
        <f t="shared" si="142"/>
        <v>1731676.4476028041</v>
      </c>
      <c r="I149" s="50">
        <f t="shared" si="142"/>
        <v>1731676.4476028041</v>
      </c>
      <c r="J149" s="50">
        <f t="shared" si="142"/>
        <v>1731676.4476028041</v>
      </c>
      <c r="K149" s="50">
        <f t="shared" si="142"/>
        <v>1731676.4476028041</v>
      </c>
      <c r="L149" s="50">
        <f t="shared" si="142"/>
        <v>1731676.4476028041</v>
      </c>
      <c r="M149" s="50">
        <f t="shared" si="142"/>
        <v>1731676.4476028041</v>
      </c>
      <c r="N149" s="50">
        <f t="shared" si="142"/>
        <v>1731676.4476028041</v>
      </c>
      <c r="O149" s="90">
        <f t="shared" si="141"/>
        <v>20780117.371233653</v>
      </c>
    </row>
    <row r="150" spans="1:15" ht="13.2" customHeight="1" x14ac:dyDescent="0.25">
      <c r="A150" s="84"/>
      <c r="B150" s="51" t="s">
        <v>248</v>
      </c>
      <c r="C150" s="50">
        <f>C115*(1+$K$65)</f>
        <v>207801.17371233652</v>
      </c>
      <c r="D150" s="50">
        <f t="shared" ref="D150:N150" si="143">D115*(1+$K$65)</f>
        <v>207801.17371233652</v>
      </c>
      <c r="E150" s="50">
        <f t="shared" si="143"/>
        <v>207801.17371233652</v>
      </c>
      <c r="F150" s="50">
        <f t="shared" si="143"/>
        <v>207801.17371233652</v>
      </c>
      <c r="G150" s="50">
        <f t="shared" si="143"/>
        <v>207801.17371233652</v>
      </c>
      <c r="H150" s="50">
        <f t="shared" si="143"/>
        <v>207801.17371233652</v>
      </c>
      <c r="I150" s="50">
        <f t="shared" si="143"/>
        <v>207801.17371233652</v>
      </c>
      <c r="J150" s="50">
        <f t="shared" si="143"/>
        <v>207801.17371233652</v>
      </c>
      <c r="K150" s="50">
        <f t="shared" si="143"/>
        <v>207801.17371233652</v>
      </c>
      <c r="L150" s="50">
        <f t="shared" si="143"/>
        <v>207801.17371233652</v>
      </c>
      <c r="M150" s="50">
        <f t="shared" si="143"/>
        <v>207801.17371233652</v>
      </c>
      <c r="N150" s="50">
        <f t="shared" si="143"/>
        <v>207801.17371233652</v>
      </c>
      <c r="O150" s="90">
        <f t="shared" si="141"/>
        <v>2493614.084548038</v>
      </c>
    </row>
    <row r="151" spans="1:15" ht="13.2" customHeight="1" x14ac:dyDescent="0.25">
      <c r="A151" s="82"/>
      <c r="B151" s="46" t="s">
        <v>207</v>
      </c>
      <c r="C151" s="47">
        <f t="shared" ref="C151:N151" si="144">SUM(C148:C150)</f>
        <v>2168058.9123987108</v>
      </c>
      <c r="D151" s="47">
        <f t="shared" si="144"/>
        <v>1939477.6213151405</v>
      </c>
      <c r="E151" s="47">
        <f t="shared" si="144"/>
        <v>1939477.6213151405</v>
      </c>
      <c r="F151" s="47">
        <f t="shared" si="144"/>
        <v>1939477.6213151405</v>
      </c>
      <c r="G151" s="47">
        <f t="shared" si="144"/>
        <v>1939477.6213151405</v>
      </c>
      <c r="H151" s="47">
        <f t="shared" si="144"/>
        <v>1939477.6213151405</v>
      </c>
      <c r="I151" s="47">
        <f t="shared" si="144"/>
        <v>1939477.6213151405</v>
      </c>
      <c r="J151" s="47">
        <f t="shared" si="144"/>
        <v>1939477.6213151405</v>
      </c>
      <c r="K151" s="47">
        <f t="shared" si="144"/>
        <v>1939477.6213151405</v>
      </c>
      <c r="L151" s="47">
        <f t="shared" si="144"/>
        <v>1939477.6213151405</v>
      </c>
      <c r="M151" s="47">
        <f t="shared" si="144"/>
        <v>1939477.6213151405</v>
      </c>
      <c r="N151" s="47">
        <f t="shared" si="144"/>
        <v>1939477.6213151405</v>
      </c>
      <c r="O151" s="47">
        <f t="shared" si="141"/>
        <v>23502312.746865254</v>
      </c>
    </row>
    <row r="152" spans="1:15" ht="13.2" customHeight="1" x14ac:dyDescent="0.25">
      <c r="A152" s="82"/>
      <c r="B152" s="55" t="s">
        <v>83</v>
      </c>
      <c r="C152" s="59" t="s">
        <v>173</v>
      </c>
      <c r="D152" s="59" t="s">
        <v>173</v>
      </c>
      <c r="E152" s="59" t="s">
        <v>173</v>
      </c>
      <c r="F152" s="59" t="s">
        <v>173</v>
      </c>
      <c r="G152" s="59" t="s">
        <v>173</v>
      </c>
      <c r="H152" s="59" t="s">
        <v>173</v>
      </c>
      <c r="I152" s="59" t="s">
        <v>173</v>
      </c>
      <c r="J152" s="59" t="s">
        <v>173</v>
      </c>
      <c r="K152" s="59" t="s">
        <v>173</v>
      </c>
      <c r="L152" s="59" t="s">
        <v>173</v>
      </c>
      <c r="M152" s="59" t="s">
        <v>173</v>
      </c>
      <c r="N152" s="59" t="s">
        <v>173</v>
      </c>
      <c r="O152" s="91" t="s">
        <v>173</v>
      </c>
    </row>
    <row r="153" spans="1:15" ht="13.2" customHeight="1" x14ac:dyDescent="0.25">
      <c r="A153" s="82"/>
      <c r="B153" s="57" t="s">
        <v>210</v>
      </c>
      <c r="C153" s="89">
        <f t="shared" ref="C153:N153" si="145">C118*(1+$K$65)</f>
        <v>1719554.7124695848</v>
      </c>
      <c r="D153" s="89">
        <f t="shared" si="145"/>
        <v>2072816.7077805568</v>
      </c>
      <c r="E153" s="89">
        <f t="shared" si="145"/>
        <v>1911770.7981534954</v>
      </c>
      <c r="F153" s="89">
        <f t="shared" si="145"/>
        <v>1787090.0939260938</v>
      </c>
      <c r="G153" s="89">
        <f t="shared" si="145"/>
        <v>1641629.2723274587</v>
      </c>
      <c r="H153" s="89">
        <f t="shared" si="145"/>
        <v>2057231.6197521312</v>
      </c>
      <c r="I153" s="89">
        <f t="shared" si="145"/>
        <v>2400103.5563774863</v>
      </c>
      <c r="J153" s="89">
        <f t="shared" si="145"/>
        <v>2301397.9988641264</v>
      </c>
      <c r="K153" s="89">
        <f t="shared" si="145"/>
        <v>1776700.0352404772</v>
      </c>
      <c r="L153" s="89">
        <f t="shared" si="145"/>
        <v>1823455.299325753</v>
      </c>
      <c r="M153" s="89">
        <f t="shared" si="145"/>
        <v>1735139.8004980099</v>
      </c>
      <c r="N153" s="89">
        <f t="shared" si="145"/>
        <v>1875405.5927538367</v>
      </c>
      <c r="O153" s="92">
        <f t="shared" ref="O153:O162" si="146">SUM(C153:N153)</f>
        <v>23102295.48746901</v>
      </c>
    </row>
    <row r="154" spans="1:15" ht="13.2" customHeight="1" x14ac:dyDescent="0.25">
      <c r="A154" s="82"/>
      <c r="B154" s="57" t="s">
        <v>203</v>
      </c>
      <c r="C154" s="89">
        <f t="shared" ref="C154:N154" si="147">C119*(1+$K$65)</f>
        <v>6208060.0646560518</v>
      </c>
      <c r="D154" s="89">
        <f t="shared" si="147"/>
        <v>6686002.7641944271</v>
      </c>
      <c r="E154" s="89">
        <f t="shared" si="147"/>
        <v>7496427.3416725388</v>
      </c>
      <c r="F154" s="89">
        <f t="shared" si="147"/>
        <v>5683362.1010324052</v>
      </c>
      <c r="G154" s="89">
        <f t="shared" si="147"/>
        <v>7563962.7231290489</v>
      </c>
      <c r="H154" s="89">
        <f t="shared" si="147"/>
        <v>7127580.2583331419</v>
      </c>
      <c r="I154" s="89">
        <f t="shared" si="147"/>
        <v>6540541.942595792</v>
      </c>
      <c r="J154" s="89">
        <f t="shared" si="147"/>
        <v>7776958.9261841932</v>
      </c>
      <c r="K154" s="89">
        <f t="shared" si="147"/>
        <v>7600327.9285287065</v>
      </c>
      <c r="L154" s="89">
        <f t="shared" si="147"/>
        <v>7600327.9285287065</v>
      </c>
      <c r="M154" s="89">
        <f t="shared" si="147"/>
        <v>5906748.362773167</v>
      </c>
      <c r="N154" s="89">
        <f t="shared" si="147"/>
        <v>7283431.1386173954</v>
      </c>
      <c r="O154" s="92">
        <f t="shared" si="146"/>
        <v>83473731.480245575</v>
      </c>
    </row>
    <row r="155" spans="1:15" ht="13.2" customHeight="1" x14ac:dyDescent="0.25">
      <c r="A155" s="82"/>
      <c r="B155" s="58" t="s">
        <v>84</v>
      </c>
      <c r="C155" s="89">
        <f t="shared" ref="C155:N155" si="148">C120*(1+$K$65)</f>
        <v>5491146.0153484903</v>
      </c>
      <c r="D155" s="89">
        <f t="shared" si="148"/>
        <v>5995063.8616009085</v>
      </c>
      <c r="E155" s="89">
        <f t="shared" si="148"/>
        <v>6015843.9789721435</v>
      </c>
      <c r="F155" s="89">
        <f t="shared" si="148"/>
        <v>6213255.0939988606</v>
      </c>
      <c r="G155" s="89">
        <f t="shared" si="148"/>
        <v>7350966.5200739037</v>
      </c>
      <c r="H155" s="89">
        <f t="shared" si="148"/>
        <v>6358715.9155974966</v>
      </c>
      <c r="I155" s="89">
        <f t="shared" si="148"/>
        <v>6602882.2947094953</v>
      </c>
      <c r="J155" s="89">
        <f t="shared" si="148"/>
        <v>7600327.9285287065</v>
      </c>
      <c r="K155" s="89">
        <f t="shared" si="148"/>
        <v>6956144.2900204659</v>
      </c>
      <c r="L155" s="89">
        <f t="shared" si="148"/>
        <v>6945754.2313348483</v>
      </c>
      <c r="M155" s="89">
        <f t="shared" si="148"/>
        <v>7434086.9895588392</v>
      </c>
      <c r="N155" s="89">
        <f t="shared" si="148"/>
        <v>5969088.7148868674</v>
      </c>
      <c r="O155" s="92">
        <f t="shared" si="146"/>
        <v>78933275.834631041</v>
      </c>
    </row>
    <row r="156" spans="1:15" ht="13.2" customHeight="1" x14ac:dyDescent="0.25">
      <c r="A156" s="82"/>
      <c r="B156" s="57" t="s">
        <v>85</v>
      </c>
      <c r="C156" s="89">
        <f t="shared" ref="C156:N156" si="149">C121*(1+$K$65)</f>
        <v>6379496.0329687316</v>
      </c>
      <c r="D156" s="89">
        <f t="shared" si="149"/>
        <v>5459975.8392916434</v>
      </c>
      <c r="E156" s="89">
        <f t="shared" si="149"/>
        <v>5652191.9249755535</v>
      </c>
      <c r="F156" s="89">
        <f t="shared" si="149"/>
        <v>5740507.4238032959</v>
      </c>
      <c r="G156" s="89">
        <f t="shared" si="149"/>
        <v>7719813.6034133015</v>
      </c>
      <c r="H156" s="89">
        <f t="shared" si="149"/>
        <v>5667777.0130039798</v>
      </c>
      <c r="I156" s="89">
        <f t="shared" si="149"/>
        <v>6576907.1479954505</v>
      </c>
      <c r="J156" s="89">
        <f t="shared" si="149"/>
        <v>5205419.4014940299</v>
      </c>
      <c r="K156" s="89">
        <f t="shared" si="149"/>
        <v>6769123.2336793635</v>
      </c>
      <c r="L156" s="89">
        <f t="shared" si="149"/>
        <v>5376855.369806706</v>
      </c>
      <c r="M156" s="89">
        <f t="shared" si="149"/>
        <v>6847048.6738214875</v>
      </c>
      <c r="N156" s="89">
        <f t="shared" si="149"/>
        <v>6519761.8252245579</v>
      </c>
      <c r="O156" s="92">
        <f t="shared" si="146"/>
        <v>73914877.489478111</v>
      </c>
    </row>
    <row r="157" spans="1:15" ht="13.2" customHeight="1" x14ac:dyDescent="0.25">
      <c r="A157" s="84"/>
      <c r="B157" s="58" t="s">
        <v>249</v>
      </c>
      <c r="C157" s="89">
        <f t="shared" ref="C157:N157" si="150">C145*5%</f>
        <v>9616780.236308191</v>
      </c>
      <c r="D157" s="89">
        <f t="shared" si="150"/>
        <v>9616780.236308191</v>
      </c>
      <c r="E157" s="89">
        <f t="shared" si="150"/>
        <v>9616780.236308191</v>
      </c>
      <c r="F157" s="89">
        <f t="shared" si="150"/>
        <v>9616780.236308191</v>
      </c>
      <c r="G157" s="89">
        <f t="shared" si="150"/>
        <v>9616780.236308191</v>
      </c>
      <c r="H157" s="89">
        <f t="shared" si="150"/>
        <v>9616780.236308191</v>
      </c>
      <c r="I157" s="89">
        <f t="shared" si="150"/>
        <v>9616780.236308191</v>
      </c>
      <c r="J157" s="89">
        <f t="shared" si="150"/>
        <v>9616780.236308191</v>
      </c>
      <c r="K157" s="89">
        <f t="shared" si="150"/>
        <v>9616780.236308191</v>
      </c>
      <c r="L157" s="89">
        <f t="shared" si="150"/>
        <v>9616780.236308191</v>
      </c>
      <c r="M157" s="89">
        <f t="shared" si="150"/>
        <v>9616780.236308191</v>
      </c>
      <c r="N157" s="89">
        <f t="shared" si="150"/>
        <v>9616780.236308191</v>
      </c>
      <c r="O157" s="92">
        <f t="shared" si="146"/>
        <v>115401362.83569826</v>
      </c>
    </row>
    <row r="158" spans="1:15" ht="13.2" customHeight="1" x14ac:dyDescent="0.25">
      <c r="A158" s="84"/>
      <c r="B158" s="58" t="s">
        <v>251</v>
      </c>
      <c r="C158" s="89">
        <f>-PMT(4%,18*12,(150000000*8)/(1+4%)^18)</f>
        <v>23699110.369091634</v>
      </c>
      <c r="D158" s="89">
        <f t="shared" ref="D158:N158" si="151">-PMT(4%,18*12,(150000000*8)/(1+4%)^18)</f>
        <v>23699110.369091634</v>
      </c>
      <c r="E158" s="89">
        <f t="shared" si="151"/>
        <v>23699110.369091634</v>
      </c>
      <c r="F158" s="89">
        <f t="shared" si="151"/>
        <v>23699110.369091634</v>
      </c>
      <c r="G158" s="89">
        <f t="shared" si="151"/>
        <v>23699110.369091634</v>
      </c>
      <c r="H158" s="89">
        <f t="shared" si="151"/>
        <v>23699110.369091634</v>
      </c>
      <c r="I158" s="89">
        <f t="shared" si="151"/>
        <v>23699110.369091634</v>
      </c>
      <c r="J158" s="89">
        <f t="shared" si="151"/>
        <v>23699110.369091634</v>
      </c>
      <c r="K158" s="89">
        <f t="shared" si="151"/>
        <v>23699110.369091634</v>
      </c>
      <c r="L158" s="89">
        <f t="shared" si="151"/>
        <v>23699110.369091634</v>
      </c>
      <c r="M158" s="89">
        <f t="shared" si="151"/>
        <v>23699110.369091634</v>
      </c>
      <c r="N158" s="89">
        <f t="shared" si="151"/>
        <v>23699110.369091634</v>
      </c>
      <c r="O158" s="92">
        <f t="shared" si="146"/>
        <v>284389324.42909962</v>
      </c>
    </row>
    <row r="159" spans="1:15" ht="13.2" customHeight="1" x14ac:dyDescent="0.25">
      <c r="A159" s="84"/>
      <c r="B159" s="58" t="s">
        <v>180</v>
      </c>
      <c r="C159" s="89">
        <f t="shared" ref="C159:N159" si="152">C124*(1+$K$65)</f>
        <v>7543182.6057578139</v>
      </c>
      <c r="D159" s="89">
        <f t="shared" si="152"/>
        <v>7444477.048244454</v>
      </c>
      <c r="E159" s="89">
        <f t="shared" si="152"/>
        <v>6187279.9472848205</v>
      </c>
      <c r="F159" s="89">
        <f t="shared" si="152"/>
        <v>6831463.5857930649</v>
      </c>
      <c r="G159" s="89">
        <f t="shared" si="152"/>
        <v>5387245.4284923244</v>
      </c>
      <c r="H159" s="89">
        <f t="shared" si="152"/>
        <v>5989868.8322581006</v>
      </c>
      <c r="I159" s="89">
        <f t="shared" si="152"/>
        <v>6197670.005970438</v>
      </c>
      <c r="J159" s="89">
        <f t="shared" si="152"/>
        <v>7345771.490731095</v>
      </c>
      <c r="K159" s="89">
        <f t="shared" si="152"/>
        <v>5750897.4824889135</v>
      </c>
      <c r="L159" s="89">
        <f t="shared" si="152"/>
        <v>6156109.7712279689</v>
      </c>
      <c r="M159" s="89">
        <f t="shared" si="152"/>
        <v>6166499.8299135845</v>
      </c>
      <c r="N159" s="89">
        <f t="shared" si="152"/>
        <v>6010648.9496293338</v>
      </c>
      <c r="O159" s="92">
        <f t="shared" si="146"/>
        <v>77011114.97779192</v>
      </c>
    </row>
    <row r="160" spans="1:15" ht="13.2" customHeight="1" x14ac:dyDescent="0.25">
      <c r="A160" s="84"/>
      <c r="B160" s="58" t="s">
        <v>86</v>
      </c>
      <c r="C160" s="89">
        <f t="shared" ref="C160:N160" si="153">C125*(1+$K$65)</f>
        <v>5491146.0153484903</v>
      </c>
      <c r="D160" s="89">
        <f t="shared" si="153"/>
        <v>5428805.6632347917</v>
      </c>
      <c r="E160" s="89">
        <f t="shared" si="153"/>
        <v>5267759.7536077322</v>
      </c>
      <c r="F160" s="89">
        <f t="shared" si="153"/>
        <v>6873023.8205355294</v>
      </c>
      <c r="G160" s="89">
        <f t="shared" si="153"/>
        <v>6395081.1209971551</v>
      </c>
      <c r="H160" s="89">
        <f t="shared" si="153"/>
        <v>5324905.076378624</v>
      </c>
      <c r="I160" s="89">
        <f t="shared" si="153"/>
        <v>7221090.7865036959</v>
      </c>
      <c r="J160" s="89">
        <f t="shared" si="153"/>
        <v>6930169.143306423</v>
      </c>
      <c r="K160" s="89">
        <f t="shared" si="153"/>
        <v>5579461.5141762365</v>
      </c>
      <c r="L160" s="89">
        <f t="shared" si="153"/>
        <v>5771677.5998601476</v>
      </c>
      <c r="M160" s="89">
        <f t="shared" si="153"/>
        <v>7018484.6421341663</v>
      </c>
      <c r="N160" s="89">
        <f t="shared" si="153"/>
        <v>7387331.7254735641</v>
      </c>
      <c r="O160" s="92">
        <f t="shared" si="146"/>
        <v>74688936.861556545</v>
      </c>
    </row>
    <row r="161" spans="1:25" ht="13.2" customHeight="1" x14ac:dyDescent="0.25">
      <c r="A161" s="82"/>
      <c r="B161" s="46" t="s">
        <v>208</v>
      </c>
      <c r="C161" s="47">
        <f t="shared" ref="C161:N161" si="154">SUM(C153:C160)</f>
        <v>66148476.051948994</v>
      </c>
      <c r="D161" s="47">
        <f t="shared" si="154"/>
        <v>66403032.489746608</v>
      </c>
      <c r="E161" s="47">
        <f t="shared" si="154"/>
        <v>65847164.35006611</v>
      </c>
      <c r="F161" s="47">
        <f t="shared" si="154"/>
        <v>66444592.724489078</v>
      </c>
      <c r="G161" s="47">
        <f t="shared" si="154"/>
        <v>69374589.273833022</v>
      </c>
      <c r="H161" s="47">
        <f t="shared" si="154"/>
        <v>65841969.320723295</v>
      </c>
      <c r="I161" s="47">
        <f t="shared" si="154"/>
        <v>68855086.339552179</v>
      </c>
      <c r="J161" s="47">
        <f t="shared" si="154"/>
        <v>70475935.494508401</v>
      </c>
      <c r="K161" s="47">
        <f t="shared" si="154"/>
        <v>67748545.089533985</v>
      </c>
      <c r="L161" s="47">
        <f t="shared" si="154"/>
        <v>66990070.805483952</v>
      </c>
      <c r="M161" s="47">
        <f t="shared" si="154"/>
        <v>68423898.904099077</v>
      </c>
      <c r="N161" s="47">
        <f t="shared" si="154"/>
        <v>68361558.551985383</v>
      </c>
      <c r="O161" s="47">
        <f t="shared" si="146"/>
        <v>810914919.39597023</v>
      </c>
    </row>
    <row r="162" spans="1:25" ht="13.2" customHeight="1" x14ac:dyDescent="0.25">
      <c r="A162" s="82"/>
      <c r="B162" s="60" t="s">
        <v>87</v>
      </c>
      <c r="C162" s="47">
        <f t="shared" ref="C162:N162" si="155">C151+C161</f>
        <v>68316534.964347705</v>
      </c>
      <c r="D162" s="47">
        <f t="shared" si="155"/>
        <v>68342510.111061752</v>
      </c>
      <c r="E162" s="47">
        <f t="shared" si="155"/>
        <v>67786641.971381247</v>
      </c>
      <c r="F162" s="47">
        <f t="shared" si="155"/>
        <v>68384070.345804214</v>
      </c>
      <c r="G162" s="47">
        <f t="shared" si="155"/>
        <v>71314066.895148158</v>
      </c>
      <c r="H162" s="47">
        <f t="shared" si="155"/>
        <v>67781446.942038432</v>
      </c>
      <c r="I162" s="47">
        <f t="shared" si="155"/>
        <v>70794563.960867316</v>
      </c>
      <c r="J162" s="47">
        <f t="shared" si="155"/>
        <v>72415413.115823537</v>
      </c>
      <c r="K162" s="47">
        <f t="shared" si="155"/>
        <v>69688022.710849121</v>
      </c>
      <c r="L162" s="47">
        <f t="shared" si="155"/>
        <v>68929548.426799089</v>
      </c>
      <c r="M162" s="47">
        <f t="shared" si="155"/>
        <v>70363376.525414214</v>
      </c>
      <c r="N162" s="47">
        <f t="shared" si="155"/>
        <v>70301036.17330052</v>
      </c>
      <c r="O162" s="47">
        <f t="shared" si="146"/>
        <v>834417232.14283526</v>
      </c>
    </row>
    <row r="163" spans="1:25" s="11" customFormat="1" x14ac:dyDescent="0.25">
      <c r="A163" s="82"/>
      <c r="B163" s="108" t="s">
        <v>204</v>
      </c>
      <c r="C163" s="109">
        <f>$O162*(3/12)/12</f>
        <v>17383692.336309068</v>
      </c>
      <c r="D163" s="109">
        <f t="shared" ref="D163" si="156">$O162*(3/12)/12</f>
        <v>17383692.336309068</v>
      </c>
      <c r="E163" s="109">
        <f t="shared" ref="E163" si="157">$O162*(3/12)/12</f>
        <v>17383692.336309068</v>
      </c>
      <c r="F163" s="109">
        <f t="shared" ref="F163" si="158">$O162*(3/12)/12</f>
        <v>17383692.336309068</v>
      </c>
      <c r="G163" s="109">
        <f t="shared" ref="G163" si="159">$O162*(3/12)/12</f>
        <v>17383692.336309068</v>
      </c>
      <c r="H163" s="109">
        <f t="shared" ref="H163" si="160">$O162*(3/12)/12</f>
        <v>17383692.336309068</v>
      </c>
      <c r="I163" s="109">
        <f t="shared" ref="I163" si="161">$O162*(3/12)/12</f>
        <v>17383692.336309068</v>
      </c>
      <c r="J163" s="109">
        <f t="shared" ref="J163" si="162">$O162*(3/12)/12</f>
        <v>17383692.336309068</v>
      </c>
      <c r="K163" s="109">
        <f t="shared" ref="K163" si="163">$O162*(3/12)/12</f>
        <v>17383692.336309068</v>
      </c>
      <c r="L163" s="109">
        <f t="shared" ref="L163" si="164">$O162*(3/12)/12</f>
        <v>17383692.336309068</v>
      </c>
      <c r="M163" s="109">
        <f t="shared" ref="M163" si="165">$O162*(3/12)/12</f>
        <v>17383692.336309068</v>
      </c>
      <c r="N163" s="109">
        <f t="shared" ref="N163" si="166">$O162*(3/12)/12</f>
        <v>17383692.336309068</v>
      </c>
      <c r="O163" s="109">
        <f t="shared" ref="O163:O166" si="167">SUM(C163:N163)</f>
        <v>208604308.03570887</v>
      </c>
      <c r="P163" s="43"/>
      <c r="Q163" s="43"/>
      <c r="R163" s="40"/>
      <c r="S163" s="40"/>
      <c r="T163" s="40"/>
      <c r="U163" s="40"/>
      <c r="V163" s="40"/>
      <c r="W163" s="40"/>
      <c r="X163" s="40"/>
      <c r="Y163" s="40"/>
    </row>
    <row r="164" spans="1:25" s="11" customFormat="1" x14ac:dyDescent="0.25">
      <c r="A164" s="82"/>
      <c r="B164" s="108" t="s">
        <v>82</v>
      </c>
      <c r="C164" s="109">
        <f>'6. Mortgage payment'!$C$7</f>
        <v>28168245.060798287</v>
      </c>
      <c r="D164" s="109">
        <f>'6. Mortgage payment'!$C$7</f>
        <v>28168245.060798287</v>
      </c>
      <c r="E164" s="109">
        <f>'6. Mortgage payment'!$C$7</f>
        <v>28168245.060798287</v>
      </c>
      <c r="F164" s="109">
        <f>'6. Mortgage payment'!$C$7</f>
        <v>28168245.060798287</v>
      </c>
      <c r="G164" s="109">
        <f>'6. Mortgage payment'!$C$7</f>
        <v>28168245.060798287</v>
      </c>
      <c r="H164" s="109">
        <f>'6. Mortgage payment'!$C$7</f>
        <v>28168245.060798287</v>
      </c>
      <c r="I164" s="109">
        <f>'6. Mortgage payment'!$C$7</f>
        <v>28168245.060798287</v>
      </c>
      <c r="J164" s="109">
        <f>'6. Mortgage payment'!$C$7</f>
        <v>28168245.060798287</v>
      </c>
      <c r="K164" s="109">
        <f>'6. Mortgage payment'!$C$7</f>
        <v>28168245.060798287</v>
      </c>
      <c r="L164" s="109">
        <f>'6. Mortgage payment'!$C$7</f>
        <v>28168245.060798287</v>
      </c>
      <c r="M164" s="109">
        <f>'6. Mortgage payment'!$C$7</f>
        <v>28168245.060798287</v>
      </c>
      <c r="N164" s="109">
        <f>'6. Mortgage payment'!$C$7</f>
        <v>28168245.060798287</v>
      </c>
      <c r="O164" s="109">
        <f t="shared" si="167"/>
        <v>338018940.72957945</v>
      </c>
      <c r="P164" s="43"/>
      <c r="Q164" s="43"/>
      <c r="R164" s="40"/>
      <c r="S164" s="40"/>
      <c r="T164" s="40"/>
      <c r="U164" s="40"/>
      <c r="V164" s="40"/>
      <c r="W164" s="40"/>
      <c r="X164" s="40"/>
      <c r="Y164" s="40"/>
    </row>
    <row r="165" spans="1:25" s="11" customFormat="1" x14ac:dyDescent="0.25">
      <c r="A165" s="82"/>
      <c r="B165" s="108" t="s">
        <v>251</v>
      </c>
      <c r="C165" s="109">
        <f>-PMT(4%,18*12,(150000000*8)/(1+4%)^18)</f>
        <v>23699110.369091634</v>
      </c>
      <c r="D165" s="109">
        <f t="shared" ref="D165:N165" si="168">-PMT(4%,18*12,(150000000*8)/(1+4%)^18)</f>
        <v>23699110.369091634</v>
      </c>
      <c r="E165" s="109">
        <f t="shared" si="168"/>
        <v>23699110.369091634</v>
      </c>
      <c r="F165" s="109">
        <f t="shared" si="168"/>
        <v>23699110.369091634</v>
      </c>
      <c r="G165" s="109">
        <f t="shared" si="168"/>
        <v>23699110.369091634</v>
      </c>
      <c r="H165" s="109">
        <f t="shared" si="168"/>
        <v>23699110.369091634</v>
      </c>
      <c r="I165" s="109">
        <f t="shared" si="168"/>
        <v>23699110.369091634</v>
      </c>
      <c r="J165" s="109">
        <f t="shared" si="168"/>
        <v>23699110.369091634</v>
      </c>
      <c r="K165" s="109">
        <f t="shared" si="168"/>
        <v>23699110.369091634</v>
      </c>
      <c r="L165" s="109">
        <f t="shared" si="168"/>
        <v>23699110.369091634</v>
      </c>
      <c r="M165" s="109">
        <f t="shared" si="168"/>
        <v>23699110.369091634</v>
      </c>
      <c r="N165" s="109">
        <f t="shared" si="168"/>
        <v>23699110.369091634</v>
      </c>
      <c r="O165" s="109">
        <f t="shared" ref="O165" si="169">SUM(C165:N165)</f>
        <v>284389324.42909962</v>
      </c>
      <c r="P165" s="43"/>
      <c r="Q165" s="43"/>
      <c r="R165" s="40"/>
      <c r="S165" s="40"/>
      <c r="T165" s="40"/>
      <c r="U165" s="40"/>
      <c r="V165" s="40"/>
      <c r="W165" s="40"/>
      <c r="X165" s="40"/>
      <c r="Y165" s="40"/>
    </row>
    <row r="166" spans="1:25" s="11" customFormat="1" x14ac:dyDescent="0.25">
      <c r="A166" s="82"/>
      <c r="B166" s="108" t="s">
        <v>364</v>
      </c>
      <c r="C166" s="109">
        <f>C131*(1+$K$65)</f>
        <v>1897978.5277440003</v>
      </c>
      <c r="D166" s="109">
        <v>0</v>
      </c>
      <c r="E166" s="109">
        <v>0</v>
      </c>
      <c r="F166" s="109">
        <v>0</v>
      </c>
      <c r="G166" s="109">
        <v>0</v>
      </c>
      <c r="H166" s="109">
        <v>0</v>
      </c>
      <c r="I166" s="109">
        <v>0</v>
      </c>
      <c r="J166" s="109">
        <v>0</v>
      </c>
      <c r="K166" s="109">
        <v>0</v>
      </c>
      <c r="L166" s="109">
        <v>0</v>
      </c>
      <c r="M166" s="109">
        <v>0</v>
      </c>
      <c r="N166" s="109">
        <v>0</v>
      </c>
      <c r="O166" s="109">
        <f t="shared" si="167"/>
        <v>1897978.5277440003</v>
      </c>
      <c r="P166" s="43"/>
      <c r="Q166" s="43"/>
      <c r="R166" s="40"/>
      <c r="S166" s="40"/>
      <c r="T166" s="40"/>
      <c r="U166" s="40"/>
      <c r="V166" s="40"/>
      <c r="W166" s="40"/>
      <c r="X166" s="40"/>
      <c r="Y166" s="40"/>
    </row>
    <row r="167" spans="1:25" s="11" customFormat="1" x14ac:dyDescent="0.25">
      <c r="A167" s="82"/>
      <c r="B167" s="60" t="s">
        <v>206</v>
      </c>
      <c r="C167" s="61">
        <f>C145-C162-C163-C164-C166-C165</f>
        <v>52870043.467873126</v>
      </c>
      <c r="D167" s="61">
        <f t="shared" ref="D167:N167" si="170">D145-D162-D163-D164-D166-D165</f>
        <v>54742046.84890306</v>
      </c>
      <c r="E167" s="61">
        <f t="shared" si="170"/>
        <v>55297914.988583565</v>
      </c>
      <c r="F167" s="61">
        <f t="shared" si="170"/>
        <v>54700486.614160597</v>
      </c>
      <c r="G167" s="61">
        <f t="shared" si="170"/>
        <v>51770490.064816654</v>
      </c>
      <c r="H167" s="61">
        <f t="shared" si="170"/>
        <v>55303110.017926395</v>
      </c>
      <c r="I167" s="61">
        <f t="shared" si="170"/>
        <v>52289992.999097496</v>
      </c>
      <c r="J167" s="61">
        <f t="shared" si="170"/>
        <v>50669143.844141275</v>
      </c>
      <c r="K167" s="61">
        <f t="shared" si="170"/>
        <v>53396534.249115705</v>
      </c>
      <c r="L167" s="61">
        <f t="shared" si="170"/>
        <v>54155008.533165723</v>
      </c>
      <c r="M167" s="61">
        <f t="shared" si="170"/>
        <v>52721180.434550613</v>
      </c>
      <c r="N167" s="61">
        <f t="shared" si="170"/>
        <v>52783520.786664307</v>
      </c>
      <c r="O167" s="47">
        <f t="shared" ref="O167" si="171">SUM(C167:N167)</f>
        <v>640699472.84899855</v>
      </c>
      <c r="P167" s="43"/>
      <c r="Q167" s="43"/>
      <c r="R167" s="40"/>
      <c r="S167" s="40"/>
      <c r="T167" s="40"/>
      <c r="U167" s="40"/>
      <c r="V167" s="40"/>
      <c r="W167" s="40"/>
      <c r="X167" s="40"/>
      <c r="Y167" s="40"/>
    </row>
    <row r="168" spans="1:25" ht="13.2" customHeight="1" x14ac:dyDescent="0.25">
      <c r="A168" s="85"/>
      <c r="B168" s="40"/>
      <c r="C168" s="40"/>
      <c r="D168" s="40"/>
      <c r="E168" s="40"/>
      <c r="F168" s="40"/>
      <c r="G168" s="40"/>
      <c r="H168" s="40"/>
      <c r="I168" s="40"/>
      <c r="J168" s="40"/>
      <c r="K168" s="40"/>
      <c r="L168" s="353" t="s">
        <v>217</v>
      </c>
      <c r="M168" s="354"/>
      <c r="N168" s="350">
        <f>SUM(C167:N167)+N133</f>
        <v>4413289048.7046661</v>
      </c>
      <c r="O168" s="40"/>
    </row>
    <row r="169" spans="1:25" ht="13.2" customHeight="1" x14ac:dyDescent="0.25">
      <c r="A169" s="85"/>
      <c r="B169" s="40"/>
      <c r="C169" s="40"/>
      <c r="D169" s="40"/>
      <c r="E169" s="40"/>
      <c r="F169" s="40"/>
      <c r="G169" s="40"/>
      <c r="H169" s="40"/>
      <c r="I169" s="40"/>
      <c r="J169" s="40"/>
      <c r="K169" s="40"/>
      <c r="L169" s="320"/>
      <c r="M169" s="355"/>
      <c r="N169" s="351"/>
      <c r="O169" s="40"/>
    </row>
    <row r="170" spans="1:25" ht="13.2" customHeight="1" x14ac:dyDescent="0.25">
      <c r="A170" s="85"/>
      <c r="B170" s="319" t="s">
        <v>632</v>
      </c>
      <c r="C170" s="352" t="s">
        <v>173</v>
      </c>
      <c r="D170" s="352"/>
      <c r="E170" s="352"/>
      <c r="F170" s="352"/>
      <c r="G170" s="352"/>
      <c r="H170" s="352"/>
      <c r="I170" s="40"/>
      <c r="J170" s="358" t="s">
        <v>231</v>
      </c>
      <c r="K170" s="359">
        <v>0.04</v>
      </c>
      <c r="L170" s="40"/>
      <c r="M170" s="40"/>
      <c r="N170" s="40"/>
      <c r="O170" s="361"/>
    </row>
    <row r="171" spans="1:25" ht="13.2" customHeight="1" x14ac:dyDescent="0.25">
      <c r="A171" s="85"/>
      <c r="B171" s="319"/>
      <c r="C171" s="352"/>
      <c r="D171" s="352"/>
      <c r="E171" s="352"/>
      <c r="F171" s="352"/>
      <c r="G171" s="352"/>
      <c r="H171" s="352"/>
      <c r="I171" s="40"/>
      <c r="J171" s="358"/>
      <c r="K171" s="360"/>
      <c r="L171" s="40"/>
      <c r="M171" s="40"/>
      <c r="N171" s="40"/>
      <c r="O171" s="362"/>
    </row>
    <row r="172" spans="1:25" ht="13.2" customHeight="1" x14ac:dyDescent="0.25">
      <c r="A172" s="85"/>
      <c r="B172" s="319"/>
      <c r="C172" s="352"/>
      <c r="D172" s="352"/>
      <c r="E172" s="352"/>
      <c r="F172" s="352"/>
      <c r="G172" s="352"/>
      <c r="H172" s="352"/>
      <c r="I172" s="40"/>
      <c r="J172" s="40"/>
      <c r="K172" s="40"/>
      <c r="L172" s="40"/>
      <c r="M172" s="40"/>
      <c r="N172" s="40"/>
      <c r="O172" s="40"/>
    </row>
    <row r="175" spans="1:25" ht="24.6" customHeight="1" x14ac:dyDescent="0.25">
      <c r="A175" s="96"/>
      <c r="B175" s="348" t="s">
        <v>257</v>
      </c>
      <c r="C175" s="348"/>
      <c r="D175" s="348"/>
      <c r="E175" s="348"/>
      <c r="F175" s="348"/>
      <c r="G175" s="348"/>
      <c r="H175" s="348"/>
      <c r="I175" s="348"/>
      <c r="J175" s="348"/>
      <c r="K175" s="348"/>
      <c r="L175" s="348"/>
      <c r="M175" s="348"/>
      <c r="N175" s="348"/>
      <c r="O175" s="348"/>
    </row>
    <row r="176" spans="1:25" ht="24.6" customHeight="1" x14ac:dyDescent="0.25">
      <c r="A176" s="96"/>
      <c r="B176" s="349"/>
      <c r="C176" s="349"/>
      <c r="D176" s="349"/>
      <c r="E176" s="349"/>
      <c r="F176" s="349"/>
      <c r="G176" s="349"/>
      <c r="H176" s="349"/>
      <c r="I176" s="349"/>
      <c r="J176" s="349"/>
      <c r="K176" s="349"/>
      <c r="L176" s="349"/>
      <c r="M176" s="349"/>
      <c r="N176" s="349"/>
      <c r="O176" s="349"/>
    </row>
    <row r="177" spans="1:15" ht="13.2" customHeight="1" x14ac:dyDescent="0.25">
      <c r="A177" s="82"/>
      <c r="B177" s="41"/>
      <c r="C177" s="42" t="s">
        <v>66</v>
      </c>
      <c r="D177" s="42" t="s">
        <v>67</v>
      </c>
      <c r="E177" s="42" t="s">
        <v>68</v>
      </c>
      <c r="F177" s="42" t="s">
        <v>69</v>
      </c>
      <c r="G177" s="42" t="s">
        <v>70</v>
      </c>
      <c r="H177" s="42" t="s">
        <v>71</v>
      </c>
      <c r="I177" s="42" t="s">
        <v>72</v>
      </c>
      <c r="J177" s="42" t="s">
        <v>73</v>
      </c>
      <c r="K177" s="42" t="s">
        <v>74</v>
      </c>
      <c r="L177" s="42" t="s">
        <v>75</v>
      </c>
      <c r="M177" s="42" t="s">
        <v>76</v>
      </c>
      <c r="N177" s="42" t="s">
        <v>77</v>
      </c>
      <c r="O177" s="42" t="s">
        <v>236</v>
      </c>
    </row>
    <row r="178" spans="1:15" ht="13.2" customHeight="1" x14ac:dyDescent="0.25">
      <c r="A178" s="82"/>
      <c r="B178" s="44" t="s">
        <v>194</v>
      </c>
      <c r="C178" s="45">
        <f>'3.1. My Income Tax Calculation'!$P$17/12</f>
        <v>133162636.24854271</v>
      </c>
      <c r="D178" s="45">
        <f>'3.1. My Income Tax Calculation'!$P$17/12</f>
        <v>133162636.24854271</v>
      </c>
      <c r="E178" s="45">
        <f>'3.1. My Income Tax Calculation'!$P$17/12</f>
        <v>133162636.24854271</v>
      </c>
      <c r="F178" s="45">
        <f>'3.1. My Income Tax Calculation'!$P$17/12</f>
        <v>133162636.24854271</v>
      </c>
      <c r="G178" s="45">
        <f>'3.1. My Income Tax Calculation'!$P$17/12</f>
        <v>133162636.24854271</v>
      </c>
      <c r="H178" s="45">
        <f>'3.1. My Income Tax Calculation'!$P$17/12</f>
        <v>133162636.24854271</v>
      </c>
      <c r="I178" s="45">
        <f>'3.1. My Income Tax Calculation'!$P$17/12</f>
        <v>133162636.24854271</v>
      </c>
      <c r="J178" s="45">
        <f>'3.1. My Income Tax Calculation'!$P$17/12</f>
        <v>133162636.24854271</v>
      </c>
      <c r="K178" s="45">
        <f>'3.1. My Income Tax Calculation'!$P$17/12</f>
        <v>133162636.24854271</v>
      </c>
      <c r="L178" s="45">
        <f>'3.1. My Income Tax Calculation'!$P$17/12</f>
        <v>133162636.24854271</v>
      </c>
      <c r="M178" s="45">
        <f>'3.1. My Income Tax Calculation'!$P$17/12</f>
        <v>133162636.24854271</v>
      </c>
      <c r="N178" s="45">
        <f>'3.1. My Income Tax Calculation'!$P$17/12</f>
        <v>133162636.24854271</v>
      </c>
      <c r="O178" s="45" t="s">
        <v>173</v>
      </c>
    </row>
    <row r="179" spans="1:15" ht="13.2" customHeight="1" x14ac:dyDescent="0.25">
      <c r="A179" s="82"/>
      <c r="B179" s="44" t="s">
        <v>246</v>
      </c>
      <c r="C179" s="45">
        <f>'3.2. My wife''s Tax Calc'!$P$17/12</f>
        <v>60070245.208524339</v>
      </c>
      <c r="D179" s="45">
        <f>'3.2. My wife''s Tax Calc'!$P$17/12</f>
        <v>60070245.208524339</v>
      </c>
      <c r="E179" s="45">
        <f>'3.2. My wife''s Tax Calc'!$P$17/12</f>
        <v>60070245.208524339</v>
      </c>
      <c r="F179" s="45">
        <f>'3.2. My wife''s Tax Calc'!$P$17/12</f>
        <v>60070245.208524339</v>
      </c>
      <c r="G179" s="45">
        <f>'3.2. My wife''s Tax Calc'!$P$17/12</f>
        <v>60070245.208524339</v>
      </c>
      <c r="H179" s="45">
        <f>'3.2. My wife''s Tax Calc'!$P$17/12</f>
        <v>60070245.208524339</v>
      </c>
      <c r="I179" s="45">
        <f>'3.2. My wife''s Tax Calc'!$P$17/12</f>
        <v>60070245.208524339</v>
      </c>
      <c r="J179" s="45">
        <f>'3.2. My wife''s Tax Calc'!$P$17/12</f>
        <v>60070245.208524339</v>
      </c>
      <c r="K179" s="45">
        <f>'3.2. My wife''s Tax Calc'!$P$17/12</f>
        <v>60070245.208524339</v>
      </c>
      <c r="L179" s="45">
        <f>'3.2. My wife''s Tax Calc'!$P$17/12</f>
        <v>60070245.208524339</v>
      </c>
      <c r="M179" s="45">
        <f>'3.2. My wife''s Tax Calc'!$P$17/12</f>
        <v>60070245.208524339</v>
      </c>
      <c r="N179" s="45">
        <f>'3.2. My wife''s Tax Calc'!$P$17/12</f>
        <v>60070245.208524339</v>
      </c>
      <c r="O179" s="45" t="s">
        <v>173</v>
      </c>
    </row>
    <row r="180" spans="1:15" ht="13.2" customHeight="1" x14ac:dyDescent="0.25">
      <c r="A180" s="82"/>
      <c r="B180" s="46" t="s">
        <v>209</v>
      </c>
      <c r="C180" s="47">
        <f>SUM(C178:C179)</f>
        <v>193232881.45706704</v>
      </c>
      <c r="D180" s="47">
        <f t="shared" ref="D180" si="172">SUM(D178:D179)</f>
        <v>193232881.45706704</v>
      </c>
      <c r="E180" s="47">
        <f t="shared" ref="E180" si="173">SUM(E178:E179)</f>
        <v>193232881.45706704</v>
      </c>
      <c r="F180" s="47">
        <f t="shared" ref="F180" si="174">SUM(F178:F179)</f>
        <v>193232881.45706704</v>
      </c>
      <c r="G180" s="47">
        <f t="shared" ref="G180" si="175">SUM(G178:G179)</f>
        <v>193232881.45706704</v>
      </c>
      <c r="H180" s="47">
        <f t="shared" ref="H180" si="176">SUM(H178:H179)</f>
        <v>193232881.45706704</v>
      </c>
      <c r="I180" s="47">
        <f t="shared" ref="I180" si="177">SUM(I178:I179)</f>
        <v>193232881.45706704</v>
      </c>
      <c r="J180" s="47">
        <f t="shared" ref="J180" si="178">SUM(J178:J179)</f>
        <v>193232881.45706704</v>
      </c>
      <c r="K180" s="47">
        <f>SUM(K178:K179)</f>
        <v>193232881.45706704</v>
      </c>
      <c r="L180" s="47">
        <f t="shared" ref="L180" si="179">SUM(L178:L179)</f>
        <v>193232881.45706704</v>
      </c>
      <c r="M180" s="47">
        <f t="shared" ref="M180" si="180">SUM(M178:M179)</f>
        <v>193232881.45706704</v>
      </c>
      <c r="N180" s="47">
        <f t="shared" ref="N180" si="181">SUM(N178:N179)</f>
        <v>193232881.45706704</v>
      </c>
      <c r="O180" s="47">
        <f>SUM(C180:N180)</f>
        <v>2318794577.4848046</v>
      </c>
    </row>
    <row r="181" spans="1:15" ht="13.2" customHeight="1" x14ac:dyDescent="0.25">
      <c r="A181" s="82"/>
      <c r="B181" s="52" t="s">
        <v>78</v>
      </c>
      <c r="C181" s="53" t="s">
        <v>173</v>
      </c>
      <c r="D181" s="53" t="s">
        <v>173</v>
      </c>
      <c r="E181" s="53" t="s">
        <v>173</v>
      </c>
      <c r="F181" s="53" t="s">
        <v>173</v>
      </c>
      <c r="G181" s="53" t="s">
        <v>173</v>
      </c>
      <c r="H181" s="53" t="s">
        <v>173</v>
      </c>
      <c r="I181" s="53" t="s">
        <v>173</v>
      </c>
      <c r="J181" s="53" t="s">
        <v>173</v>
      </c>
      <c r="K181" s="53" t="s">
        <v>173</v>
      </c>
      <c r="L181" s="53" t="s">
        <v>173</v>
      </c>
      <c r="M181" s="53" t="s">
        <v>173</v>
      </c>
      <c r="N181" s="53" t="s">
        <v>173</v>
      </c>
      <c r="O181" s="91" t="s">
        <v>173</v>
      </c>
    </row>
    <row r="182" spans="1:15" ht="13.2" customHeight="1" x14ac:dyDescent="0.25">
      <c r="A182" s="82"/>
      <c r="B182" s="48" t="s">
        <v>79</v>
      </c>
      <c r="C182" s="54" t="s">
        <v>173</v>
      </c>
      <c r="D182" s="54" t="s">
        <v>173</v>
      </c>
      <c r="E182" s="54" t="s">
        <v>173</v>
      </c>
      <c r="F182" s="54" t="s">
        <v>173</v>
      </c>
      <c r="G182" s="54" t="s">
        <v>173</v>
      </c>
      <c r="H182" s="54" t="s">
        <v>173</v>
      </c>
      <c r="I182" s="54" t="s">
        <v>173</v>
      </c>
      <c r="J182" s="54" t="s">
        <v>173</v>
      </c>
      <c r="K182" s="54" t="s">
        <v>173</v>
      </c>
      <c r="L182" s="54" t="s">
        <v>173</v>
      </c>
      <c r="M182" s="54" t="s">
        <v>173</v>
      </c>
      <c r="N182" s="54" t="s">
        <v>173</v>
      </c>
      <c r="O182" s="91" t="s">
        <v>173</v>
      </c>
    </row>
    <row r="183" spans="1:15" ht="13.2" customHeight="1" x14ac:dyDescent="0.25">
      <c r="A183" s="83"/>
      <c r="B183" s="49" t="s">
        <v>195</v>
      </c>
      <c r="C183" s="50">
        <f>C148*(1+$K$65)</f>
        <v>237724.54272691297</v>
      </c>
      <c r="D183" s="50">
        <v>0</v>
      </c>
      <c r="E183" s="50">
        <v>0</v>
      </c>
      <c r="F183" s="50">
        <v>0</v>
      </c>
      <c r="G183" s="50">
        <v>0</v>
      </c>
      <c r="H183" s="50">
        <v>0</v>
      </c>
      <c r="I183" s="50">
        <v>0</v>
      </c>
      <c r="J183" s="50">
        <v>0</v>
      </c>
      <c r="K183" s="50">
        <v>0</v>
      </c>
      <c r="L183" s="50">
        <v>0</v>
      </c>
      <c r="M183" s="50">
        <v>0</v>
      </c>
      <c r="N183" s="50">
        <v>0</v>
      </c>
      <c r="O183" s="90">
        <f t="shared" ref="O183:O186" si="182">SUM(C183:N183)</f>
        <v>237724.54272691297</v>
      </c>
    </row>
    <row r="184" spans="1:15" ht="13.2" customHeight="1" x14ac:dyDescent="0.25">
      <c r="A184" s="82"/>
      <c r="B184" s="51" t="s">
        <v>178</v>
      </c>
      <c r="C184" s="50">
        <f>C149*(1+$K$65)</f>
        <v>1800943.5055069162</v>
      </c>
      <c r="D184" s="50">
        <f t="shared" ref="D184:N184" si="183">D149*(1+$K$65)</f>
        <v>1800943.5055069162</v>
      </c>
      <c r="E184" s="50">
        <f t="shared" si="183"/>
        <v>1800943.5055069162</v>
      </c>
      <c r="F184" s="50">
        <f t="shared" si="183"/>
        <v>1800943.5055069162</v>
      </c>
      <c r="G184" s="50">
        <f t="shared" si="183"/>
        <v>1800943.5055069162</v>
      </c>
      <c r="H184" s="50">
        <f t="shared" si="183"/>
        <v>1800943.5055069162</v>
      </c>
      <c r="I184" s="50">
        <f t="shared" si="183"/>
        <v>1800943.5055069162</v>
      </c>
      <c r="J184" s="50">
        <f t="shared" si="183"/>
        <v>1800943.5055069162</v>
      </c>
      <c r="K184" s="50">
        <f t="shared" si="183"/>
        <v>1800943.5055069162</v>
      </c>
      <c r="L184" s="50">
        <f t="shared" si="183"/>
        <v>1800943.5055069162</v>
      </c>
      <c r="M184" s="50">
        <f t="shared" si="183"/>
        <v>1800943.5055069162</v>
      </c>
      <c r="N184" s="50">
        <f t="shared" si="183"/>
        <v>1800943.5055069162</v>
      </c>
      <c r="O184" s="90">
        <f t="shared" si="182"/>
        <v>21611322.066082999</v>
      </c>
    </row>
    <row r="185" spans="1:15" ht="13.2" customHeight="1" x14ac:dyDescent="0.25">
      <c r="A185" s="84"/>
      <c r="B185" s="51" t="s">
        <v>248</v>
      </c>
      <c r="C185" s="50">
        <f>C150*(1+$K$65)</f>
        <v>216113.22066082997</v>
      </c>
      <c r="D185" s="50">
        <f t="shared" ref="D185:N185" si="184">D150*(1+$K$65)</f>
        <v>216113.22066082997</v>
      </c>
      <c r="E185" s="50">
        <f t="shared" si="184"/>
        <v>216113.22066082997</v>
      </c>
      <c r="F185" s="50">
        <f t="shared" si="184"/>
        <v>216113.22066082997</v>
      </c>
      <c r="G185" s="50">
        <f t="shared" si="184"/>
        <v>216113.22066082997</v>
      </c>
      <c r="H185" s="50">
        <f t="shared" si="184"/>
        <v>216113.22066082997</v>
      </c>
      <c r="I185" s="50">
        <f t="shared" si="184"/>
        <v>216113.22066082997</v>
      </c>
      <c r="J185" s="50">
        <f t="shared" si="184"/>
        <v>216113.22066082997</v>
      </c>
      <c r="K185" s="50">
        <f t="shared" si="184"/>
        <v>216113.22066082997</v>
      </c>
      <c r="L185" s="50">
        <f t="shared" si="184"/>
        <v>216113.22066082997</v>
      </c>
      <c r="M185" s="50">
        <f t="shared" si="184"/>
        <v>216113.22066082997</v>
      </c>
      <c r="N185" s="50">
        <f t="shared" si="184"/>
        <v>216113.22066082997</v>
      </c>
      <c r="O185" s="90">
        <f t="shared" si="182"/>
        <v>2593358.6479299595</v>
      </c>
    </row>
    <row r="186" spans="1:15" ht="13.2" customHeight="1" x14ac:dyDescent="0.25">
      <c r="A186" s="82"/>
      <c r="B186" s="46" t="s">
        <v>207</v>
      </c>
      <c r="C186" s="47">
        <f t="shared" ref="C186:N186" si="185">SUM(C183:C185)</f>
        <v>2254781.2688946594</v>
      </c>
      <c r="D186" s="47">
        <f t="shared" si="185"/>
        <v>2017056.7261677461</v>
      </c>
      <c r="E186" s="47">
        <f t="shared" si="185"/>
        <v>2017056.7261677461</v>
      </c>
      <c r="F186" s="47">
        <f t="shared" si="185"/>
        <v>2017056.7261677461</v>
      </c>
      <c r="G186" s="47">
        <f t="shared" si="185"/>
        <v>2017056.7261677461</v>
      </c>
      <c r="H186" s="47">
        <f t="shared" si="185"/>
        <v>2017056.7261677461</v>
      </c>
      <c r="I186" s="47">
        <f t="shared" si="185"/>
        <v>2017056.7261677461</v>
      </c>
      <c r="J186" s="47">
        <f t="shared" si="185"/>
        <v>2017056.7261677461</v>
      </c>
      <c r="K186" s="47">
        <f t="shared" si="185"/>
        <v>2017056.7261677461</v>
      </c>
      <c r="L186" s="47">
        <f t="shared" si="185"/>
        <v>2017056.7261677461</v>
      </c>
      <c r="M186" s="47">
        <f t="shared" si="185"/>
        <v>2017056.7261677461</v>
      </c>
      <c r="N186" s="47">
        <f t="shared" si="185"/>
        <v>2017056.7261677461</v>
      </c>
      <c r="O186" s="47">
        <f t="shared" si="182"/>
        <v>24442405.256739866</v>
      </c>
    </row>
    <row r="187" spans="1:15" ht="13.2" customHeight="1" x14ac:dyDescent="0.25">
      <c r="A187" s="82"/>
      <c r="B187" s="55" t="s">
        <v>83</v>
      </c>
      <c r="C187" s="59" t="s">
        <v>173</v>
      </c>
      <c r="D187" s="59" t="s">
        <v>173</v>
      </c>
      <c r="E187" s="59" t="s">
        <v>173</v>
      </c>
      <c r="F187" s="59" t="s">
        <v>173</v>
      </c>
      <c r="G187" s="59" t="s">
        <v>173</v>
      </c>
      <c r="H187" s="59" t="s">
        <v>173</v>
      </c>
      <c r="I187" s="59" t="s">
        <v>173</v>
      </c>
      <c r="J187" s="59" t="s">
        <v>173</v>
      </c>
      <c r="K187" s="59" t="s">
        <v>173</v>
      </c>
      <c r="L187" s="59" t="s">
        <v>173</v>
      </c>
      <c r="M187" s="59" t="s">
        <v>173</v>
      </c>
      <c r="N187" s="59" t="s">
        <v>173</v>
      </c>
      <c r="O187" s="91" t="s">
        <v>173</v>
      </c>
    </row>
    <row r="188" spans="1:15" ht="13.2" customHeight="1" x14ac:dyDescent="0.25">
      <c r="A188" s="82"/>
      <c r="B188" s="57" t="s">
        <v>210</v>
      </c>
      <c r="C188" s="89">
        <f t="shared" ref="C188:N188" si="186">C153*(1+$K$65)</f>
        <v>1788336.9009683682</v>
      </c>
      <c r="D188" s="89">
        <f t="shared" si="186"/>
        <v>2155729.3760917792</v>
      </c>
      <c r="E188" s="89">
        <f t="shared" si="186"/>
        <v>1988241.6300796352</v>
      </c>
      <c r="F188" s="89">
        <f t="shared" si="186"/>
        <v>1858573.6976831376</v>
      </c>
      <c r="G188" s="89">
        <f t="shared" si="186"/>
        <v>1707294.4432205572</v>
      </c>
      <c r="H188" s="89">
        <f t="shared" si="186"/>
        <v>2139520.8845422165</v>
      </c>
      <c r="I188" s="89">
        <f t="shared" si="186"/>
        <v>2496107.6986325858</v>
      </c>
      <c r="J188" s="89">
        <f t="shared" si="186"/>
        <v>2393453.9188186917</v>
      </c>
      <c r="K188" s="89">
        <f t="shared" si="186"/>
        <v>1847768.0366500963</v>
      </c>
      <c r="L188" s="89">
        <f t="shared" si="186"/>
        <v>1896393.5112987831</v>
      </c>
      <c r="M188" s="89">
        <f t="shared" si="186"/>
        <v>1804545.3925179304</v>
      </c>
      <c r="N188" s="89">
        <f t="shared" si="186"/>
        <v>1950421.8164639901</v>
      </c>
      <c r="O188" s="92">
        <f t="shared" ref="O188:O197" si="187">SUM(C188:N188)</f>
        <v>24026387.306967773</v>
      </c>
    </row>
    <row r="189" spans="1:15" ht="13.2" customHeight="1" x14ac:dyDescent="0.25">
      <c r="A189" s="82"/>
      <c r="B189" s="57" t="s">
        <v>203</v>
      </c>
      <c r="C189" s="89">
        <f t="shared" ref="C189:N189" si="188">C154*(1+$K$65)</f>
        <v>6456382.467242294</v>
      </c>
      <c r="D189" s="89">
        <f t="shared" si="188"/>
        <v>6953442.8747622045</v>
      </c>
      <c r="E189" s="89">
        <f t="shared" si="188"/>
        <v>7796284.4353394406</v>
      </c>
      <c r="F189" s="89">
        <f t="shared" si="188"/>
        <v>5910696.5850737011</v>
      </c>
      <c r="G189" s="89">
        <f t="shared" si="188"/>
        <v>7866521.2320542112</v>
      </c>
      <c r="H189" s="89">
        <f t="shared" si="188"/>
        <v>7412683.4686664678</v>
      </c>
      <c r="I189" s="89">
        <f t="shared" si="188"/>
        <v>6802163.6202996243</v>
      </c>
      <c r="J189" s="89">
        <f t="shared" si="188"/>
        <v>8088037.2832315611</v>
      </c>
      <c r="K189" s="89">
        <f t="shared" si="188"/>
        <v>7904341.0456698546</v>
      </c>
      <c r="L189" s="89">
        <f t="shared" si="188"/>
        <v>7904341.0456698546</v>
      </c>
      <c r="M189" s="89">
        <f t="shared" si="188"/>
        <v>6143018.2972840937</v>
      </c>
      <c r="N189" s="89">
        <f t="shared" si="188"/>
        <v>7574768.3841620917</v>
      </c>
      <c r="O189" s="92">
        <f t="shared" si="187"/>
        <v>86812680.739455417</v>
      </c>
    </row>
    <row r="190" spans="1:15" ht="13.2" customHeight="1" x14ac:dyDescent="0.25">
      <c r="A190" s="82"/>
      <c r="B190" s="58" t="s">
        <v>84</v>
      </c>
      <c r="C190" s="89">
        <f t="shared" ref="C190:N190" si="189">C155*(1+$K$65)</f>
        <v>5710791.8559624301</v>
      </c>
      <c r="D190" s="89">
        <f t="shared" si="189"/>
        <v>6234866.416064945</v>
      </c>
      <c r="E190" s="89">
        <f t="shared" si="189"/>
        <v>6256477.7381310295</v>
      </c>
      <c r="F190" s="89">
        <f t="shared" si="189"/>
        <v>6461785.2977588149</v>
      </c>
      <c r="G190" s="89">
        <f t="shared" si="189"/>
        <v>7645005.1808768604</v>
      </c>
      <c r="H190" s="89">
        <f t="shared" si="189"/>
        <v>6613064.5522213969</v>
      </c>
      <c r="I190" s="89">
        <f t="shared" si="189"/>
        <v>6866997.5864978749</v>
      </c>
      <c r="J190" s="89">
        <f t="shared" si="189"/>
        <v>7904341.0456698546</v>
      </c>
      <c r="K190" s="89">
        <f t="shared" si="189"/>
        <v>7234390.061621285</v>
      </c>
      <c r="L190" s="89">
        <f t="shared" si="189"/>
        <v>7223584.4005882423</v>
      </c>
      <c r="M190" s="89">
        <f t="shared" si="189"/>
        <v>7731450.4691411927</v>
      </c>
      <c r="N190" s="89">
        <f t="shared" si="189"/>
        <v>6207852.2634823425</v>
      </c>
      <c r="O190" s="92">
        <f t="shared" si="187"/>
        <v>82090606.868016258</v>
      </c>
    </row>
    <row r="191" spans="1:15" ht="13.2" customHeight="1" x14ac:dyDescent="0.25">
      <c r="A191" s="82"/>
      <c r="B191" s="57" t="s">
        <v>85</v>
      </c>
      <c r="C191" s="89">
        <f t="shared" ref="C191:N191" si="190">C156*(1+$K$65)</f>
        <v>6634675.8742874814</v>
      </c>
      <c r="D191" s="89">
        <f t="shared" si="190"/>
        <v>5678374.8728633095</v>
      </c>
      <c r="E191" s="89">
        <f t="shared" si="190"/>
        <v>5878279.6019745758</v>
      </c>
      <c r="F191" s="89">
        <f t="shared" si="190"/>
        <v>5970127.7207554281</v>
      </c>
      <c r="G191" s="89">
        <f t="shared" si="190"/>
        <v>8028606.1475498341</v>
      </c>
      <c r="H191" s="89">
        <f t="shared" si="190"/>
        <v>5894488.0935241394</v>
      </c>
      <c r="I191" s="89">
        <f t="shared" si="190"/>
        <v>6839983.4339152686</v>
      </c>
      <c r="J191" s="89">
        <f t="shared" si="190"/>
        <v>5413636.1775537916</v>
      </c>
      <c r="K191" s="89">
        <f t="shared" si="190"/>
        <v>7039888.1630265387</v>
      </c>
      <c r="L191" s="89">
        <f t="shared" si="190"/>
        <v>5591929.5845989743</v>
      </c>
      <c r="M191" s="89">
        <f t="shared" si="190"/>
        <v>7120930.6207743473</v>
      </c>
      <c r="N191" s="89">
        <f t="shared" si="190"/>
        <v>6780552.2982335407</v>
      </c>
      <c r="O191" s="92">
        <f t="shared" si="187"/>
        <v>76871472.589057222</v>
      </c>
    </row>
    <row r="192" spans="1:15" ht="13.2" customHeight="1" x14ac:dyDescent="0.25">
      <c r="A192" s="84"/>
      <c r="B192" s="58" t="s">
        <v>249</v>
      </c>
      <c r="C192" s="89">
        <f t="shared" ref="C192:N192" si="191">C180*5%</f>
        <v>9661644.0728533529</v>
      </c>
      <c r="D192" s="89">
        <f t="shared" si="191"/>
        <v>9661644.0728533529</v>
      </c>
      <c r="E192" s="89">
        <f t="shared" si="191"/>
        <v>9661644.0728533529</v>
      </c>
      <c r="F192" s="89">
        <f t="shared" si="191"/>
        <v>9661644.0728533529</v>
      </c>
      <c r="G192" s="89">
        <f t="shared" si="191"/>
        <v>9661644.0728533529</v>
      </c>
      <c r="H192" s="89">
        <f t="shared" si="191"/>
        <v>9661644.0728533529</v>
      </c>
      <c r="I192" s="89">
        <f t="shared" si="191"/>
        <v>9661644.0728533529</v>
      </c>
      <c r="J192" s="89">
        <f t="shared" si="191"/>
        <v>9661644.0728533529</v>
      </c>
      <c r="K192" s="89">
        <f t="shared" si="191"/>
        <v>9661644.0728533529</v>
      </c>
      <c r="L192" s="89">
        <f t="shared" si="191"/>
        <v>9661644.0728533529</v>
      </c>
      <c r="M192" s="89">
        <f t="shared" si="191"/>
        <v>9661644.0728533529</v>
      </c>
      <c r="N192" s="89">
        <f t="shared" si="191"/>
        <v>9661644.0728533529</v>
      </c>
      <c r="O192" s="92">
        <f t="shared" si="187"/>
        <v>115939728.87424026</v>
      </c>
    </row>
    <row r="193" spans="1:25" ht="13.2" customHeight="1" x14ac:dyDescent="0.25">
      <c r="A193" s="84"/>
      <c r="B193" s="58" t="s">
        <v>251</v>
      </c>
      <c r="C193" s="89">
        <f>-PMT(4%,18*12,(150000000*8)/(1+4%)^18)</f>
        <v>23699110.369091634</v>
      </c>
      <c r="D193" s="89">
        <f t="shared" ref="D193:N193" si="192">-PMT(4%,18*12,(150000000*8)/(1+4%)^18)</f>
        <v>23699110.369091634</v>
      </c>
      <c r="E193" s="89">
        <f t="shared" si="192"/>
        <v>23699110.369091634</v>
      </c>
      <c r="F193" s="89">
        <f t="shared" si="192"/>
        <v>23699110.369091634</v>
      </c>
      <c r="G193" s="89">
        <f t="shared" si="192"/>
        <v>23699110.369091634</v>
      </c>
      <c r="H193" s="89">
        <f t="shared" si="192"/>
        <v>23699110.369091634</v>
      </c>
      <c r="I193" s="89">
        <f t="shared" si="192"/>
        <v>23699110.369091634</v>
      </c>
      <c r="J193" s="89">
        <f t="shared" si="192"/>
        <v>23699110.369091634</v>
      </c>
      <c r="K193" s="89">
        <f t="shared" si="192"/>
        <v>23699110.369091634</v>
      </c>
      <c r="L193" s="89">
        <f t="shared" si="192"/>
        <v>23699110.369091634</v>
      </c>
      <c r="M193" s="89">
        <f t="shared" si="192"/>
        <v>23699110.369091634</v>
      </c>
      <c r="N193" s="89">
        <f t="shared" si="192"/>
        <v>23699110.369091634</v>
      </c>
      <c r="O193" s="92">
        <f t="shared" si="187"/>
        <v>284389324.42909962</v>
      </c>
    </row>
    <row r="194" spans="1:25" ht="13.2" customHeight="1" x14ac:dyDescent="0.25">
      <c r="A194" s="84"/>
      <c r="B194" s="58" t="s">
        <v>180</v>
      </c>
      <c r="C194" s="89">
        <f t="shared" ref="C194:N194" si="193">C159*(1+$K$65)</f>
        <v>7844909.9099881267</v>
      </c>
      <c r="D194" s="89">
        <f t="shared" si="193"/>
        <v>7742256.1301742326</v>
      </c>
      <c r="E194" s="89">
        <f t="shared" si="193"/>
        <v>6434771.1451762132</v>
      </c>
      <c r="F194" s="89">
        <f t="shared" si="193"/>
        <v>7104722.1292247875</v>
      </c>
      <c r="G194" s="89">
        <f t="shared" si="193"/>
        <v>5602735.245632018</v>
      </c>
      <c r="H194" s="89">
        <f t="shared" si="193"/>
        <v>6229463.5855484251</v>
      </c>
      <c r="I194" s="89">
        <f t="shared" si="193"/>
        <v>6445576.8062092559</v>
      </c>
      <c r="J194" s="89">
        <f t="shared" si="193"/>
        <v>7639602.3503603386</v>
      </c>
      <c r="K194" s="89">
        <f t="shared" si="193"/>
        <v>5980933.3817884699</v>
      </c>
      <c r="L194" s="89">
        <f t="shared" si="193"/>
        <v>6402354.1620770879</v>
      </c>
      <c r="M194" s="89">
        <f t="shared" si="193"/>
        <v>6413159.8231101278</v>
      </c>
      <c r="N194" s="89">
        <f t="shared" si="193"/>
        <v>6251074.9076145077</v>
      </c>
      <c r="O194" s="92">
        <f t="shared" si="187"/>
        <v>80091559.576903611</v>
      </c>
    </row>
    <row r="195" spans="1:25" ht="13.2" customHeight="1" x14ac:dyDescent="0.25">
      <c r="A195" s="84"/>
      <c r="B195" s="58" t="s">
        <v>86</v>
      </c>
      <c r="C195" s="89">
        <f t="shared" ref="C195:N195" si="194">C160*(1+$K$65)</f>
        <v>5710791.8559624301</v>
      </c>
      <c r="D195" s="89">
        <f t="shared" si="194"/>
        <v>5645957.8897641832</v>
      </c>
      <c r="E195" s="89">
        <f t="shared" si="194"/>
        <v>5478470.1437520413</v>
      </c>
      <c r="F195" s="89">
        <f t="shared" si="194"/>
        <v>7147944.7733569508</v>
      </c>
      <c r="G195" s="89">
        <f t="shared" si="194"/>
        <v>6650884.3658370413</v>
      </c>
      <c r="H195" s="89">
        <f t="shared" si="194"/>
        <v>5537901.2794337692</v>
      </c>
      <c r="I195" s="89">
        <f t="shared" si="194"/>
        <v>7509934.4179638438</v>
      </c>
      <c r="J195" s="89">
        <f t="shared" si="194"/>
        <v>7207375.9090386806</v>
      </c>
      <c r="K195" s="89">
        <f t="shared" si="194"/>
        <v>5802639.9747432861</v>
      </c>
      <c r="L195" s="89">
        <f t="shared" si="194"/>
        <v>6002544.7038545534</v>
      </c>
      <c r="M195" s="89">
        <f t="shared" si="194"/>
        <v>7299224.0278195329</v>
      </c>
      <c r="N195" s="89">
        <f t="shared" si="194"/>
        <v>7682824.9944925066</v>
      </c>
      <c r="O195" s="92">
        <f t="shared" si="187"/>
        <v>77676494.336018801</v>
      </c>
    </row>
    <row r="196" spans="1:25" ht="13.2" customHeight="1" x14ac:dyDescent="0.25">
      <c r="A196" s="82"/>
      <c r="B196" s="46" t="s">
        <v>208</v>
      </c>
      <c r="C196" s="47">
        <f t="shared" ref="C196:N196" si="195">SUM(C188:C195)</f>
        <v>67506643.306356117</v>
      </c>
      <c r="D196" s="47">
        <f t="shared" si="195"/>
        <v>67771382.001665652</v>
      </c>
      <c r="E196" s="47">
        <f t="shared" si="195"/>
        <v>67193279.136397928</v>
      </c>
      <c r="F196" s="47">
        <f t="shared" si="195"/>
        <v>67814604.645797804</v>
      </c>
      <c r="G196" s="47">
        <f t="shared" si="195"/>
        <v>70861801.05711551</v>
      </c>
      <c r="H196" s="47">
        <f t="shared" si="195"/>
        <v>67187876.305881396</v>
      </c>
      <c r="I196" s="47">
        <f t="shared" si="195"/>
        <v>70321518.005463436</v>
      </c>
      <c r="J196" s="47">
        <f t="shared" si="195"/>
        <v>72007201.126617908</v>
      </c>
      <c r="K196" s="47">
        <f t="shared" si="195"/>
        <v>69170715.105444506</v>
      </c>
      <c r="L196" s="47">
        <f t="shared" si="195"/>
        <v>68381901.850032479</v>
      </c>
      <c r="M196" s="47">
        <f t="shared" si="195"/>
        <v>69873083.072592214</v>
      </c>
      <c r="N196" s="47">
        <f t="shared" si="195"/>
        <v>69808249.106393963</v>
      </c>
      <c r="O196" s="47">
        <f t="shared" si="187"/>
        <v>827898254.71975887</v>
      </c>
    </row>
    <row r="197" spans="1:25" ht="13.2" customHeight="1" x14ac:dyDescent="0.25">
      <c r="A197" s="82"/>
      <c r="B197" s="60" t="s">
        <v>87</v>
      </c>
      <c r="C197" s="47">
        <f t="shared" ref="C197:N197" si="196">C186+C196</f>
        <v>69761424.575250775</v>
      </c>
      <c r="D197" s="47">
        <f t="shared" si="196"/>
        <v>69788438.727833405</v>
      </c>
      <c r="E197" s="47">
        <f t="shared" si="196"/>
        <v>69210335.862565681</v>
      </c>
      <c r="F197" s="47">
        <f t="shared" si="196"/>
        <v>69831661.371965557</v>
      </c>
      <c r="G197" s="47">
        <f t="shared" si="196"/>
        <v>72878857.783283263</v>
      </c>
      <c r="H197" s="47">
        <f t="shared" si="196"/>
        <v>69204933.032049149</v>
      </c>
      <c r="I197" s="47">
        <f t="shared" si="196"/>
        <v>72338574.73163119</v>
      </c>
      <c r="J197" s="47">
        <f t="shared" si="196"/>
        <v>74024257.852785662</v>
      </c>
      <c r="K197" s="47">
        <f t="shared" si="196"/>
        <v>71187771.831612259</v>
      </c>
      <c r="L197" s="47">
        <f t="shared" si="196"/>
        <v>70398958.576200232</v>
      </c>
      <c r="M197" s="47">
        <f t="shared" si="196"/>
        <v>71890139.798759967</v>
      </c>
      <c r="N197" s="47">
        <f t="shared" si="196"/>
        <v>71825305.832561716</v>
      </c>
      <c r="O197" s="47">
        <f t="shared" si="187"/>
        <v>852340659.97649884</v>
      </c>
    </row>
    <row r="198" spans="1:25" s="11" customFormat="1" x14ac:dyDescent="0.25">
      <c r="A198" s="82"/>
      <c r="B198" s="108" t="s">
        <v>204</v>
      </c>
      <c r="C198" s="109">
        <f>$O197*(3/12)/12</f>
        <v>17757097.082843725</v>
      </c>
      <c r="D198" s="109">
        <f t="shared" ref="D198" si="197">$O197*(3/12)/12</f>
        <v>17757097.082843725</v>
      </c>
      <c r="E198" s="109">
        <f t="shared" ref="E198" si="198">$O197*(3/12)/12</f>
        <v>17757097.082843725</v>
      </c>
      <c r="F198" s="109">
        <f t="shared" ref="F198" si="199">$O197*(3/12)/12</f>
        <v>17757097.082843725</v>
      </c>
      <c r="G198" s="109">
        <f t="shared" ref="G198" si="200">$O197*(3/12)/12</f>
        <v>17757097.082843725</v>
      </c>
      <c r="H198" s="109">
        <f t="shared" ref="H198" si="201">$O197*(3/12)/12</f>
        <v>17757097.082843725</v>
      </c>
      <c r="I198" s="109">
        <f t="shared" ref="I198" si="202">$O197*(3/12)/12</f>
        <v>17757097.082843725</v>
      </c>
      <c r="J198" s="109">
        <f t="shared" ref="J198" si="203">$O197*(3/12)/12</f>
        <v>17757097.082843725</v>
      </c>
      <c r="K198" s="109">
        <f t="shared" ref="K198" si="204">$O197*(3/12)/12</f>
        <v>17757097.082843725</v>
      </c>
      <c r="L198" s="109">
        <f t="shared" ref="L198" si="205">$O197*(3/12)/12</f>
        <v>17757097.082843725</v>
      </c>
      <c r="M198" s="109">
        <f t="shared" ref="M198" si="206">$O197*(3/12)/12</f>
        <v>17757097.082843725</v>
      </c>
      <c r="N198" s="109">
        <f t="shared" ref="N198" si="207">$O197*(3/12)/12</f>
        <v>17757097.082843725</v>
      </c>
      <c r="O198" s="109">
        <f t="shared" ref="O198:O201" si="208">SUM(C198:N198)</f>
        <v>213085164.99412468</v>
      </c>
      <c r="P198" s="43"/>
      <c r="Q198" s="43"/>
      <c r="R198" s="40"/>
      <c r="S198" s="40"/>
      <c r="T198" s="40"/>
      <c r="U198" s="40"/>
      <c r="V198" s="40"/>
      <c r="W198" s="40"/>
      <c r="X198" s="40"/>
      <c r="Y198" s="40"/>
    </row>
    <row r="199" spans="1:25" s="11" customFormat="1" x14ac:dyDescent="0.25">
      <c r="A199" s="82"/>
      <c r="B199" s="108" t="s">
        <v>82</v>
      </c>
      <c r="C199" s="109">
        <f>'6. Mortgage payment'!$C$7</f>
        <v>28168245.060798287</v>
      </c>
      <c r="D199" s="109">
        <f>'6. Mortgage payment'!$C$7</f>
        <v>28168245.060798287</v>
      </c>
      <c r="E199" s="109">
        <f>'6. Mortgage payment'!$C$7</f>
        <v>28168245.060798287</v>
      </c>
      <c r="F199" s="109">
        <f>'6. Mortgage payment'!$C$7</f>
        <v>28168245.060798287</v>
      </c>
      <c r="G199" s="109">
        <f>'6. Mortgage payment'!$C$7</f>
        <v>28168245.060798287</v>
      </c>
      <c r="H199" s="109">
        <f>'6. Mortgage payment'!$C$7</f>
        <v>28168245.060798287</v>
      </c>
      <c r="I199" s="109">
        <f>'6. Mortgage payment'!$C$7</f>
        <v>28168245.060798287</v>
      </c>
      <c r="J199" s="109">
        <f>'6. Mortgage payment'!$C$7</f>
        <v>28168245.060798287</v>
      </c>
      <c r="K199" s="109">
        <f>'6. Mortgage payment'!$C$7</f>
        <v>28168245.060798287</v>
      </c>
      <c r="L199" s="109">
        <f>'6. Mortgage payment'!$C$7</f>
        <v>28168245.060798287</v>
      </c>
      <c r="M199" s="109">
        <f>'6. Mortgage payment'!$C$7</f>
        <v>28168245.060798287</v>
      </c>
      <c r="N199" s="109">
        <f>'6. Mortgage payment'!$C$7</f>
        <v>28168245.060798287</v>
      </c>
      <c r="O199" s="109">
        <f t="shared" si="208"/>
        <v>338018940.72957945</v>
      </c>
      <c r="P199" s="43"/>
      <c r="Q199" s="43"/>
      <c r="R199" s="40"/>
      <c r="S199" s="40"/>
      <c r="T199" s="40"/>
      <c r="U199" s="40"/>
      <c r="V199" s="40"/>
      <c r="W199" s="40"/>
      <c r="X199" s="40"/>
      <c r="Y199" s="40"/>
    </row>
    <row r="200" spans="1:25" s="11" customFormat="1" x14ac:dyDescent="0.25">
      <c r="A200" s="82"/>
      <c r="B200" s="108" t="s">
        <v>251</v>
      </c>
      <c r="C200" s="109">
        <f>-PMT(4%,18*12,(150000000*8)/(1+4%)^18)</f>
        <v>23699110.369091634</v>
      </c>
      <c r="D200" s="109">
        <f t="shared" ref="D200:N200" si="209">-PMT(4%,18*12,(150000000*8)/(1+4%)^18)</f>
        <v>23699110.369091634</v>
      </c>
      <c r="E200" s="109">
        <f t="shared" si="209"/>
        <v>23699110.369091634</v>
      </c>
      <c r="F200" s="109">
        <f t="shared" si="209"/>
        <v>23699110.369091634</v>
      </c>
      <c r="G200" s="109">
        <f t="shared" si="209"/>
        <v>23699110.369091634</v>
      </c>
      <c r="H200" s="109">
        <f t="shared" si="209"/>
        <v>23699110.369091634</v>
      </c>
      <c r="I200" s="109">
        <f t="shared" si="209"/>
        <v>23699110.369091634</v>
      </c>
      <c r="J200" s="109">
        <f t="shared" si="209"/>
        <v>23699110.369091634</v>
      </c>
      <c r="K200" s="109">
        <f t="shared" si="209"/>
        <v>23699110.369091634</v>
      </c>
      <c r="L200" s="109">
        <f t="shared" si="209"/>
        <v>23699110.369091634</v>
      </c>
      <c r="M200" s="109">
        <f t="shared" si="209"/>
        <v>23699110.369091634</v>
      </c>
      <c r="N200" s="109">
        <f t="shared" si="209"/>
        <v>23699110.369091634</v>
      </c>
      <c r="O200" s="109">
        <f t="shared" ref="O200" si="210">SUM(C200:N200)</f>
        <v>284389324.42909962</v>
      </c>
      <c r="P200" s="43"/>
      <c r="Q200" s="43"/>
      <c r="R200" s="40"/>
      <c r="S200" s="40"/>
      <c r="T200" s="40"/>
      <c r="U200" s="40"/>
      <c r="V200" s="40"/>
      <c r="W200" s="40"/>
      <c r="X200" s="40"/>
      <c r="Y200" s="40"/>
    </row>
    <row r="201" spans="1:25" s="11" customFormat="1" x14ac:dyDescent="0.25">
      <c r="A201" s="82"/>
      <c r="B201" s="108" t="s">
        <v>364</v>
      </c>
      <c r="C201" s="109">
        <f>C166*(1+$K$65)</f>
        <v>1973897.6688537605</v>
      </c>
      <c r="D201" s="109">
        <v>0</v>
      </c>
      <c r="E201" s="109">
        <v>0</v>
      </c>
      <c r="F201" s="109">
        <v>0</v>
      </c>
      <c r="G201" s="109">
        <v>0</v>
      </c>
      <c r="H201" s="109">
        <v>0</v>
      </c>
      <c r="I201" s="109">
        <v>0</v>
      </c>
      <c r="J201" s="109">
        <v>0</v>
      </c>
      <c r="K201" s="109">
        <v>0</v>
      </c>
      <c r="L201" s="109">
        <v>0</v>
      </c>
      <c r="M201" s="109">
        <v>0</v>
      </c>
      <c r="N201" s="109">
        <v>0</v>
      </c>
      <c r="O201" s="109">
        <f t="shared" si="208"/>
        <v>1973897.6688537605</v>
      </c>
      <c r="P201" s="43"/>
      <c r="Q201" s="43"/>
      <c r="R201" s="40"/>
      <c r="S201" s="40"/>
      <c r="T201" s="40"/>
      <c r="U201" s="40"/>
      <c r="V201" s="40"/>
      <c r="W201" s="40"/>
      <c r="X201" s="40"/>
      <c r="Y201" s="40"/>
    </row>
    <row r="202" spans="1:25" s="11" customFormat="1" x14ac:dyDescent="0.25">
      <c r="A202" s="82"/>
      <c r="B202" s="60" t="s">
        <v>206</v>
      </c>
      <c r="C202" s="61">
        <f>C180-C197-C198-C199-C201-C200</f>
        <v>51873106.70022887</v>
      </c>
      <c r="D202" s="61">
        <f t="shared" ref="D202:N202" si="211">D180-D197-D198-D199-D201-D200</f>
        <v>53819990.216499999</v>
      </c>
      <c r="E202" s="61">
        <f t="shared" si="211"/>
        <v>54398093.081767723</v>
      </c>
      <c r="F202" s="61">
        <f t="shared" si="211"/>
        <v>53776767.572367847</v>
      </c>
      <c r="G202" s="61">
        <f t="shared" si="211"/>
        <v>50729571.161050141</v>
      </c>
      <c r="H202" s="61">
        <f t="shared" si="211"/>
        <v>54403495.912284255</v>
      </c>
      <c r="I202" s="61">
        <f t="shared" si="211"/>
        <v>51269854.212702215</v>
      </c>
      <c r="J202" s="61">
        <f t="shared" si="211"/>
        <v>49584171.091547742</v>
      </c>
      <c r="K202" s="61">
        <f t="shared" si="211"/>
        <v>52420657.112721145</v>
      </c>
      <c r="L202" s="61">
        <f t="shared" si="211"/>
        <v>53209470.368133172</v>
      </c>
      <c r="M202" s="61">
        <f t="shared" si="211"/>
        <v>51718289.145573437</v>
      </c>
      <c r="N202" s="61">
        <f t="shared" si="211"/>
        <v>51783123.111771688</v>
      </c>
      <c r="O202" s="47">
        <f t="shared" ref="O202" si="212">SUM(C202:N202)</f>
        <v>628986589.68664825</v>
      </c>
      <c r="P202" s="43"/>
      <c r="Q202" s="43"/>
      <c r="R202" s="40"/>
      <c r="S202" s="40"/>
      <c r="T202" s="40"/>
      <c r="U202" s="40"/>
      <c r="V202" s="40"/>
      <c r="W202" s="40"/>
      <c r="X202" s="40"/>
      <c r="Y202" s="40"/>
    </row>
    <row r="203" spans="1:25" ht="13.2" customHeight="1" x14ac:dyDescent="0.25">
      <c r="A203" s="85"/>
      <c r="B203" s="40"/>
      <c r="C203" s="40"/>
      <c r="D203" s="40"/>
      <c r="E203" s="40"/>
      <c r="F203" s="40"/>
      <c r="G203" s="40"/>
      <c r="H203" s="40"/>
      <c r="I203" s="40"/>
      <c r="J203" s="40"/>
      <c r="K203" s="40"/>
      <c r="L203" s="353" t="s">
        <v>217</v>
      </c>
      <c r="M203" s="354"/>
      <c r="N203" s="350">
        <f>SUM(C202:N202)+N168</f>
        <v>5042275638.3913145</v>
      </c>
      <c r="O203" s="40"/>
    </row>
    <row r="204" spans="1:25" ht="13.2" customHeight="1" x14ac:dyDescent="0.25">
      <c r="A204" s="85"/>
      <c r="B204" s="40"/>
      <c r="C204" s="40"/>
      <c r="D204" s="40"/>
      <c r="E204" s="40"/>
      <c r="F204" s="40"/>
      <c r="G204" s="40"/>
      <c r="H204" s="40"/>
      <c r="I204" s="40"/>
      <c r="J204" s="40"/>
      <c r="K204" s="40"/>
      <c r="L204" s="320"/>
      <c r="M204" s="355"/>
      <c r="N204" s="351"/>
      <c r="O204" s="40"/>
    </row>
    <row r="205" spans="1:25" ht="13.2" customHeight="1" x14ac:dyDescent="0.25">
      <c r="A205" s="85"/>
      <c r="B205" s="319" t="s">
        <v>632</v>
      </c>
      <c r="C205" s="352" t="s">
        <v>173</v>
      </c>
      <c r="D205" s="352"/>
      <c r="E205" s="352"/>
      <c r="F205" s="352"/>
      <c r="G205" s="352"/>
      <c r="H205" s="352"/>
      <c r="I205" s="40"/>
      <c r="J205" s="358" t="s">
        <v>231</v>
      </c>
      <c r="K205" s="359">
        <v>0.04</v>
      </c>
      <c r="L205" s="40"/>
      <c r="M205" s="40"/>
      <c r="N205" s="40"/>
      <c r="O205" s="361"/>
    </row>
    <row r="206" spans="1:25" ht="13.2" customHeight="1" x14ac:dyDescent="0.25">
      <c r="A206" s="85"/>
      <c r="B206" s="319"/>
      <c r="C206" s="352"/>
      <c r="D206" s="352"/>
      <c r="E206" s="352"/>
      <c r="F206" s="352"/>
      <c r="G206" s="352"/>
      <c r="H206" s="352"/>
      <c r="I206" s="40"/>
      <c r="J206" s="358"/>
      <c r="K206" s="360"/>
      <c r="L206" s="40"/>
      <c r="M206" s="40"/>
      <c r="N206" s="40"/>
      <c r="O206" s="362"/>
    </row>
    <row r="207" spans="1:25" ht="13.2" customHeight="1" x14ac:dyDescent="0.25">
      <c r="A207" s="85"/>
      <c r="B207" s="319"/>
      <c r="C207" s="352"/>
      <c r="D207" s="352"/>
      <c r="E207" s="352"/>
      <c r="F207" s="352"/>
      <c r="G207" s="352"/>
      <c r="H207" s="352"/>
      <c r="I207" s="40"/>
      <c r="J207" s="40"/>
      <c r="K207" s="40"/>
      <c r="L207" s="40"/>
      <c r="M207" s="40"/>
      <c r="N207" s="40"/>
      <c r="O207" s="40"/>
    </row>
  </sheetData>
  <mergeCells count="48">
    <mergeCell ref="B1:O2"/>
    <mergeCell ref="L29:M30"/>
    <mergeCell ref="N29:N30"/>
    <mergeCell ref="B31:B33"/>
    <mergeCell ref="C31:H33"/>
    <mergeCell ref="J31:J32"/>
    <mergeCell ref="K31:K32"/>
    <mergeCell ref="O31:O32"/>
    <mergeCell ref="B36:O37"/>
    <mergeCell ref="L63:M64"/>
    <mergeCell ref="N63:N64"/>
    <mergeCell ref="B65:B67"/>
    <mergeCell ref="C65:H67"/>
    <mergeCell ref="J65:J66"/>
    <mergeCell ref="K65:K66"/>
    <mergeCell ref="O65:O66"/>
    <mergeCell ref="B70:O71"/>
    <mergeCell ref="L98:M99"/>
    <mergeCell ref="N98:N99"/>
    <mergeCell ref="B100:B102"/>
    <mergeCell ref="C100:H102"/>
    <mergeCell ref="J100:J101"/>
    <mergeCell ref="K100:K101"/>
    <mergeCell ref="O100:O101"/>
    <mergeCell ref="B105:O106"/>
    <mergeCell ref="L133:M134"/>
    <mergeCell ref="N133:N134"/>
    <mergeCell ref="B135:B137"/>
    <mergeCell ref="C135:H137"/>
    <mergeCell ref="J135:J136"/>
    <mergeCell ref="K135:K136"/>
    <mergeCell ref="O135:O136"/>
    <mergeCell ref="B140:O141"/>
    <mergeCell ref="L168:M169"/>
    <mergeCell ref="N168:N169"/>
    <mergeCell ref="B170:B172"/>
    <mergeCell ref="C170:H172"/>
    <mergeCell ref="J170:J171"/>
    <mergeCell ref="K170:K171"/>
    <mergeCell ref="O170:O171"/>
    <mergeCell ref="B175:O176"/>
    <mergeCell ref="L203:M204"/>
    <mergeCell ref="N203:N204"/>
    <mergeCell ref="B205:B207"/>
    <mergeCell ref="C205:H207"/>
    <mergeCell ref="J205:J206"/>
    <mergeCell ref="K205:K206"/>
    <mergeCell ref="O205:O20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A05D6-5795-46B1-A4E1-4CA55F87440C}">
  <dimension ref="A1:Y68"/>
  <sheetViews>
    <sheetView showGridLines="0" topLeftCell="A40" zoomScale="85" zoomScaleNormal="85" workbookViewId="0">
      <selection activeCell="O18" sqref="O18"/>
    </sheetView>
  </sheetViews>
  <sheetFormatPr defaultRowHeight="13.2" x14ac:dyDescent="0.25"/>
  <cols>
    <col min="2" max="2" width="43.88671875" bestFit="1" customWidth="1"/>
    <col min="3" max="9" width="12.33203125" bestFit="1" customWidth="1"/>
    <col min="10" max="10" width="12.77734375" customWidth="1"/>
    <col min="11" max="13" width="12.33203125" bestFit="1" customWidth="1"/>
    <col min="14" max="14" width="13.88671875" bestFit="1" customWidth="1"/>
    <col min="15" max="15" width="15.109375" bestFit="1" customWidth="1"/>
  </cols>
  <sheetData>
    <row r="1" spans="1:15" ht="24.6" x14ac:dyDescent="0.25">
      <c r="A1" s="96"/>
      <c r="B1" s="348" t="s">
        <v>258</v>
      </c>
      <c r="C1" s="348"/>
      <c r="D1" s="348"/>
      <c r="E1" s="348"/>
      <c r="F1" s="348"/>
      <c r="G1" s="348"/>
      <c r="H1" s="348"/>
      <c r="I1" s="348"/>
      <c r="J1" s="348"/>
      <c r="K1" s="348"/>
      <c r="L1" s="348"/>
      <c r="M1" s="348"/>
      <c r="N1" s="348"/>
      <c r="O1" s="348"/>
    </row>
    <row r="2" spans="1:15" ht="24.6" x14ac:dyDescent="0.25">
      <c r="A2" s="96"/>
      <c r="B2" s="349"/>
      <c r="C2" s="349"/>
      <c r="D2" s="349"/>
      <c r="E2" s="349"/>
      <c r="F2" s="349"/>
      <c r="G2" s="349"/>
      <c r="H2" s="349"/>
      <c r="I2" s="349"/>
      <c r="J2" s="349"/>
      <c r="K2" s="349"/>
      <c r="L2" s="349"/>
      <c r="M2" s="349"/>
      <c r="N2" s="349"/>
      <c r="O2" s="349"/>
    </row>
    <row r="3" spans="1:15"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row>
    <row r="4" spans="1:15" x14ac:dyDescent="0.25">
      <c r="A4" s="82"/>
      <c r="B4" s="44" t="s">
        <v>194</v>
      </c>
      <c r="C4" s="45">
        <f>'3.1. My Income Tax Calculation'!$P$18/12</f>
        <v>133795085.49927031</v>
      </c>
      <c r="D4" s="45">
        <f>'3.1. My Income Tax Calculation'!$P$18/12</f>
        <v>133795085.49927031</v>
      </c>
      <c r="E4" s="45">
        <f>'3.1. My Income Tax Calculation'!$P$18/12</f>
        <v>133795085.49927031</v>
      </c>
      <c r="F4" s="45">
        <f>'3.1. My Income Tax Calculation'!$P$18/12</f>
        <v>133795085.49927031</v>
      </c>
      <c r="G4" s="45">
        <f>'3.1. My Income Tax Calculation'!$P$18/12</f>
        <v>133795085.49927031</v>
      </c>
      <c r="H4" s="45">
        <f>'3.1. My Income Tax Calculation'!$P$18/12</f>
        <v>133795085.49927031</v>
      </c>
      <c r="I4" s="45">
        <f>'3.1. My Income Tax Calculation'!$P$18/12</f>
        <v>133795085.49927031</v>
      </c>
      <c r="J4" s="45">
        <f>'3.1. My Income Tax Calculation'!$P$18/12</f>
        <v>133795085.49927031</v>
      </c>
      <c r="K4" s="45">
        <f>'3.1. My Income Tax Calculation'!$P$18/12</f>
        <v>133795085.49927031</v>
      </c>
      <c r="L4" s="45">
        <f>'3.1. My Income Tax Calculation'!$P$18/12</f>
        <v>133795085.49927031</v>
      </c>
      <c r="M4" s="45">
        <f>'3.1. My Income Tax Calculation'!$P$18/12</f>
        <v>133795085.49927031</v>
      </c>
      <c r="N4" s="45">
        <f>'3.1. My Income Tax Calculation'!$P$18/12</f>
        <v>133795085.49927031</v>
      </c>
      <c r="O4" s="45" t="s">
        <v>173</v>
      </c>
    </row>
    <row r="5" spans="1:15" x14ac:dyDescent="0.25">
      <c r="A5" s="82"/>
      <c r="B5" s="44" t="s">
        <v>246</v>
      </c>
      <c r="C5" s="45">
        <f>'3.2. My wife''s Tax Calc'!$P$18/12</f>
        <v>60339822.977275342</v>
      </c>
      <c r="D5" s="45">
        <f>'3.2. My wife''s Tax Calc'!$P$18/12</f>
        <v>60339822.977275342</v>
      </c>
      <c r="E5" s="45">
        <f>'3.2. My wife''s Tax Calc'!$P$18/12</f>
        <v>60339822.977275342</v>
      </c>
      <c r="F5" s="45">
        <f>'3.2. My wife''s Tax Calc'!$P$18/12</f>
        <v>60339822.977275342</v>
      </c>
      <c r="G5" s="45">
        <f>'3.2. My wife''s Tax Calc'!$P$18/12</f>
        <v>60339822.977275342</v>
      </c>
      <c r="H5" s="45">
        <f>'3.2. My wife''s Tax Calc'!$P$18/12</f>
        <v>60339822.977275342</v>
      </c>
      <c r="I5" s="45">
        <f>'3.2. My wife''s Tax Calc'!$P$18/12</f>
        <v>60339822.977275342</v>
      </c>
      <c r="J5" s="45">
        <f>'3.2. My wife''s Tax Calc'!$P$18/12</f>
        <v>60339822.977275342</v>
      </c>
      <c r="K5" s="45">
        <f>'3.2. My wife''s Tax Calc'!$P$18/12</f>
        <v>60339822.977275342</v>
      </c>
      <c r="L5" s="45">
        <f>'3.2. My wife''s Tax Calc'!$P$18/12</f>
        <v>60339822.977275342</v>
      </c>
      <c r="M5" s="45">
        <f>'3.2. My wife''s Tax Calc'!$P$18/12</f>
        <v>60339822.977275342</v>
      </c>
      <c r="N5" s="45">
        <f>'3.2. My wife''s Tax Calc'!$P$18/12</f>
        <v>60339822.977275342</v>
      </c>
      <c r="O5" s="45" t="s">
        <v>173</v>
      </c>
    </row>
    <row r="6" spans="1:15" x14ac:dyDescent="0.25">
      <c r="A6" s="82"/>
      <c r="B6" s="46" t="s">
        <v>209</v>
      </c>
      <c r="C6" s="47">
        <f>SUM(C4:C5)</f>
        <v>194134908.47654563</v>
      </c>
      <c r="D6" s="47">
        <f t="shared" ref="D6:J6" si="0">SUM(D4:D5)</f>
        <v>194134908.47654563</v>
      </c>
      <c r="E6" s="47">
        <f t="shared" si="0"/>
        <v>194134908.47654563</v>
      </c>
      <c r="F6" s="47">
        <f t="shared" si="0"/>
        <v>194134908.47654563</v>
      </c>
      <c r="G6" s="47">
        <f t="shared" si="0"/>
        <v>194134908.47654563</v>
      </c>
      <c r="H6" s="47">
        <f t="shared" si="0"/>
        <v>194134908.47654563</v>
      </c>
      <c r="I6" s="47">
        <f t="shared" si="0"/>
        <v>194134908.47654563</v>
      </c>
      <c r="J6" s="47">
        <f t="shared" si="0"/>
        <v>194134908.47654563</v>
      </c>
      <c r="K6" s="47">
        <f>SUM(K4:K5)</f>
        <v>194134908.47654563</v>
      </c>
      <c r="L6" s="47">
        <f t="shared" ref="L6:N6" si="1">SUM(L4:L5)</f>
        <v>194134908.47654563</v>
      </c>
      <c r="M6" s="47">
        <f t="shared" si="1"/>
        <v>194134908.47654563</v>
      </c>
      <c r="N6" s="47">
        <f t="shared" si="1"/>
        <v>194134908.47654563</v>
      </c>
      <c r="O6" s="47">
        <f>SUM(C6:N6)</f>
        <v>2329618901.7185473</v>
      </c>
    </row>
    <row r="7" spans="1:15" x14ac:dyDescent="0.25">
      <c r="A7" s="82"/>
      <c r="B7" s="52" t="s">
        <v>78</v>
      </c>
      <c r="C7" s="53" t="s">
        <v>173</v>
      </c>
      <c r="D7" s="53" t="s">
        <v>173</v>
      </c>
      <c r="E7" s="53" t="s">
        <v>173</v>
      </c>
      <c r="F7" s="53" t="s">
        <v>173</v>
      </c>
      <c r="G7" s="53" t="s">
        <v>173</v>
      </c>
      <c r="H7" s="53" t="s">
        <v>173</v>
      </c>
      <c r="I7" s="53" t="s">
        <v>173</v>
      </c>
      <c r="J7" s="53" t="s">
        <v>173</v>
      </c>
      <c r="K7" s="53" t="s">
        <v>173</v>
      </c>
      <c r="L7" s="53" t="s">
        <v>173</v>
      </c>
      <c r="M7" s="53" t="s">
        <v>173</v>
      </c>
      <c r="N7" s="53" t="s">
        <v>173</v>
      </c>
      <c r="O7" s="91" t="s">
        <v>173</v>
      </c>
    </row>
    <row r="8" spans="1:15" x14ac:dyDescent="0.25">
      <c r="A8" s="82"/>
      <c r="B8" s="48" t="s">
        <v>79</v>
      </c>
      <c r="C8" s="54" t="s">
        <v>173</v>
      </c>
      <c r="D8" s="54" t="s">
        <v>173</v>
      </c>
      <c r="E8" s="54" t="s">
        <v>173</v>
      </c>
      <c r="F8" s="54" t="s">
        <v>173</v>
      </c>
      <c r="G8" s="54" t="s">
        <v>173</v>
      </c>
      <c r="H8" s="54" t="s">
        <v>173</v>
      </c>
      <c r="I8" s="54" t="s">
        <v>173</v>
      </c>
      <c r="J8" s="54" t="s">
        <v>173</v>
      </c>
      <c r="K8" s="54" t="s">
        <v>173</v>
      </c>
      <c r="L8" s="54" t="s">
        <v>173</v>
      </c>
      <c r="M8" s="54" t="s">
        <v>173</v>
      </c>
      <c r="N8" s="54" t="s">
        <v>173</v>
      </c>
      <c r="O8" s="91" t="s">
        <v>173</v>
      </c>
    </row>
    <row r="9" spans="1:15" x14ac:dyDescent="0.25">
      <c r="A9" s="83"/>
      <c r="B9" s="49" t="s">
        <v>195</v>
      </c>
      <c r="C9" s="50">
        <f>'7.3. Stage 3 budget'!C183*(1+'7.4. Stage 4 budget'!$K$31)</f>
        <v>247233.5244359895</v>
      </c>
      <c r="D9" s="50">
        <v>0</v>
      </c>
      <c r="E9" s="50">
        <v>0</v>
      </c>
      <c r="F9" s="50">
        <v>0</v>
      </c>
      <c r="G9" s="50">
        <v>0</v>
      </c>
      <c r="H9" s="50">
        <v>0</v>
      </c>
      <c r="I9" s="50">
        <v>0</v>
      </c>
      <c r="J9" s="50">
        <v>0</v>
      </c>
      <c r="K9" s="50">
        <v>0</v>
      </c>
      <c r="L9" s="50">
        <v>0</v>
      </c>
      <c r="M9" s="50">
        <v>0</v>
      </c>
      <c r="N9" s="50">
        <v>0</v>
      </c>
      <c r="O9" s="90">
        <f t="shared" ref="O9:O12" si="2">SUM(C9:N9)</f>
        <v>247233.5244359895</v>
      </c>
    </row>
    <row r="10" spans="1:15" x14ac:dyDescent="0.25">
      <c r="A10" s="82"/>
      <c r="B10" s="51" t="s">
        <v>178</v>
      </c>
      <c r="C10" s="50">
        <f>'7.3. Stage 3 budget'!C184*(1+'7.4. Stage 4 budget'!$K$31)</f>
        <v>1872981.2457271928</v>
      </c>
      <c r="D10" s="50">
        <f>'7.3. Stage 3 budget'!D184*(1+'7.4. Stage 4 budget'!$K$31)</f>
        <v>1872981.2457271928</v>
      </c>
      <c r="E10" s="50">
        <f>'7.3. Stage 3 budget'!E184*(1+'7.4. Stage 4 budget'!$K$31)</f>
        <v>1872981.2457271928</v>
      </c>
      <c r="F10" s="50">
        <f>'7.3. Stage 3 budget'!F184*(1+'7.4. Stage 4 budget'!$K$31)</f>
        <v>1872981.2457271928</v>
      </c>
      <c r="G10" s="50">
        <f>'7.3. Stage 3 budget'!G184*(1+'7.4. Stage 4 budget'!$K$31)</f>
        <v>1872981.2457271928</v>
      </c>
      <c r="H10" s="50">
        <f>'7.3. Stage 3 budget'!H184*(1+'7.4. Stage 4 budget'!$K$31)</f>
        <v>1872981.2457271928</v>
      </c>
      <c r="I10" s="50">
        <f>'7.3. Stage 3 budget'!I184*(1+'7.4. Stage 4 budget'!$K$31)</f>
        <v>1872981.2457271928</v>
      </c>
      <c r="J10" s="50">
        <f>'7.3. Stage 3 budget'!J184*(1+'7.4. Stage 4 budget'!$K$31)</f>
        <v>1872981.2457271928</v>
      </c>
      <c r="K10" s="50">
        <f>'7.3. Stage 3 budget'!K184*(1+'7.4. Stage 4 budget'!$K$31)</f>
        <v>1872981.2457271928</v>
      </c>
      <c r="L10" s="50">
        <f>'7.3. Stage 3 budget'!L184*(1+'7.4. Stage 4 budget'!$K$31)</f>
        <v>1872981.2457271928</v>
      </c>
      <c r="M10" s="50">
        <f>'7.3. Stage 3 budget'!M184*(1+'7.4. Stage 4 budget'!$K$31)</f>
        <v>1872981.2457271928</v>
      </c>
      <c r="N10" s="50">
        <f>'7.3. Stage 3 budget'!N184*(1+'7.4. Stage 4 budget'!$K$31)</f>
        <v>1872981.2457271928</v>
      </c>
      <c r="O10" s="90">
        <f t="shared" si="2"/>
        <v>22475774.948726315</v>
      </c>
    </row>
    <row r="11" spans="1:15" x14ac:dyDescent="0.25">
      <c r="A11" s="84"/>
      <c r="B11" s="51" t="s">
        <v>248</v>
      </c>
      <c r="C11" s="50">
        <f>'7.3. Stage 3 budget'!C185*(1+'7.4. Stage 4 budget'!$K$31)</f>
        <v>224757.74948726318</v>
      </c>
      <c r="D11" s="50">
        <f>'7.3. Stage 3 budget'!D185*(1+'7.4. Stage 4 budget'!$K$31)</f>
        <v>224757.74948726318</v>
      </c>
      <c r="E11" s="50">
        <f>'7.3. Stage 3 budget'!E185*(1+'7.4. Stage 4 budget'!$K$31)</f>
        <v>224757.74948726318</v>
      </c>
      <c r="F11" s="50">
        <f>'7.3. Stage 3 budget'!F185*(1+'7.4. Stage 4 budget'!$K$31)</f>
        <v>224757.74948726318</v>
      </c>
      <c r="G11" s="50">
        <f>'7.3. Stage 3 budget'!G185*(1+'7.4. Stage 4 budget'!$K$31)</f>
        <v>224757.74948726318</v>
      </c>
      <c r="H11" s="50">
        <f>'7.3. Stage 3 budget'!H185*(1+'7.4. Stage 4 budget'!$K$31)</f>
        <v>224757.74948726318</v>
      </c>
      <c r="I11" s="50">
        <f>'7.3. Stage 3 budget'!I185*(1+'7.4. Stage 4 budget'!$K$31)</f>
        <v>224757.74948726318</v>
      </c>
      <c r="J11" s="50">
        <f>'7.3. Stage 3 budget'!J185*(1+'7.4. Stage 4 budget'!$K$31)</f>
        <v>224757.74948726318</v>
      </c>
      <c r="K11" s="50">
        <f>'7.3. Stage 3 budget'!K185*(1+'7.4. Stage 4 budget'!$K$31)</f>
        <v>224757.74948726318</v>
      </c>
      <c r="L11" s="50">
        <f>'7.3. Stage 3 budget'!L185*(1+'7.4. Stage 4 budget'!$K$31)</f>
        <v>224757.74948726318</v>
      </c>
      <c r="M11" s="50">
        <f>'7.3. Stage 3 budget'!M185*(1+'7.4. Stage 4 budget'!$K$31)</f>
        <v>224757.74948726318</v>
      </c>
      <c r="N11" s="50">
        <f>'7.3. Stage 3 budget'!N185*(1+'7.4. Stage 4 budget'!$K$31)</f>
        <v>224757.74948726318</v>
      </c>
      <c r="O11" s="90">
        <f t="shared" si="2"/>
        <v>2697092.9938471583</v>
      </c>
    </row>
    <row r="12" spans="1:15" x14ac:dyDescent="0.25">
      <c r="A12" s="82"/>
      <c r="B12" s="46" t="s">
        <v>207</v>
      </c>
      <c r="C12" s="47">
        <f t="shared" ref="C12:N12" si="3">SUM(C9:C11)</f>
        <v>2344972.5196504453</v>
      </c>
      <c r="D12" s="47">
        <f t="shared" si="3"/>
        <v>2097738.9952144562</v>
      </c>
      <c r="E12" s="47">
        <f t="shared" si="3"/>
        <v>2097738.9952144562</v>
      </c>
      <c r="F12" s="47">
        <f t="shared" si="3"/>
        <v>2097738.9952144562</v>
      </c>
      <c r="G12" s="47">
        <f t="shared" si="3"/>
        <v>2097738.9952144562</v>
      </c>
      <c r="H12" s="47">
        <f t="shared" si="3"/>
        <v>2097738.9952144562</v>
      </c>
      <c r="I12" s="47">
        <f t="shared" si="3"/>
        <v>2097738.9952144562</v>
      </c>
      <c r="J12" s="47">
        <f t="shared" si="3"/>
        <v>2097738.9952144562</v>
      </c>
      <c r="K12" s="47">
        <f t="shared" si="3"/>
        <v>2097738.9952144562</v>
      </c>
      <c r="L12" s="47">
        <f t="shared" si="3"/>
        <v>2097738.9952144562</v>
      </c>
      <c r="M12" s="47">
        <f t="shared" si="3"/>
        <v>2097738.9952144562</v>
      </c>
      <c r="N12" s="47">
        <f t="shared" si="3"/>
        <v>2097738.9952144562</v>
      </c>
      <c r="O12" s="47">
        <f t="shared" si="2"/>
        <v>25420101.467009459</v>
      </c>
    </row>
    <row r="13" spans="1:15"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row>
    <row r="14" spans="1:15" x14ac:dyDescent="0.25">
      <c r="A14" s="82"/>
      <c r="B14" s="57" t="s">
        <v>210</v>
      </c>
      <c r="C14" s="89">
        <f>('7.3. Stage 3 budget'!C188*(1+'7.4. Stage 4 budget'!$K$31))*4/3</f>
        <v>2479827.1693428042</v>
      </c>
      <c r="D14" s="89">
        <f>('7.3. Stage 3 budget'!D188*(1+'7.4. Stage 4 budget'!$K$31))*4/3</f>
        <v>2989278.0681806006</v>
      </c>
      <c r="E14" s="89">
        <f>('7.3. Stage 3 budget'!E188*(1+'7.4. Stage 4 budget'!$K$31))*4/3</f>
        <v>2757028.3937104275</v>
      </c>
      <c r="F14" s="89">
        <f>('7.3. Stage 3 budget'!F188*(1+'7.4. Stage 4 budget'!$K$31))*4/3</f>
        <v>2577222.1941206176</v>
      </c>
      <c r="G14" s="89">
        <f>('7.3. Stage 3 budget'!G188*(1+'7.4. Stage 4 budget'!$K$31))*4/3</f>
        <v>2367448.2945991727</v>
      </c>
      <c r="H14" s="89">
        <f>('7.3. Stage 3 budget'!H188*(1+'7.4. Stage 4 budget'!$K$31))*4/3</f>
        <v>2966802.2932318733</v>
      </c>
      <c r="I14" s="89">
        <f>('7.3. Stage 3 budget'!I188*(1+'7.4. Stage 4 budget'!$K$31))*4/3</f>
        <v>3461269.3421038524</v>
      </c>
      <c r="J14" s="89">
        <f>('7.3. Stage 3 budget'!J188*(1+'7.4. Stage 4 budget'!$K$31))*4/3</f>
        <v>3318922.7674285863</v>
      </c>
      <c r="K14" s="89">
        <f>('7.3. Stage 3 budget'!K188*(1+'7.4. Stage 4 budget'!$K$31))*4/3</f>
        <v>2562238.3441548003</v>
      </c>
      <c r="L14" s="89">
        <f>('7.3. Stage 3 budget'!L188*(1+'7.4. Stage 4 budget'!$K$31))*4/3</f>
        <v>2629665.669000979</v>
      </c>
      <c r="M14" s="89">
        <f>('7.3. Stage 3 budget'!M188*(1+'7.4. Stage 4 budget'!$K$31))*4/3</f>
        <v>2502302.9442915302</v>
      </c>
      <c r="N14" s="89">
        <f>('7.3. Stage 3 budget'!N188*(1+'7.4. Stage 4 budget'!$K$31))*4/3</f>
        <v>2704584.9188300665</v>
      </c>
      <c r="O14" s="92">
        <f t="shared" ref="O14:O22" si="4">SUM(C14:N14)</f>
        <v>33316590.39899531</v>
      </c>
    </row>
    <row r="15" spans="1:15" x14ac:dyDescent="0.25">
      <c r="A15" s="82"/>
      <c r="B15" s="57" t="s">
        <v>203</v>
      </c>
      <c r="C15" s="89">
        <f>('7.3. Stage 3 budget'!C189*(1+'7.4. Stage 4 budget'!$K$31))*4/3</f>
        <v>8952850.3545759823</v>
      </c>
      <c r="D15" s="89">
        <f>('7.3. Stage 3 budget'!D189*(1+'7.4. Stage 4 budget'!$K$31))*4/3</f>
        <v>9642107.4530035909</v>
      </c>
      <c r="E15" s="89">
        <f>('7.3. Stage 3 budget'!E189*(1+'7.4. Stage 4 budget'!$K$31))*4/3</f>
        <v>10810847.750337359</v>
      </c>
      <c r="F15" s="89">
        <f>('7.3. Stage 3 budget'!F189*(1+'7.4. Stage 4 budget'!$K$31))*4/3</f>
        <v>8196165.9313022001</v>
      </c>
      <c r="G15" s="89">
        <f>('7.3. Stage 3 budget'!G189*(1+'7.4. Stage 4 budget'!$K$31))*4/3</f>
        <v>10908242.775115173</v>
      </c>
      <c r="H15" s="89">
        <f>('7.3. Stage 3 budget'!H189*(1+'7.4. Stage 4 budget'!$K$31))*4/3</f>
        <v>10278921.076550836</v>
      </c>
      <c r="I15" s="89">
        <f>('7.3. Stage 3 budget'!I189*(1+'7.4. Stage 4 budget'!$K$31))*4/3</f>
        <v>9432333.5534821469</v>
      </c>
      <c r="J15" s="89">
        <f>('7.3. Stage 3 budget'!J189*(1+'7.4. Stage 4 budget'!$K$31))*4/3</f>
        <v>11215411.699414432</v>
      </c>
      <c r="K15" s="89">
        <f>('7.3. Stage 3 budget'!K189*(1+'7.4. Stage 4 budget'!$K$31))*4/3</f>
        <v>10960686.249995532</v>
      </c>
      <c r="L15" s="89">
        <f>('7.3. Stage 3 budget'!L189*(1+'7.4. Stage 4 budget'!$K$31))*4/3</f>
        <v>10960686.249995532</v>
      </c>
      <c r="M15" s="89">
        <f>('7.3. Stage 3 budget'!M189*(1+'7.4. Stage 4 budget'!$K$31))*4/3</f>
        <v>8518318.7055672761</v>
      </c>
      <c r="N15" s="89">
        <f>('7.3. Stage 3 budget'!N189*(1+'7.4. Stage 4 budget'!$K$31))*4/3</f>
        <v>10503678.826038102</v>
      </c>
      <c r="O15" s="92">
        <f t="shared" si="4"/>
        <v>120380250.62537816</v>
      </c>
    </row>
    <row r="16" spans="1:15" x14ac:dyDescent="0.25">
      <c r="A16" s="82"/>
      <c r="B16" s="58" t="s">
        <v>84</v>
      </c>
      <c r="C16" s="89">
        <f>('7.3. Stage 3 budget'!C190*(1+'7.4. Stage 4 budget'!$K$31))*4/3</f>
        <v>7918964.7069345703</v>
      </c>
      <c r="D16" s="89">
        <f>('7.3. Stage 3 budget'!D190*(1+'7.4. Stage 4 budget'!$K$31))*4/3</f>
        <v>8645681.4302767236</v>
      </c>
      <c r="E16" s="89">
        <f>('7.3. Stage 3 budget'!E190*(1+'7.4. Stage 4 budget'!$K$31))*4/3</f>
        <v>8675649.13020836</v>
      </c>
      <c r="F16" s="89">
        <f>('7.3. Stage 3 budget'!F190*(1+'7.4. Stage 4 budget'!$K$31))*4/3</f>
        <v>8960342.2795588914</v>
      </c>
      <c r="G16" s="89">
        <f>('7.3. Stage 3 budget'!G190*(1+'7.4. Stage 4 budget'!$K$31))*4/3</f>
        <v>10601073.850815913</v>
      </c>
      <c r="H16" s="89">
        <f>('7.3. Stage 3 budget'!H190*(1+'7.4. Stage 4 budget'!$K$31))*4/3</f>
        <v>9170116.1790803373</v>
      </c>
      <c r="I16" s="89">
        <f>('7.3. Stage 3 budget'!I190*(1+'7.4. Stage 4 budget'!$K$31))*4/3</f>
        <v>9522236.6532770526</v>
      </c>
      <c r="J16" s="89">
        <f>('7.3. Stage 3 budget'!J190*(1+'7.4. Stage 4 budget'!$K$31))*4/3</f>
        <v>10960686.249995532</v>
      </c>
      <c r="K16" s="89">
        <f>('7.3. Stage 3 budget'!K190*(1+'7.4. Stage 4 budget'!$K$31))*4/3</f>
        <v>10031687.55211485</v>
      </c>
      <c r="L16" s="89">
        <f>('7.3. Stage 3 budget'!L190*(1+'7.4. Stage 4 budget'!$K$31))*4/3</f>
        <v>10016703.70214903</v>
      </c>
      <c r="M16" s="89">
        <f>('7.3. Stage 3 budget'!M190*(1+'7.4. Stage 4 budget'!$K$31))*4/3</f>
        <v>10720944.650542455</v>
      </c>
      <c r="N16" s="89">
        <f>('7.3. Stage 3 budget'!N190*(1+'7.4. Stage 4 budget'!$K$31))*4/3</f>
        <v>8608221.8053621817</v>
      </c>
      <c r="O16" s="92">
        <f t="shared" si="4"/>
        <v>113832308.19031589</v>
      </c>
    </row>
    <row r="17" spans="1:25" x14ac:dyDescent="0.25">
      <c r="A17" s="82"/>
      <c r="B17" s="57" t="s">
        <v>85</v>
      </c>
      <c r="C17" s="89">
        <f>('7.3. Stage 3 budget'!C191*(1+'7.4. Stage 4 budget'!$K$31))*4/3</f>
        <v>9200083.8790119756</v>
      </c>
      <c r="D17" s="89">
        <f>('7.3. Stage 3 budget'!D191*(1+'7.4. Stage 4 budget'!$K$31))*4/3</f>
        <v>7874013.1570371231</v>
      </c>
      <c r="E17" s="89">
        <f>('7.3. Stage 3 budget'!E191*(1+'7.4. Stage 4 budget'!$K$31))*4/3</f>
        <v>8151214.3814047454</v>
      </c>
      <c r="F17" s="89">
        <f>('7.3. Stage 3 budget'!F191*(1+'7.4. Stage 4 budget'!$K$31))*4/3</f>
        <v>8278577.1061141938</v>
      </c>
      <c r="G17" s="89">
        <f>('7.3. Stage 3 budget'!G191*(1+'7.4. Stage 4 budget'!$K$31))*4/3</f>
        <v>11133000.524602437</v>
      </c>
      <c r="H17" s="89">
        <f>('7.3. Stage 3 budget'!H191*(1+'7.4. Stage 4 budget'!$K$31))*4/3</f>
        <v>8173690.1563534737</v>
      </c>
      <c r="I17" s="89">
        <f>('7.3. Stage 3 budget'!I191*(1+'7.4. Stage 4 budget'!$K$31))*4/3</f>
        <v>9484777.028362507</v>
      </c>
      <c r="J17" s="89">
        <f>('7.3. Stage 3 budget'!J191*(1+'7.4. Stage 4 budget'!$K$31))*4/3</f>
        <v>7506908.8328745915</v>
      </c>
      <c r="K17" s="89">
        <f>('7.3. Stage 3 budget'!K191*(1+'7.4. Stage 4 budget'!$K$31))*4/3</f>
        <v>9761978.252730133</v>
      </c>
      <c r="L17" s="89">
        <f>('7.3. Stage 3 budget'!L191*(1+'7.4. Stage 4 budget'!$K$31))*4/3</f>
        <v>7754142.3573105782</v>
      </c>
      <c r="M17" s="89">
        <f>('7.3. Stage 3 budget'!M191*(1+'7.4. Stage 4 budget'!$K$31))*4/3</f>
        <v>9874357.1274737623</v>
      </c>
      <c r="N17" s="89">
        <f>('7.3. Stage 3 budget'!N191*(1+'7.4. Stage 4 budget'!$K$31))*4/3</f>
        <v>9402365.8535505105</v>
      </c>
      <c r="O17" s="92">
        <f t="shared" si="4"/>
        <v>106595108.65682602</v>
      </c>
    </row>
    <row r="18" spans="1:25" x14ac:dyDescent="0.25">
      <c r="A18" s="84"/>
      <c r="B18" s="58" t="s">
        <v>249</v>
      </c>
      <c r="C18" s="89">
        <f t="shared" ref="C18:N18" si="5">C6*5%</f>
        <v>9706745.4238272812</v>
      </c>
      <c r="D18" s="89">
        <f t="shared" si="5"/>
        <v>9706745.4238272812</v>
      </c>
      <c r="E18" s="89">
        <f t="shared" si="5"/>
        <v>9706745.4238272812</v>
      </c>
      <c r="F18" s="89">
        <f t="shared" si="5"/>
        <v>9706745.4238272812</v>
      </c>
      <c r="G18" s="89">
        <f t="shared" si="5"/>
        <v>9706745.4238272812</v>
      </c>
      <c r="H18" s="89">
        <f t="shared" si="5"/>
        <v>9706745.4238272812</v>
      </c>
      <c r="I18" s="89">
        <f t="shared" si="5"/>
        <v>9706745.4238272812</v>
      </c>
      <c r="J18" s="89">
        <f t="shared" si="5"/>
        <v>9706745.4238272812</v>
      </c>
      <c r="K18" s="89">
        <f t="shared" si="5"/>
        <v>9706745.4238272812</v>
      </c>
      <c r="L18" s="89">
        <f t="shared" si="5"/>
        <v>9706745.4238272812</v>
      </c>
      <c r="M18" s="89">
        <f t="shared" si="5"/>
        <v>9706745.4238272812</v>
      </c>
      <c r="N18" s="89">
        <f t="shared" si="5"/>
        <v>9706745.4238272812</v>
      </c>
      <c r="O18" s="92">
        <f t="shared" si="4"/>
        <v>116480945.08592735</v>
      </c>
    </row>
    <row r="19" spans="1:25" x14ac:dyDescent="0.25">
      <c r="A19" s="84"/>
      <c r="B19" s="58" t="s">
        <v>180</v>
      </c>
      <c r="C19" s="89">
        <f>('7.3. Stage 3 budget'!C194*(1+'7.4. Stage 4 budget'!$K$31))*4/3</f>
        <v>10878275.075183535</v>
      </c>
      <c r="D19" s="89">
        <f>('7.3. Stage 3 budget'!D194*(1+'7.4. Stage 4 budget'!$K$31))*4/3</f>
        <v>10735928.500508269</v>
      </c>
      <c r="E19" s="89">
        <f>('7.3. Stage 3 budget'!E194*(1+'7.4. Stage 4 budget'!$K$31))*4/3</f>
        <v>8922882.6546443496</v>
      </c>
      <c r="F19" s="89">
        <f>('7.3. Stage 3 budget'!F194*(1+'7.4. Stage 4 budget'!$K$31))*4/3</f>
        <v>9851881.3525250386</v>
      </c>
      <c r="G19" s="89">
        <f>('7.3. Stage 3 budget'!G194*(1+'7.4. Stage 4 budget'!$K$31))*4/3</f>
        <v>7769126.2072763992</v>
      </c>
      <c r="H19" s="89">
        <f>('7.3. Stage 3 budget'!H194*(1+'7.4. Stage 4 budget'!$K$31))*4/3</f>
        <v>8638189.5052938163</v>
      </c>
      <c r="I19" s="89">
        <f>('7.3. Stage 3 budget'!I194*(1+'7.4. Stage 4 budget'!$K$31))*4/3</f>
        <v>8937866.5046101678</v>
      </c>
      <c r="J19" s="89">
        <f>('7.3. Stage 3 budget'!J194*(1+'7.4. Stage 4 budget'!$K$31))*4/3</f>
        <v>10593581.925833004</v>
      </c>
      <c r="K19" s="89">
        <f>('7.3. Stage 3 budget'!K194*(1+'7.4. Stage 4 budget'!$K$31))*4/3</f>
        <v>8293560.956080012</v>
      </c>
      <c r="L19" s="89">
        <f>('7.3. Stage 3 budget'!L194*(1+'7.4. Stage 4 budget'!$K$31))*4/3</f>
        <v>8877931.1047468949</v>
      </c>
      <c r="M19" s="89">
        <f>('7.3. Stage 3 budget'!M194*(1+'7.4. Stage 4 budget'!$K$31))*4/3</f>
        <v>8892914.9547127113</v>
      </c>
      <c r="N19" s="89">
        <f>('7.3. Stage 3 budget'!N194*(1+'7.4. Stage 4 budget'!$K$31))*4/3</f>
        <v>8668157.2052254509</v>
      </c>
      <c r="O19" s="92">
        <f t="shared" si="4"/>
        <v>111060295.94663964</v>
      </c>
    </row>
    <row r="20" spans="1:25" x14ac:dyDescent="0.25">
      <c r="A20" s="84"/>
      <c r="B20" s="58" t="s">
        <v>417</v>
      </c>
      <c r="C20" s="89">
        <f>'13. Insurance package'!$H$2/12*2</f>
        <v>7499166.666666667</v>
      </c>
      <c r="D20" s="89">
        <f>'13. Insurance package'!$H$2/12*2</f>
        <v>7499166.666666667</v>
      </c>
      <c r="E20" s="89">
        <f>'13. Insurance package'!$H$2/12*2</f>
        <v>7499166.666666667</v>
      </c>
      <c r="F20" s="89">
        <f>'13. Insurance package'!$H$2/12*2</f>
        <v>7499166.666666667</v>
      </c>
      <c r="G20" s="89">
        <f>'13. Insurance package'!$H$2/12*2</f>
        <v>7499166.666666667</v>
      </c>
      <c r="H20" s="89">
        <f>'13. Insurance package'!$H$2/12*2</f>
        <v>7499166.666666667</v>
      </c>
      <c r="I20" s="89">
        <f>'13. Insurance package'!$H$2/12*2</f>
        <v>7499166.666666667</v>
      </c>
      <c r="J20" s="89">
        <f>'13. Insurance package'!$H$2/12*2</f>
        <v>7499166.666666667</v>
      </c>
      <c r="K20" s="89">
        <f>'13. Insurance package'!$H$2/12*2</f>
        <v>7499166.666666667</v>
      </c>
      <c r="L20" s="89">
        <f>'13. Insurance package'!$H$2/12*2</f>
        <v>7499166.666666667</v>
      </c>
      <c r="M20" s="89">
        <f>'13. Insurance package'!$H$2/12*2</f>
        <v>7499166.666666667</v>
      </c>
      <c r="N20" s="89">
        <f>'13. Insurance package'!$H$2/12*2</f>
        <v>7499166.666666667</v>
      </c>
      <c r="O20" s="92">
        <f t="shared" si="4"/>
        <v>89990000.000000015</v>
      </c>
    </row>
    <row r="21" spans="1:25" x14ac:dyDescent="0.25">
      <c r="A21" s="84"/>
      <c r="B21" s="58" t="s">
        <v>86</v>
      </c>
      <c r="C21" s="89">
        <f>('7.3. Stage 3 budget'!C195*(1+'7.4. Stage 4 budget'!$K$31))*4/3</f>
        <v>7918964.7069345703</v>
      </c>
      <c r="D21" s="89">
        <f>('7.3. Stage 3 budget'!D195*(1+'7.4. Stage 4 budget'!$K$31))*4/3</f>
        <v>7829061.6071396684</v>
      </c>
      <c r="E21" s="89">
        <f>('7.3. Stage 3 budget'!E195*(1+'7.4. Stage 4 budget'!$K$31))*4/3</f>
        <v>7596811.932669498</v>
      </c>
      <c r="F21" s="89">
        <f>('7.3. Stage 3 budget'!F195*(1+'7.4. Stage 4 budget'!$K$31))*4/3</f>
        <v>9911816.752388306</v>
      </c>
      <c r="G21" s="89">
        <f>('7.3. Stage 3 budget'!G195*(1+'7.4. Stage 4 budget'!$K$31))*4/3</f>
        <v>9222559.6539606974</v>
      </c>
      <c r="H21" s="89">
        <f>('7.3. Stage 3 budget'!H195*(1+'7.4. Stage 4 budget'!$K$31))*4/3</f>
        <v>7679223.1074814936</v>
      </c>
      <c r="I21" s="89">
        <f>('7.3. Stage 3 budget'!I195*(1+'7.4. Stage 4 budget'!$K$31))*4/3</f>
        <v>10413775.726243196</v>
      </c>
      <c r="J21" s="89">
        <f>('7.3. Stage 3 budget'!J195*(1+'7.4. Stage 4 budget'!$K$31))*4/3</f>
        <v>9994227.9272003043</v>
      </c>
      <c r="K21" s="89">
        <f>('7.3. Stage 3 budget'!K195*(1+'7.4. Stage 4 budget'!$K$31))*4/3</f>
        <v>8046327.4316440234</v>
      </c>
      <c r="L21" s="89">
        <f>('7.3. Stage 3 budget'!L195*(1+'7.4. Stage 4 budget'!$K$31))*4/3</f>
        <v>8323528.6560116475</v>
      </c>
      <c r="M21" s="89">
        <f>('7.3. Stage 3 budget'!M195*(1+'7.4. Stage 4 budget'!$K$31))*4/3</f>
        <v>10121590.651909752</v>
      </c>
      <c r="N21" s="89">
        <f>('7.3. Stage 3 budget'!N195*(1+'7.4. Stage 4 budget'!$K$31))*4/3</f>
        <v>10653517.325696277</v>
      </c>
      <c r="O21" s="92">
        <f t="shared" si="4"/>
        <v>107711405.47927943</v>
      </c>
    </row>
    <row r="22" spans="1:25" x14ac:dyDescent="0.25">
      <c r="A22" s="82"/>
      <c r="B22" s="46" t="s">
        <v>208</v>
      </c>
      <c r="C22" s="47">
        <f t="shared" ref="C22:N22" si="6">SUM(C14:C21)</f>
        <v>64554877.982477382</v>
      </c>
      <c r="D22" s="47">
        <f t="shared" si="6"/>
        <v>64921982.306639925</v>
      </c>
      <c r="E22" s="47">
        <f t="shared" si="6"/>
        <v>64120346.333468683</v>
      </c>
      <c r="F22" s="47">
        <f t="shared" si="6"/>
        <v>64981917.706503198</v>
      </c>
      <c r="G22" s="47">
        <f t="shared" si="6"/>
        <v>69207363.396863729</v>
      </c>
      <c r="H22" s="47">
        <f t="shared" si="6"/>
        <v>64112854.408485778</v>
      </c>
      <c r="I22" s="47">
        <f t="shared" si="6"/>
        <v>68458170.898572862</v>
      </c>
      <c r="J22" s="47">
        <f t="shared" si="6"/>
        <v>70795651.493240401</v>
      </c>
      <c r="K22" s="47">
        <f t="shared" si="6"/>
        <v>66862390.877213292</v>
      </c>
      <c r="L22" s="47">
        <f t="shared" si="6"/>
        <v>65768569.829708606</v>
      </c>
      <c r="M22" s="47">
        <f t="shared" si="6"/>
        <v>67836341.124991432</v>
      </c>
      <c r="N22" s="47">
        <f t="shared" si="6"/>
        <v>67746438.025196537</v>
      </c>
      <c r="O22" s="47">
        <f t="shared" si="4"/>
        <v>799366904.3833617</v>
      </c>
    </row>
    <row r="23" spans="1:25" x14ac:dyDescent="0.25">
      <c r="A23" s="82"/>
      <c r="B23" s="60" t="s">
        <v>87</v>
      </c>
      <c r="C23" s="47">
        <f t="shared" ref="C23:N23" si="7">C12+C22</f>
        <v>66899850.502127826</v>
      </c>
      <c r="D23" s="47">
        <f t="shared" si="7"/>
        <v>67019721.301854379</v>
      </c>
      <c r="E23" s="47">
        <f t="shared" si="7"/>
        <v>66218085.328683138</v>
      </c>
      <c r="F23" s="47">
        <f t="shared" si="7"/>
        <v>67079656.701717652</v>
      </c>
      <c r="G23" s="47">
        <f t="shared" si="7"/>
        <v>71305102.392078191</v>
      </c>
      <c r="H23" s="47">
        <f t="shared" si="7"/>
        <v>66210593.403700233</v>
      </c>
      <c r="I23" s="47">
        <f t="shared" si="7"/>
        <v>70555909.893787324</v>
      </c>
      <c r="J23" s="47">
        <f t="shared" si="7"/>
        <v>72893390.488454863</v>
      </c>
      <c r="K23" s="47">
        <f t="shared" si="7"/>
        <v>68960129.872427747</v>
      </c>
      <c r="L23" s="47">
        <f t="shared" si="7"/>
        <v>67866308.824923068</v>
      </c>
      <c r="M23" s="47">
        <f t="shared" si="7"/>
        <v>69934080.120205894</v>
      </c>
      <c r="N23" s="47">
        <f t="shared" si="7"/>
        <v>69844177.020411</v>
      </c>
      <c r="O23" s="47">
        <f>SUM(C23:N23)</f>
        <v>824787005.85037124</v>
      </c>
    </row>
    <row r="24" spans="1:25" s="11" customFormat="1" x14ac:dyDescent="0.25">
      <c r="A24" s="82"/>
      <c r="B24" s="108" t="s">
        <v>204</v>
      </c>
      <c r="C24" s="109">
        <f>$O23*(3/12)/12</f>
        <v>17183062.621882733</v>
      </c>
      <c r="D24" s="109">
        <f t="shared" ref="D24:N24" si="8">$O23*(3/12)/12</f>
        <v>17183062.621882733</v>
      </c>
      <c r="E24" s="109">
        <f t="shared" si="8"/>
        <v>17183062.621882733</v>
      </c>
      <c r="F24" s="109">
        <f t="shared" si="8"/>
        <v>17183062.621882733</v>
      </c>
      <c r="G24" s="109">
        <f t="shared" si="8"/>
        <v>17183062.621882733</v>
      </c>
      <c r="H24" s="109">
        <f t="shared" si="8"/>
        <v>17183062.621882733</v>
      </c>
      <c r="I24" s="109">
        <f t="shared" si="8"/>
        <v>17183062.621882733</v>
      </c>
      <c r="J24" s="109">
        <f t="shared" si="8"/>
        <v>17183062.621882733</v>
      </c>
      <c r="K24" s="109">
        <f t="shared" si="8"/>
        <v>17183062.621882733</v>
      </c>
      <c r="L24" s="109">
        <f t="shared" si="8"/>
        <v>17183062.621882733</v>
      </c>
      <c r="M24" s="109">
        <f t="shared" si="8"/>
        <v>17183062.621882733</v>
      </c>
      <c r="N24" s="109">
        <f t="shared" si="8"/>
        <v>17183062.621882733</v>
      </c>
      <c r="O24" s="109">
        <f t="shared" ref="O24:O27" si="9">SUM(C24:N24)</f>
        <v>206196751.46259281</v>
      </c>
      <c r="P24" s="43"/>
      <c r="Q24" s="43"/>
      <c r="R24" s="40"/>
      <c r="S24" s="40"/>
      <c r="T24" s="40"/>
      <c r="U24" s="40"/>
      <c r="V24" s="40"/>
      <c r="W24" s="40"/>
      <c r="X24" s="40"/>
      <c r="Y24" s="40"/>
    </row>
    <row r="25" spans="1:25" s="11" customFormat="1" x14ac:dyDescent="0.25">
      <c r="A25" s="82"/>
      <c r="B25" s="108" t="s">
        <v>82</v>
      </c>
      <c r="C25" s="109">
        <f>'6. Mortgage payment'!$C$7</f>
        <v>28168245.060798287</v>
      </c>
      <c r="D25" s="109">
        <f>'6. Mortgage payment'!$C$7</f>
        <v>28168245.060798287</v>
      </c>
      <c r="E25" s="109">
        <f>'6. Mortgage payment'!$C$7</f>
        <v>28168245.060798287</v>
      </c>
      <c r="F25" s="109">
        <f>'6. Mortgage payment'!$C$7</f>
        <v>28168245.060798287</v>
      </c>
      <c r="G25" s="109">
        <f>'6. Mortgage payment'!$C$7</f>
        <v>28168245.060798287</v>
      </c>
      <c r="H25" s="109">
        <f>'6. Mortgage payment'!$C$7</f>
        <v>28168245.060798287</v>
      </c>
      <c r="I25" s="109">
        <f>'6. Mortgage payment'!$C$7</f>
        <v>28168245.060798287</v>
      </c>
      <c r="J25" s="109">
        <f>'6. Mortgage payment'!$C$7</f>
        <v>28168245.060798287</v>
      </c>
      <c r="K25" s="109">
        <f>'6. Mortgage payment'!$C$7</f>
        <v>28168245.060798287</v>
      </c>
      <c r="L25" s="109">
        <f>'6. Mortgage payment'!$C$7</f>
        <v>28168245.060798287</v>
      </c>
      <c r="M25" s="109">
        <f>'6. Mortgage payment'!$C$7</f>
        <v>28168245.060798287</v>
      </c>
      <c r="N25" s="109">
        <f>'6. Mortgage payment'!$C$7</f>
        <v>28168245.060798287</v>
      </c>
      <c r="O25" s="109">
        <f t="shared" si="9"/>
        <v>338018940.72957945</v>
      </c>
      <c r="P25" s="43"/>
      <c r="Q25" s="43"/>
      <c r="R25" s="40"/>
      <c r="S25" s="40"/>
      <c r="T25" s="40"/>
      <c r="U25" s="40"/>
      <c r="V25" s="40"/>
      <c r="W25" s="40"/>
      <c r="X25" s="40"/>
      <c r="Y25" s="40"/>
    </row>
    <row r="26" spans="1:25" s="11" customFormat="1" x14ac:dyDescent="0.25">
      <c r="A26" s="82"/>
      <c r="B26" s="108" t="s">
        <v>251</v>
      </c>
      <c r="C26" s="109">
        <f>-PMT(4%,18*12,(150000000*8)/(1+4%)^18)</f>
        <v>23699110.369091634</v>
      </c>
      <c r="D26" s="109">
        <f t="shared" ref="D26:N26" si="10">-PMT(4%,18*12,(150000000*8)/(1+4%)^18)</f>
        <v>23699110.369091634</v>
      </c>
      <c r="E26" s="109">
        <f t="shared" si="10"/>
        <v>23699110.369091634</v>
      </c>
      <c r="F26" s="109">
        <f t="shared" si="10"/>
        <v>23699110.369091634</v>
      </c>
      <c r="G26" s="109">
        <f t="shared" si="10"/>
        <v>23699110.369091634</v>
      </c>
      <c r="H26" s="109">
        <f t="shared" si="10"/>
        <v>23699110.369091634</v>
      </c>
      <c r="I26" s="109">
        <f t="shared" si="10"/>
        <v>23699110.369091634</v>
      </c>
      <c r="J26" s="109">
        <f t="shared" si="10"/>
        <v>23699110.369091634</v>
      </c>
      <c r="K26" s="109">
        <f t="shared" si="10"/>
        <v>23699110.369091634</v>
      </c>
      <c r="L26" s="109">
        <f t="shared" si="10"/>
        <v>23699110.369091634</v>
      </c>
      <c r="M26" s="109">
        <f t="shared" si="10"/>
        <v>23699110.369091634</v>
      </c>
      <c r="N26" s="109">
        <f t="shared" si="10"/>
        <v>23699110.369091634</v>
      </c>
      <c r="O26" s="109">
        <f>SUM(C26:N26)</f>
        <v>284389324.42909962</v>
      </c>
      <c r="P26" s="43"/>
      <c r="Q26" s="43"/>
      <c r="R26" s="40"/>
      <c r="S26" s="40"/>
      <c r="T26" s="40"/>
      <c r="U26" s="40"/>
      <c r="V26" s="40"/>
      <c r="W26" s="40"/>
      <c r="X26" s="40"/>
      <c r="Y26" s="40"/>
    </row>
    <row r="27" spans="1:25" s="11" customFormat="1" x14ac:dyDescent="0.25">
      <c r="A27" s="82"/>
      <c r="B27" s="108" t="s">
        <v>386</v>
      </c>
      <c r="C27" s="109">
        <f>'7.3. Stage 3 budget'!C201*(1+'7.3. Stage 3 budget'!$K$205)</f>
        <v>2052853.575607911</v>
      </c>
      <c r="D27" s="109">
        <v>0</v>
      </c>
      <c r="E27" s="109">
        <v>0</v>
      </c>
      <c r="F27" s="109">
        <v>0</v>
      </c>
      <c r="G27" s="109">
        <v>0</v>
      </c>
      <c r="H27" s="109">
        <v>0</v>
      </c>
      <c r="I27" s="109">
        <v>0</v>
      </c>
      <c r="J27" s="109">
        <v>0</v>
      </c>
      <c r="K27" s="109">
        <v>0</v>
      </c>
      <c r="L27" s="109">
        <v>0</v>
      </c>
      <c r="M27" s="109">
        <v>0</v>
      </c>
      <c r="N27" s="109">
        <v>0</v>
      </c>
      <c r="O27" s="109">
        <f t="shared" si="9"/>
        <v>2052853.575607911</v>
      </c>
      <c r="P27" s="43"/>
      <c r="Q27" s="43"/>
      <c r="R27" s="40"/>
      <c r="S27" s="40"/>
      <c r="T27" s="40"/>
      <c r="U27" s="40"/>
      <c r="V27" s="40"/>
      <c r="W27" s="40"/>
      <c r="X27" s="40"/>
      <c r="Y27" s="40"/>
    </row>
    <row r="28" spans="1:25" s="11" customFormat="1" x14ac:dyDescent="0.25">
      <c r="A28" s="82"/>
      <c r="B28" s="60" t="s">
        <v>206</v>
      </c>
      <c r="C28" s="61">
        <f t="shared" ref="C28:N28" si="11">C6-C23-C24-C25-C27-C26</f>
        <v>56131786.347037241</v>
      </c>
      <c r="D28" s="61">
        <f t="shared" si="11"/>
        <v>58064769.122918606</v>
      </c>
      <c r="E28" s="61">
        <f t="shared" si="11"/>
        <v>58866405.09608984</v>
      </c>
      <c r="F28" s="61">
        <f t="shared" si="11"/>
        <v>58004833.723055333</v>
      </c>
      <c r="G28" s="61">
        <f t="shared" si="11"/>
        <v>53779388.032694787</v>
      </c>
      <c r="H28" s="61">
        <f t="shared" si="11"/>
        <v>58873897.021072745</v>
      </c>
      <c r="I28" s="61">
        <f t="shared" si="11"/>
        <v>54528580.530985653</v>
      </c>
      <c r="J28" s="61">
        <f t="shared" si="11"/>
        <v>52191099.936318114</v>
      </c>
      <c r="K28" s="61">
        <f t="shared" si="11"/>
        <v>56124360.552345231</v>
      </c>
      <c r="L28" s="61">
        <f t="shared" si="11"/>
        <v>57218181.59984991</v>
      </c>
      <c r="M28" s="61">
        <f t="shared" si="11"/>
        <v>55150410.304567084</v>
      </c>
      <c r="N28" s="61">
        <f t="shared" si="11"/>
        <v>55240313.404361978</v>
      </c>
      <c r="O28" s="47">
        <f t="shared" ref="O28" si="12">SUM(C28:N28)</f>
        <v>674174025.67129648</v>
      </c>
      <c r="P28" s="43"/>
      <c r="Q28" s="43"/>
      <c r="R28" s="40"/>
      <c r="S28" s="40"/>
      <c r="T28" s="40"/>
      <c r="U28" s="40"/>
      <c r="V28" s="40"/>
      <c r="W28" s="40"/>
      <c r="X28" s="40"/>
      <c r="Y28" s="40"/>
    </row>
    <row r="29" spans="1:25" x14ac:dyDescent="0.25">
      <c r="A29" s="85"/>
      <c r="B29" s="40"/>
      <c r="C29" s="40"/>
      <c r="D29" s="40"/>
      <c r="E29" s="40"/>
      <c r="F29" s="40"/>
      <c r="G29" s="40"/>
      <c r="H29" s="40"/>
      <c r="I29" s="40"/>
      <c r="J29" s="40"/>
      <c r="K29" s="40"/>
      <c r="L29" s="353" t="s">
        <v>217</v>
      </c>
      <c r="M29" s="354"/>
      <c r="N29" s="350">
        <f>SUM(C28:N28)+'7.3. Stage 3 budget'!N203</f>
        <v>5716449664.0626106</v>
      </c>
      <c r="O29" s="40"/>
    </row>
    <row r="30" spans="1:25" x14ac:dyDescent="0.25">
      <c r="A30" s="85"/>
      <c r="B30" s="40"/>
      <c r="C30" s="40"/>
      <c r="D30" s="40"/>
      <c r="E30" s="40"/>
      <c r="F30" s="40"/>
      <c r="G30" s="40"/>
      <c r="H30" s="40"/>
      <c r="I30" s="40"/>
      <c r="J30" s="40"/>
      <c r="K30" s="40"/>
      <c r="L30" s="320"/>
      <c r="M30" s="355"/>
      <c r="N30" s="351"/>
      <c r="O30" s="40"/>
    </row>
    <row r="31" spans="1:25" x14ac:dyDescent="0.25">
      <c r="A31" s="85"/>
      <c r="B31" s="319" t="s">
        <v>632</v>
      </c>
      <c r="C31" s="352" t="s">
        <v>173</v>
      </c>
      <c r="D31" s="352"/>
      <c r="E31" s="352"/>
      <c r="F31" s="352"/>
      <c r="G31" s="352"/>
      <c r="H31" s="352"/>
      <c r="I31" s="40"/>
      <c r="J31" s="358" t="s">
        <v>231</v>
      </c>
      <c r="K31" s="359">
        <v>0.04</v>
      </c>
      <c r="L31" s="40"/>
      <c r="M31" s="40"/>
      <c r="N31" s="40"/>
      <c r="O31" s="361"/>
    </row>
    <row r="32" spans="1:25" x14ac:dyDescent="0.25">
      <c r="A32" s="85"/>
      <c r="B32" s="319"/>
      <c r="C32" s="352"/>
      <c r="D32" s="352"/>
      <c r="E32" s="352"/>
      <c r="F32" s="352"/>
      <c r="G32" s="352"/>
      <c r="H32" s="352"/>
      <c r="I32" s="40"/>
      <c r="J32" s="358"/>
      <c r="K32" s="360"/>
      <c r="L32" s="40"/>
      <c r="M32" s="40"/>
      <c r="N32" s="40"/>
      <c r="O32" s="362"/>
    </row>
    <row r="33" spans="1:15" x14ac:dyDescent="0.25">
      <c r="A33" s="85"/>
      <c r="B33" s="319"/>
      <c r="C33" s="352"/>
      <c r="D33" s="352"/>
      <c r="E33" s="352"/>
      <c r="F33" s="352"/>
      <c r="G33" s="352"/>
      <c r="H33" s="352"/>
      <c r="I33" s="40"/>
      <c r="J33" s="40"/>
      <c r="K33" s="40"/>
      <c r="L33" s="40"/>
      <c r="M33" s="40"/>
      <c r="N33" s="40"/>
      <c r="O33" s="40"/>
    </row>
    <row r="36" spans="1:15" ht="24.6" x14ac:dyDescent="0.25">
      <c r="A36" s="96"/>
      <c r="B36" s="348" t="s">
        <v>259</v>
      </c>
      <c r="C36" s="348"/>
      <c r="D36" s="348"/>
      <c r="E36" s="348"/>
      <c r="F36" s="348"/>
      <c r="G36" s="348"/>
      <c r="H36" s="348"/>
      <c r="I36" s="348"/>
      <c r="J36" s="348"/>
      <c r="K36" s="348"/>
      <c r="L36" s="348"/>
      <c r="M36" s="348"/>
      <c r="N36" s="348"/>
      <c r="O36" s="348"/>
    </row>
    <row r="37" spans="1:15" ht="24.6" x14ac:dyDescent="0.25">
      <c r="A37" s="96"/>
      <c r="B37" s="349"/>
      <c r="C37" s="349"/>
      <c r="D37" s="349"/>
      <c r="E37" s="349"/>
      <c r="F37" s="349"/>
      <c r="G37" s="349"/>
      <c r="H37" s="349"/>
      <c r="I37" s="349"/>
      <c r="J37" s="349"/>
      <c r="K37" s="349"/>
      <c r="L37" s="349"/>
      <c r="M37" s="349"/>
      <c r="N37" s="349"/>
      <c r="O37" s="349"/>
    </row>
    <row r="38" spans="1:15" x14ac:dyDescent="0.25">
      <c r="A38" s="82"/>
      <c r="B38" s="41"/>
      <c r="C38" s="42" t="s">
        <v>66</v>
      </c>
      <c r="D38" s="42" t="s">
        <v>67</v>
      </c>
      <c r="E38" s="42" t="s">
        <v>68</v>
      </c>
      <c r="F38" s="42" t="s">
        <v>69</v>
      </c>
      <c r="G38" s="42" t="s">
        <v>70</v>
      </c>
      <c r="H38" s="42" t="s">
        <v>71</v>
      </c>
      <c r="I38" s="42" t="s">
        <v>72</v>
      </c>
      <c r="J38" s="42" t="s">
        <v>73</v>
      </c>
      <c r="K38" s="42" t="s">
        <v>74</v>
      </c>
      <c r="L38" s="42" t="s">
        <v>75</v>
      </c>
      <c r="M38" s="42" t="s">
        <v>76</v>
      </c>
      <c r="N38" s="42" t="s">
        <v>77</v>
      </c>
      <c r="O38" s="42" t="s">
        <v>236</v>
      </c>
    </row>
    <row r="39" spans="1:15" x14ac:dyDescent="0.25">
      <c r="A39" s="82"/>
      <c r="B39" s="44" t="s">
        <v>194</v>
      </c>
      <c r="C39" s="45">
        <f>'3.1. My Income Tax Calculation'!$P$19/12</f>
        <v>134430883.01073703</v>
      </c>
      <c r="D39" s="45">
        <f>'3.1. My Income Tax Calculation'!$P$19/12</f>
        <v>134430883.01073703</v>
      </c>
      <c r="E39" s="45">
        <f>'3.1. My Income Tax Calculation'!$P$19/12</f>
        <v>134430883.01073703</v>
      </c>
      <c r="F39" s="45">
        <f>'3.1. My Income Tax Calculation'!$P$19/12</f>
        <v>134430883.01073703</v>
      </c>
      <c r="G39" s="45">
        <f>'3.1. My Income Tax Calculation'!$P$19/12</f>
        <v>134430883.01073703</v>
      </c>
      <c r="H39" s="45">
        <f>'3.1. My Income Tax Calculation'!$P$19/12</f>
        <v>134430883.01073703</v>
      </c>
      <c r="I39" s="45">
        <f>'3.1. My Income Tax Calculation'!$P$19/12</f>
        <v>134430883.01073703</v>
      </c>
      <c r="J39" s="45">
        <f>'3.1. My Income Tax Calculation'!$P$19/12</f>
        <v>134430883.01073703</v>
      </c>
      <c r="K39" s="45">
        <f>'3.1. My Income Tax Calculation'!$P$19/12</f>
        <v>134430883.01073703</v>
      </c>
      <c r="L39" s="45">
        <f>'3.1. My Income Tax Calculation'!$P$19/12</f>
        <v>134430883.01073703</v>
      </c>
      <c r="M39" s="45">
        <f>'3.1. My Income Tax Calculation'!$P$19/12</f>
        <v>134430883.01073703</v>
      </c>
      <c r="N39" s="45">
        <f>'3.1. My Income Tax Calculation'!$P$19/12</f>
        <v>134430883.01073703</v>
      </c>
      <c r="O39" s="45" t="s">
        <v>173</v>
      </c>
    </row>
    <row r="40" spans="1:15" x14ac:dyDescent="0.25">
      <c r="A40" s="82"/>
      <c r="B40" s="44" t="s">
        <v>246</v>
      </c>
      <c r="C40" s="45">
        <f>'3.2. My wife''s Tax Calc'!$P$19/12</f>
        <v>60610827.922449149</v>
      </c>
      <c r="D40" s="45">
        <f>'3.2. My wife''s Tax Calc'!$P$19/12</f>
        <v>60610827.922449149</v>
      </c>
      <c r="E40" s="45">
        <f>'3.2. My wife''s Tax Calc'!$P$19/12</f>
        <v>60610827.922449149</v>
      </c>
      <c r="F40" s="45">
        <f>'3.2. My wife''s Tax Calc'!$P$19/12</f>
        <v>60610827.922449149</v>
      </c>
      <c r="G40" s="45">
        <f>'3.2. My wife''s Tax Calc'!$P$19/12</f>
        <v>60610827.922449149</v>
      </c>
      <c r="H40" s="45">
        <f>'3.2. My wife''s Tax Calc'!$P$19/12</f>
        <v>60610827.922449149</v>
      </c>
      <c r="I40" s="45">
        <f>'3.2. My wife''s Tax Calc'!$P$19/12</f>
        <v>60610827.922449149</v>
      </c>
      <c r="J40" s="45">
        <f>'3.2. My wife''s Tax Calc'!$P$19/12</f>
        <v>60610827.922449149</v>
      </c>
      <c r="K40" s="45">
        <f>'3.2. My wife''s Tax Calc'!$P$19/12</f>
        <v>60610827.922449149</v>
      </c>
      <c r="L40" s="45">
        <f>'3.2. My wife''s Tax Calc'!$P$19/12</f>
        <v>60610827.922449149</v>
      </c>
      <c r="M40" s="45">
        <f>'3.2. My wife''s Tax Calc'!$P$19/12</f>
        <v>60610827.922449149</v>
      </c>
      <c r="N40" s="45">
        <f>'3.2. My wife''s Tax Calc'!$P$19/12</f>
        <v>60610827.922449149</v>
      </c>
      <c r="O40" s="45" t="s">
        <v>173</v>
      </c>
    </row>
    <row r="41" spans="1:15" x14ac:dyDescent="0.25">
      <c r="A41" s="82"/>
      <c r="B41" s="46" t="s">
        <v>209</v>
      </c>
      <c r="C41" s="47">
        <f>SUM(C39:C40)</f>
        <v>195041710.93318617</v>
      </c>
      <c r="D41" s="47">
        <f t="shared" ref="D41:J41" si="13">SUM(D39:D40)</f>
        <v>195041710.93318617</v>
      </c>
      <c r="E41" s="47">
        <f t="shared" si="13"/>
        <v>195041710.93318617</v>
      </c>
      <c r="F41" s="47">
        <f t="shared" si="13"/>
        <v>195041710.93318617</v>
      </c>
      <c r="G41" s="47">
        <f t="shared" si="13"/>
        <v>195041710.93318617</v>
      </c>
      <c r="H41" s="47">
        <f t="shared" si="13"/>
        <v>195041710.93318617</v>
      </c>
      <c r="I41" s="47">
        <f t="shared" si="13"/>
        <v>195041710.93318617</v>
      </c>
      <c r="J41" s="47">
        <f t="shared" si="13"/>
        <v>195041710.93318617</v>
      </c>
      <c r="K41" s="47">
        <f>SUM(K39:K40)</f>
        <v>195041710.93318617</v>
      </c>
      <c r="L41" s="47">
        <f t="shared" ref="L41:N41" si="14">SUM(L39:L40)</f>
        <v>195041710.93318617</v>
      </c>
      <c r="M41" s="47">
        <f t="shared" si="14"/>
        <v>195041710.93318617</v>
      </c>
      <c r="N41" s="47">
        <f t="shared" si="14"/>
        <v>195041710.93318617</v>
      </c>
      <c r="O41" s="47">
        <f>SUM(C41:N41)</f>
        <v>2340500531.1982336</v>
      </c>
    </row>
    <row r="42" spans="1:15" x14ac:dyDescent="0.25">
      <c r="A42" s="82"/>
      <c r="B42" s="52" t="s">
        <v>78</v>
      </c>
      <c r="C42" s="53" t="s">
        <v>173</v>
      </c>
      <c r="D42" s="53" t="s">
        <v>173</v>
      </c>
      <c r="E42" s="53" t="s">
        <v>173</v>
      </c>
      <c r="F42" s="53" t="s">
        <v>173</v>
      </c>
      <c r="G42" s="53" t="s">
        <v>173</v>
      </c>
      <c r="H42" s="53" t="s">
        <v>173</v>
      </c>
      <c r="I42" s="53" t="s">
        <v>173</v>
      </c>
      <c r="J42" s="53" t="s">
        <v>173</v>
      </c>
      <c r="K42" s="53" t="s">
        <v>173</v>
      </c>
      <c r="L42" s="53" t="s">
        <v>173</v>
      </c>
      <c r="M42" s="53" t="s">
        <v>173</v>
      </c>
      <c r="N42" s="53" t="s">
        <v>173</v>
      </c>
      <c r="O42" s="91" t="s">
        <v>173</v>
      </c>
    </row>
    <row r="43" spans="1:15" x14ac:dyDescent="0.25">
      <c r="A43" s="82"/>
      <c r="B43" s="48" t="s">
        <v>79</v>
      </c>
      <c r="C43" s="54" t="s">
        <v>173</v>
      </c>
      <c r="D43" s="54" t="s">
        <v>173</v>
      </c>
      <c r="E43" s="54" t="s">
        <v>173</v>
      </c>
      <c r="F43" s="54" t="s">
        <v>173</v>
      </c>
      <c r="G43" s="54" t="s">
        <v>173</v>
      </c>
      <c r="H43" s="54" t="s">
        <v>173</v>
      </c>
      <c r="I43" s="54" t="s">
        <v>173</v>
      </c>
      <c r="J43" s="54" t="s">
        <v>173</v>
      </c>
      <c r="K43" s="54" t="s">
        <v>173</v>
      </c>
      <c r="L43" s="54" t="s">
        <v>173</v>
      </c>
      <c r="M43" s="54" t="s">
        <v>173</v>
      </c>
      <c r="N43" s="54" t="s">
        <v>173</v>
      </c>
      <c r="O43" s="91" t="s">
        <v>173</v>
      </c>
    </row>
    <row r="44" spans="1:15" x14ac:dyDescent="0.25">
      <c r="A44" s="83"/>
      <c r="B44" s="49" t="s">
        <v>195</v>
      </c>
      <c r="C44" s="50">
        <f>C9*(1+$K$66)</f>
        <v>257122.8654134291</v>
      </c>
      <c r="D44" s="50">
        <v>0</v>
      </c>
      <c r="E44" s="50">
        <v>0</v>
      </c>
      <c r="F44" s="50">
        <v>0</v>
      </c>
      <c r="G44" s="50">
        <v>0</v>
      </c>
      <c r="H44" s="50">
        <v>0</v>
      </c>
      <c r="I44" s="50">
        <v>0</v>
      </c>
      <c r="J44" s="50">
        <v>0</v>
      </c>
      <c r="K44" s="50">
        <v>0</v>
      </c>
      <c r="L44" s="50">
        <v>0</v>
      </c>
      <c r="M44" s="50">
        <v>0</v>
      </c>
      <c r="N44" s="50">
        <v>0</v>
      </c>
      <c r="O44" s="90">
        <f t="shared" ref="O44:O47" si="15">SUM(C44:N44)</f>
        <v>257122.8654134291</v>
      </c>
    </row>
    <row r="45" spans="1:15" x14ac:dyDescent="0.25">
      <c r="A45" s="82"/>
      <c r="B45" s="51" t="s">
        <v>178</v>
      </c>
      <c r="C45" s="50">
        <f>C10*(1+$K$66)</f>
        <v>1947900.4955562807</v>
      </c>
      <c r="D45" s="50">
        <f t="shared" ref="D45:N45" si="16">D10*(1+$K$66)</f>
        <v>1947900.4955562807</v>
      </c>
      <c r="E45" s="50">
        <f t="shared" si="16"/>
        <v>1947900.4955562807</v>
      </c>
      <c r="F45" s="50">
        <f t="shared" si="16"/>
        <v>1947900.4955562807</v>
      </c>
      <c r="G45" s="50">
        <f t="shared" si="16"/>
        <v>1947900.4955562807</v>
      </c>
      <c r="H45" s="50">
        <f t="shared" si="16"/>
        <v>1947900.4955562807</v>
      </c>
      <c r="I45" s="50">
        <f t="shared" si="16"/>
        <v>1947900.4955562807</v>
      </c>
      <c r="J45" s="50">
        <f t="shared" si="16"/>
        <v>1947900.4955562807</v>
      </c>
      <c r="K45" s="50">
        <f t="shared" si="16"/>
        <v>1947900.4955562807</v>
      </c>
      <c r="L45" s="50">
        <f t="shared" si="16"/>
        <v>1947900.4955562807</v>
      </c>
      <c r="M45" s="50">
        <f t="shared" si="16"/>
        <v>1947900.4955562807</v>
      </c>
      <c r="N45" s="50">
        <f t="shared" si="16"/>
        <v>1947900.4955562807</v>
      </c>
      <c r="O45" s="90">
        <f t="shared" si="15"/>
        <v>23374805.946675364</v>
      </c>
    </row>
    <row r="46" spans="1:15" x14ac:dyDescent="0.25">
      <c r="A46" s="84"/>
      <c r="B46" s="51" t="s">
        <v>248</v>
      </c>
      <c r="C46" s="50">
        <f>C11*(1+$K$66)</f>
        <v>233748.05946675371</v>
      </c>
      <c r="D46" s="50">
        <f t="shared" ref="D46:N46" si="17">D11*(1+$K$66)</f>
        <v>233748.05946675371</v>
      </c>
      <c r="E46" s="50">
        <f t="shared" si="17"/>
        <v>233748.05946675371</v>
      </c>
      <c r="F46" s="50">
        <f t="shared" si="17"/>
        <v>233748.05946675371</v>
      </c>
      <c r="G46" s="50">
        <f t="shared" si="17"/>
        <v>233748.05946675371</v>
      </c>
      <c r="H46" s="50">
        <f t="shared" si="17"/>
        <v>233748.05946675371</v>
      </c>
      <c r="I46" s="50">
        <f t="shared" si="17"/>
        <v>233748.05946675371</v>
      </c>
      <c r="J46" s="50">
        <f t="shared" si="17"/>
        <v>233748.05946675371</v>
      </c>
      <c r="K46" s="50">
        <f t="shared" si="17"/>
        <v>233748.05946675371</v>
      </c>
      <c r="L46" s="50">
        <f t="shared" si="17"/>
        <v>233748.05946675371</v>
      </c>
      <c r="M46" s="50">
        <f t="shared" si="17"/>
        <v>233748.05946675371</v>
      </c>
      <c r="N46" s="50">
        <f t="shared" si="17"/>
        <v>233748.05946675371</v>
      </c>
      <c r="O46" s="90">
        <f t="shared" si="15"/>
        <v>2804976.7136010439</v>
      </c>
    </row>
    <row r="47" spans="1:15" x14ac:dyDescent="0.25">
      <c r="A47" s="82"/>
      <c r="B47" s="46" t="s">
        <v>207</v>
      </c>
      <c r="C47" s="47">
        <f t="shared" ref="C47:N47" si="18">SUM(C44:C46)</f>
        <v>2438771.4204364633</v>
      </c>
      <c r="D47" s="47">
        <f t="shared" si="18"/>
        <v>2181648.5550230346</v>
      </c>
      <c r="E47" s="47">
        <f t="shared" si="18"/>
        <v>2181648.5550230346</v>
      </c>
      <c r="F47" s="47">
        <f t="shared" si="18"/>
        <v>2181648.5550230346</v>
      </c>
      <c r="G47" s="47">
        <f t="shared" si="18"/>
        <v>2181648.5550230346</v>
      </c>
      <c r="H47" s="47">
        <f t="shared" si="18"/>
        <v>2181648.5550230346</v>
      </c>
      <c r="I47" s="47">
        <f t="shared" si="18"/>
        <v>2181648.5550230346</v>
      </c>
      <c r="J47" s="47">
        <f t="shared" si="18"/>
        <v>2181648.5550230346</v>
      </c>
      <c r="K47" s="47">
        <f t="shared" si="18"/>
        <v>2181648.5550230346</v>
      </c>
      <c r="L47" s="47">
        <f t="shared" si="18"/>
        <v>2181648.5550230346</v>
      </c>
      <c r="M47" s="47">
        <f t="shared" si="18"/>
        <v>2181648.5550230346</v>
      </c>
      <c r="N47" s="47">
        <f t="shared" si="18"/>
        <v>2181648.5550230346</v>
      </c>
      <c r="O47" s="47">
        <f t="shared" si="15"/>
        <v>26436905.52568984</v>
      </c>
    </row>
    <row r="48" spans="1:15" x14ac:dyDescent="0.25">
      <c r="A48" s="82"/>
      <c r="B48" s="55" t="s">
        <v>83</v>
      </c>
      <c r="C48" s="59" t="s">
        <v>173</v>
      </c>
      <c r="D48" s="59" t="s">
        <v>173</v>
      </c>
      <c r="E48" s="59" t="s">
        <v>173</v>
      </c>
      <c r="F48" s="59" t="s">
        <v>173</v>
      </c>
      <c r="G48" s="59" t="s">
        <v>173</v>
      </c>
      <c r="H48" s="59" t="s">
        <v>173</v>
      </c>
      <c r="I48" s="59" t="s">
        <v>173</v>
      </c>
      <c r="J48" s="59" t="s">
        <v>173</v>
      </c>
      <c r="K48" s="59" t="s">
        <v>173</v>
      </c>
      <c r="L48" s="59" t="s">
        <v>173</v>
      </c>
      <c r="M48" s="59" t="s">
        <v>173</v>
      </c>
      <c r="N48" s="59" t="s">
        <v>173</v>
      </c>
      <c r="O48" s="91" t="s">
        <v>173</v>
      </c>
    </row>
    <row r="49" spans="1:25" x14ac:dyDescent="0.25">
      <c r="A49" s="82"/>
      <c r="B49" s="57" t="s">
        <v>210</v>
      </c>
      <c r="C49" s="89">
        <f t="shared" ref="C49:N49" si="19">C14*(1+$K$66)</f>
        <v>2579020.2561165164</v>
      </c>
      <c r="D49" s="89">
        <f t="shared" si="19"/>
        <v>3108849.1909078248</v>
      </c>
      <c r="E49" s="89">
        <f t="shared" si="19"/>
        <v>2867309.5294588446</v>
      </c>
      <c r="F49" s="89">
        <f t="shared" si="19"/>
        <v>2680311.0818854426</v>
      </c>
      <c r="G49" s="89">
        <f t="shared" si="19"/>
        <v>2462146.2263831398</v>
      </c>
      <c r="H49" s="89">
        <f t="shared" si="19"/>
        <v>3085474.3849611483</v>
      </c>
      <c r="I49" s="89">
        <f t="shared" si="19"/>
        <v>3599720.1157880067</v>
      </c>
      <c r="J49" s="89">
        <f t="shared" si="19"/>
        <v>3451679.6781257298</v>
      </c>
      <c r="K49" s="89">
        <f t="shared" si="19"/>
        <v>2664727.8779209922</v>
      </c>
      <c r="L49" s="89">
        <f t="shared" si="19"/>
        <v>2734852.2957610185</v>
      </c>
      <c r="M49" s="89">
        <f t="shared" si="19"/>
        <v>2602395.0620631916</v>
      </c>
      <c r="N49" s="89">
        <f t="shared" si="19"/>
        <v>2812768.3155832691</v>
      </c>
      <c r="O49" s="92">
        <f t="shared" ref="O49:O58" si="20">SUM(C49:N49)</f>
        <v>34649254.014955126</v>
      </c>
    </row>
    <row r="50" spans="1:25" x14ac:dyDescent="0.25">
      <c r="A50" s="82"/>
      <c r="B50" s="57" t="s">
        <v>203</v>
      </c>
      <c r="C50" s="89">
        <f t="shared" ref="C50:N50" si="21">C15*(1+$K$66)</f>
        <v>9310964.3687590212</v>
      </c>
      <c r="D50" s="89">
        <f t="shared" si="21"/>
        <v>10027791.751123736</v>
      </c>
      <c r="E50" s="89">
        <f t="shared" si="21"/>
        <v>11243281.660350854</v>
      </c>
      <c r="F50" s="89">
        <f t="shared" si="21"/>
        <v>8524012.5685542878</v>
      </c>
      <c r="G50" s="89">
        <f t="shared" si="21"/>
        <v>11344572.486119781</v>
      </c>
      <c r="H50" s="89">
        <f t="shared" si="21"/>
        <v>10690077.91961287</v>
      </c>
      <c r="I50" s="89">
        <f t="shared" si="21"/>
        <v>9809626.8956214339</v>
      </c>
      <c r="J50" s="89">
        <f t="shared" si="21"/>
        <v>11664028.16739101</v>
      </c>
      <c r="K50" s="89">
        <f t="shared" si="21"/>
        <v>11399113.699995354</v>
      </c>
      <c r="L50" s="89">
        <f t="shared" si="21"/>
        <v>11399113.699995354</v>
      </c>
      <c r="M50" s="89">
        <f t="shared" si="21"/>
        <v>8859051.453789968</v>
      </c>
      <c r="N50" s="89">
        <f t="shared" si="21"/>
        <v>10923825.979079627</v>
      </c>
      <c r="O50" s="92">
        <f t="shared" si="20"/>
        <v>125195460.65039328</v>
      </c>
    </row>
    <row r="51" spans="1:25" x14ac:dyDescent="0.25">
      <c r="A51" s="82"/>
      <c r="B51" s="58" t="s">
        <v>84</v>
      </c>
      <c r="C51" s="89">
        <f t="shared" ref="C51:N51" si="22">C16*(1+$K$66)</f>
        <v>8235723.2952119531</v>
      </c>
      <c r="D51" s="89">
        <f t="shared" si="22"/>
        <v>8991508.6874877922</v>
      </c>
      <c r="E51" s="89">
        <f t="shared" si="22"/>
        <v>9022675.0954166949</v>
      </c>
      <c r="F51" s="89">
        <f t="shared" si="22"/>
        <v>9318755.9707412478</v>
      </c>
      <c r="G51" s="89">
        <f t="shared" si="22"/>
        <v>11025116.80484855</v>
      </c>
      <c r="H51" s="89">
        <f t="shared" si="22"/>
        <v>9536920.8262435514</v>
      </c>
      <c r="I51" s="89">
        <f t="shared" si="22"/>
        <v>9903126.1194081344</v>
      </c>
      <c r="J51" s="89">
        <f t="shared" si="22"/>
        <v>11399113.699995354</v>
      </c>
      <c r="K51" s="89">
        <f t="shared" si="22"/>
        <v>10432955.054199444</v>
      </c>
      <c r="L51" s="89">
        <f t="shared" si="22"/>
        <v>10417371.850234991</v>
      </c>
      <c r="M51" s="89">
        <f t="shared" si="22"/>
        <v>11149782.436564153</v>
      </c>
      <c r="N51" s="89">
        <f t="shared" si="22"/>
        <v>8952550.6775766686</v>
      </c>
      <c r="O51" s="92">
        <f t="shared" si="20"/>
        <v>118385600.51792851</v>
      </c>
    </row>
    <row r="52" spans="1:25" x14ac:dyDescent="0.25">
      <c r="A52" s="82"/>
      <c r="B52" s="57" t="s">
        <v>85</v>
      </c>
      <c r="C52" s="89">
        <f t="shared" ref="C52:N52" si="23">C17*(1+$K$66)</f>
        <v>9568087.2341724541</v>
      </c>
      <c r="D52" s="89">
        <f t="shared" si="23"/>
        <v>8188973.6833186084</v>
      </c>
      <c r="E52" s="89">
        <f t="shared" si="23"/>
        <v>8477262.9566609357</v>
      </c>
      <c r="F52" s="89">
        <f t="shared" si="23"/>
        <v>8609720.1903587617</v>
      </c>
      <c r="G52" s="89">
        <f t="shared" si="23"/>
        <v>11578320.545586536</v>
      </c>
      <c r="H52" s="89">
        <f t="shared" si="23"/>
        <v>8500637.7626076136</v>
      </c>
      <c r="I52" s="89">
        <f t="shared" si="23"/>
        <v>9864168.109497007</v>
      </c>
      <c r="J52" s="89">
        <f t="shared" si="23"/>
        <v>7807185.1861895751</v>
      </c>
      <c r="K52" s="89">
        <f t="shared" si="23"/>
        <v>10152457.382839339</v>
      </c>
      <c r="L52" s="89">
        <f t="shared" si="23"/>
        <v>8064308.0516030015</v>
      </c>
      <c r="M52" s="89">
        <f t="shared" si="23"/>
        <v>10269331.412572714</v>
      </c>
      <c r="N52" s="89">
        <f t="shared" si="23"/>
        <v>9778460.4876925312</v>
      </c>
      <c r="O52" s="92">
        <f t="shared" si="20"/>
        <v>110858913.00309908</v>
      </c>
    </row>
    <row r="53" spans="1:25" x14ac:dyDescent="0.25">
      <c r="A53" s="84"/>
      <c r="B53" s="58" t="s">
        <v>249</v>
      </c>
      <c r="C53" s="89">
        <f t="shared" ref="C53:N53" si="24">C41*5%</f>
        <v>9752085.5466593094</v>
      </c>
      <c r="D53" s="89">
        <f t="shared" si="24"/>
        <v>9752085.5466593094</v>
      </c>
      <c r="E53" s="89">
        <f t="shared" si="24"/>
        <v>9752085.5466593094</v>
      </c>
      <c r="F53" s="89">
        <f t="shared" si="24"/>
        <v>9752085.5466593094</v>
      </c>
      <c r="G53" s="89">
        <f t="shared" si="24"/>
        <v>9752085.5466593094</v>
      </c>
      <c r="H53" s="89">
        <f t="shared" si="24"/>
        <v>9752085.5466593094</v>
      </c>
      <c r="I53" s="89">
        <f t="shared" si="24"/>
        <v>9752085.5466593094</v>
      </c>
      <c r="J53" s="89">
        <f t="shared" si="24"/>
        <v>9752085.5466593094</v>
      </c>
      <c r="K53" s="89">
        <f t="shared" si="24"/>
        <v>9752085.5466593094</v>
      </c>
      <c r="L53" s="89">
        <f t="shared" si="24"/>
        <v>9752085.5466593094</v>
      </c>
      <c r="M53" s="89">
        <f t="shared" si="24"/>
        <v>9752085.5466593094</v>
      </c>
      <c r="N53" s="89">
        <f t="shared" si="24"/>
        <v>9752085.5466593094</v>
      </c>
      <c r="O53" s="92">
        <f t="shared" si="20"/>
        <v>117025026.55991168</v>
      </c>
    </row>
    <row r="54" spans="1:25" x14ac:dyDescent="0.25">
      <c r="A54" s="84"/>
      <c r="B54" s="58" t="s">
        <v>180</v>
      </c>
      <c r="C54" s="89">
        <f t="shared" ref="C54:N54" si="25">C19*(1+$K$66)</f>
        <v>11313406.078190876</v>
      </c>
      <c r="D54" s="89">
        <f t="shared" si="25"/>
        <v>11165365.640528601</v>
      </c>
      <c r="E54" s="89">
        <f t="shared" si="25"/>
        <v>9279797.9608301241</v>
      </c>
      <c r="F54" s="89">
        <f t="shared" si="25"/>
        <v>10245956.606626041</v>
      </c>
      <c r="G54" s="89">
        <f t="shared" si="25"/>
        <v>8079891.2555674557</v>
      </c>
      <c r="H54" s="89">
        <f t="shared" si="25"/>
        <v>8983717.0855055694</v>
      </c>
      <c r="I54" s="89">
        <f t="shared" si="25"/>
        <v>9295381.1647945754</v>
      </c>
      <c r="J54" s="89">
        <f t="shared" si="25"/>
        <v>11017325.202866323</v>
      </c>
      <c r="K54" s="89">
        <f t="shared" si="25"/>
        <v>8625303.394323213</v>
      </c>
      <c r="L54" s="89">
        <f t="shared" si="25"/>
        <v>9233048.3489367701</v>
      </c>
      <c r="M54" s="89">
        <f t="shared" si="25"/>
        <v>9248631.5529012196</v>
      </c>
      <c r="N54" s="89">
        <f t="shared" si="25"/>
        <v>9014883.4934344701</v>
      </c>
      <c r="O54" s="92">
        <f t="shared" si="20"/>
        <v>115502707.78450523</v>
      </c>
    </row>
    <row r="55" spans="1:25" x14ac:dyDescent="0.25">
      <c r="A55" s="84"/>
      <c r="B55" s="58" t="s">
        <v>417</v>
      </c>
      <c r="C55" s="89">
        <f>'13. Insurance package'!$H$2/12*2</f>
        <v>7499166.666666667</v>
      </c>
      <c r="D55" s="89">
        <f>'13. Insurance package'!$H$2/12*2</f>
        <v>7499166.666666667</v>
      </c>
      <c r="E55" s="89">
        <f>'13. Insurance package'!$H$2/12*2</f>
        <v>7499166.666666667</v>
      </c>
      <c r="F55" s="89">
        <f>'13. Insurance package'!$H$2/12*2</f>
        <v>7499166.666666667</v>
      </c>
      <c r="G55" s="89">
        <f>'13. Insurance package'!$H$2/12*2</f>
        <v>7499166.666666667</v>
      </c>
      <c r="H55" s="89">
        <f>'13. Insurance package'!$H$2/12*2</f>
        <v>7499166.666666667</v>
      </c>
      <c r="I55" s="89">
        <f>'13. Insurance package'!$H$2/12*2</f>
        <v>7499166.666666667</v>
      </c>
      <c r="J55" s="89">
        <f>'13. Insurance package'!$H$2/12*2</f>
        <v>7499166.666666667</v>
      </c>
      <c r="K55" s="89">
        <f>'13. Insurance package'!$H$2/12*2</f>
        <v>7499166.666666667</v>
      </c>
      <c r="L55" s="89">
        <f>'13. Insurance package'!$H$2/12*2</f>
        <v>7499166.666666667</v>
      </c>
      <c r="M55" s="89">
        <f>'13. Insurance package'!$H$2/12*2</f>
        <v>7499166.666666667</v>
      </c>
      <c r="N55" s="89">
        <f>'13. Insurance package'!$H$2/12*2</f>
        <v>7499166.666666667</v>
      </c>
      <c r="O55" s="92">
        <f t="shared" ref="O55" si="26">SUM(C55:N55)</f>
        <v>89990000.000000015</v>
      </c>
    </row>
    <row r="56" spans="1:25" x14ac:dyDescent="0.25">
      <c r="A56" s="84"/>
      <c r="B56" s="58" t="s">
        <v>86</v>
      </c>
      <c r="C56" s="89">
        <f t="shared" ref="C56:N56" si="27">C21*(1+$K$66)</f>
        <v>8235723.2952119531</v>
      </c>
      <c r="D56" s="89">
        <f t="shared" si="27"/>
        <v>8142224.0714252554</v>
      </c>
      <c r="E56" s="89">
        <f t="shared" si="27"/>
        <v>7900684.4099762784</v>
      </c>
      <c r="F56" s="89">
        <f t="shared" si="27"/>
        <v>10308289.422483839</v>
      </c>
      <c r="G56" s="89">
        <f t="shared" si="27"/>
        <v>9591462.0401191264</v>
      </c>
      <c r="H56" s="89">
        <f t="shared" si="27"/>
        <v>7986392.0317807533</v>
      </c>
      <c r="I56" s="89">
        <f t="shared" si="27"/>
        <v>10830326.755292924</v>
      </c>
      <c r="J56" s="89">
        <f t="shared" si="27"/>
        <v>10393997.044288317</v>
      </c>
      <c r="K56" s="89">
        <f t="shared" si="27"/>
        <v>8368180.5289097847</v>
      </c>
      <c r="L56" s="89">
        <f t="shared" si="27"/>
        <v>8656469.8022521138</v>
      </c>
      <c r="M56" s="89">
        <f t="shared" si="27"/>
        <v>10526454.277986143</v>
      </c>
      <c r="N56" s="89">
        <f t="shared" si="27"/>
        <v>11079658.018724129</v>
      </c>
      <c r="O56" s="92">
        <f t="shared" si="20"/>
        <v>112019861.69845061</v>
      </c>
    </row>
    <row r="57" spans="1:25" x14ac:dyDescent="0.25">
      <c r="A57" s="82"/>
      <c r="B57" s="46" t="s">
        <v>208</v>
      </c>
      <c r="C57" s="47">
        <f t="shared" ref="C57:N57" si="28">SUM(C49:C56)</f>
        <v>66494176.740988754</v>
      </c>
      <c r="D57" s="47">
        <f t="shared" si="28"/>
        <v>66875965.238117784</v>
      </c>
      <c r="E57" s="47">
        <f t="shared" si="28"/>
        <v>66042263.826019704</v>
      </c>
      <c r="F57" s="47">
        <f t="shared" si="28"/>
        <v>66938298.05397559</v>
      </c>
      <c r="G57" s="47">
        <f t="shared" si="28"/>
        <v>71332761.571950555</v>
      </c>
      <c r="H57" s="47">
        <f t="shared" si="28"/>
        <v>66034472.224037468</v>
      </c>
      <c r="I57" s="47">
        <f t="shared" si="28"/>
        <v>70553601.373728067</v>
      </c>
      <c r="J57" s="47">
        <f t="shared" si="28"/>
        <v>72984581.192182288</v>
      </c>
      <c r="K57" s="47">
        <f t="shared" si="28"/>
        <v>68893990.151514098</v>
      </c>
      <c r="L57" s="47">
        <f t="shared" si="28"/>
        <v>67756416.26210922</v>
      </c>
      <c r="M57" s="47">
        <f t="shared" si="28"/>
        <v>69906898.409203365</v>
      </c>
      <c r="N57" s="47">
        <f t="shared" si="28"/>
        <v>69813399.185416669</v>
      </c>
      <c r="O57" s="47">
        <f t="shared" si="20"/>
        <v>823626824.22924364</v>
      </c>
    </row>
    <row r="58" spans="1:25" x14ac:dyDescent="0.25">
      <c r="A58" s="82"/>
      <c r="B58" s="60" t="s">
        <v>87</v>
      </c>
      <c r="C58" s="47">
        <f t="shared" ref="C58:N58" si="29">C47+C57</f>
        <v>68932948.161425218</v>
      </c>
      <c r="D58" s="47">
        <f t="shared" si="29"/>
        <v>69057613.793140814</v>
      </c>
      <c r="E58" s="47">
        <f t="shared" si="29"/>
        <v>68223912.381042734</v>
      </c>
      <c r="F58" s="47">
        <f t="shared" si="29"/>
        <v>69119946.608998626</v>
      </c>
      <c r="G58" s="47">
        <f t="shared" si="29"/>
        <v>73514410.126973584</v>
      </c>
      <c r="H58" s="47">
        <f t="shared" si="29"/>
        <v>68216120.779060498</v>
      </c>
      <c r="I58" s="47">
        <f t="shared" si="29"/>
        <v>72735249.928751096</v>
      </c>
      <c r="J58" s="47">
        <f t="shared" si="29"/>
        <v>75166229.747205317</v>
      </c>
      <c r="K58" s="47">
        <f t="shared" si="29"/>
        <v>71075638.706537127</v>
      </c>
      <c r="L58" s="47">
        <f t="shared" si="29"/>
        <v>69938064.817132249</v>
      </c>
      <c r="M58" s="47">
        <f t="shared" si="29"/>
        <v>72088546.964226395</v>
      </c>
      <c r="N58" s="47">
        <f t="shared" si="29"/>
        <v>71995047.740439698</v>
      </c>
      <c r="O58" s="47">
        <f t="shared" si="20"/>
        <v>850063729.75493324</v>
      </c>
    </row>
    <row r="59" spans="1:25" s="11" customFormat="1" x14ac:dyDescent="0.25">
      <c r="A59" s="82"/>
      <c r="B59" s="108" t="s">
        <v>204</v>
      </c>
      <c r="C59" s="109">
        <f>$O58*(3/12)/12</f>
        <v>17709661.036561109</v>
      </c>
      <c r="D59" s="109">
        <f t="shared" ref="D59" si="30">$O58*(3/12)/12</f>
        <v>17709661.036561109</v>
      </c>
      <c r="E59" s="109">
        <f t="shared" ref="E59" si="31">$O58*(3/12)/12</f>
        <v>17709661.036561109</v>
      </c>
      <c r="F59" s="109">
        <f t="shared" ref="F59" si="32">$O58*(3/12)/12</f>
        <v>17709661.036561109</v>
      </c>
      <c r="G59" s="109">
        <f t="shared" ref="G59" si="33">$O58*(3/12)/12</f>
        <v>17709661.036561109</v>
      </c>
      <c r="H59" s="109">
        <f t="shared" ref="H59" si="34">$O58*(3/12)/12</f>
        <v>17709661.036561109</v>
      </c>
      <c r="I59" s="109">
        <f t="shared" ref="I59" si="35">$O58*(3/12)/12</f>
        <v>17709661.036561109</v>
      </c>
      <c r="J59" s="109">
        <f t="shared" ref="J59" si="36">$O58*(3/12)/12</f>
        <v>17709661.036561109</v>
      </c>
      <c r="K59" s="109">
        <f t="shared" ref="K59" si="37">$O58*(3/12)/12</f>
        <v>17709661.036561109</v>
      </c>
      <c r="L59" s="109">
        <f t="shared" ref="L59" si="38">$O58*(3/12)/12</f>
        <v>17709661.036561109</v>
      </c>
      <c r="M59" s="109">
        <f t="shared" ref="M59" si="39">$O58*(3/12)/12</f>
        <v>17709661.036561109</v>
      </c>
      <c r="N59" s="109">
        <f t="shared" ref="N59" si="40">$O58*(3/12)/12</f>
        <v>17709661.036561109</v>
      </c>
      <c r="O59" s="109">
        <f t="shared" ref="O59:O62" si="41">SUM(C59:N59)</f>
        <v>212515932.43873325</v>
      </c>
      <c r="P59" s="43"/>
      <c r="Q59" s="43"/>
      <c r="R59" s="40"/>
      <c r="S59" s="40"/>
      <c r="T59" s="40"/>
      <c r="U59" s="40"/>
      <c r="V59" s="40"/>
      <c r="W59" s="40"/>
      <c r="X59" s="40"/>
      <c r="Y59" s="40"/>
    </row>
    <row r="60" spans="1:25" s="11" customFormat="1" x14ac:dyDescent="0.25">
      <c r="A60" s="82"/>
      <c r="B60" s="108" t="s">
        <v>82</v>
      </c>
      <c r="C60" s="109">
        <f>'6. Mortgage payment'!$C$7</f>
        <v>28168245.060798287</v>
      </c>
      <c r="D60" s="109">
        <f>'6. Mortgage payment'!$C$7</f>
        <v>28168245.060798287</v>
      </c>
      <c r="E60" s="109">
        <f>'6. Mortgage payment'!$C$7</f>
        <v>28168245.060798287</v>
      </c>
      <c r="F60" s="109">
        <f>'6. Mortgage payment'!$C$7</f>
        <v>28168245.060798287</v>
      </c>
      <c r="G60" s="109">
        <f>'6. Mortgage payment'!$C$7</f>
        <v>28168245.060798287</v>
      </c>
      <c r="H60" s="109">
        <f>'6. Mortgage payment'!$C$7</f>
        <v>28168245.060798287</v>
      </c>
      <c r="I60" s="109">
        <f>'6. Mortgage payment'!$C$7</f>
        <v>28168245.060798287</v>
      </c>
      <c r="J60" s="109">
        <f>'6. Mortgage payment'!$C$7</f>
        <v>28168245.060798287</v>
      </c>
      <c r="K60" s="109">
        <f>'6. Mortgage payment'!$C$7</f>
        <v>28168245.060798287</v>
      </c>
      <c r="L60" s="109">
        <f>'6. Mortgage payment'!$C$7</f>
        <v>28168245.060798287</v>
      </c>
      <c r="M60" s="109">
        <f>'6. Mortgage payment'!$C$7</f>
        <v>28168245.060798287</v>
      </c>
      <c r="N60" s="109">
        <f>'6. Mortgage payment'!$C$7</f>
        <v>28168245.060798287</v>
      </c>
      <c r="O60" s="109">
        <f t="shared" si="41"/>
        <v>338018940.72957945</v>
      </c>
      <c r="P60" s="43"/>
      <c r="Q60" s="43"/>
      <c r="R60" s="40"/>
      <c r="S60" s="40"/>
      <c r="T60" s="40"/>
      <c r="U60" s="40"/>
      <c r="V60" s="40"/>
      <c r="W60" s="40"/>
      <c r="X60" s="40"/>
      <c r="Y60" s="40"/>
    </row>
    <row r="61" spans="1:25" s="11" customFormat="1" x14ac:dyDescent="0.25">
      <c r="A61" s="82"/>
      <c r="B61" s="108" t="s">
        <v>251</v>
      </c>
      <c r="C61" s="109">
        <f>-PMT(4%,18*12,(150000000*8)/(1+4%)^18)</f>
        <v>23699110.369091634</v>
      </c>
      <c r="D61" s="109">
        <f t="shared" ref="D61:N61" si="42">-PMT(4%,18*12,(150000000*8)/(1+4%)^18)</f>
        <v>23699110.369091634</v>
      </c>
      <c r="E61" s="109">
        <f t="shared" si="42"/>
        <v>23699110.369091634</v>
      </c>
      <c r="F61" s="109">
        <f t="shared" si="42"/>
        <v>23699110.369091634</v>
      </c>
      <c r="G61" s="109">
        <f t="shared" si="42"/>
        <v>23699110.369091634</v>
      </c>
      <c r="H61" s="109">
        <f t="shared" si="42"/>
        <v>23699110.369091634</v>
      </c>
      <c r="I61" s="109">
        <f t="shared" si="42"/>
        <v>23699110.369091634</v>
      </c>
      <c r="J61" s="109">
        <f t="shared" si="42"/>
        <v>23699110.369091634</v>
      </c>
      <c r="K61" s="109">
        <f t="shared" si="42"/>
        <v>23699110.369091634</v>
      </c>
      <c r="L61" s="109">
        <f t="shared" si="42"/>
        <v>23699110.369091634</v>
      </c>
      <c r="M61" s="109">
        <f t="shared" si="42"/>
        <v>23699110.369091634</v>
      </c>
      <c r="N61" s="109">
        <f t="shared" si="42"/>
        <v>23699110.369091634</v>
      </c>
      <c r="O61" s="109">
        <f>SUM(C61:N61)</f>
        <v>284389324.42909962</v>
      </c>
      <c r="P61" s="43"/>
      <c r="Q61" s="43"/>
      <c r="R61" s="40"/>
      <c r="S61" s="40"/>
      <c r="T61" s="40"/>
      <c r="U61" s="40"/>
      <c r="V61" s="40"/>
      <c r="W61" s="40"/>
      <c r="X61" s="40"/>
      <c r="Y61" s="40"/>
    </row>
    <row r="62" spans="1:25" s="11" customFormat="1" x14ac:dyDescent="0.25">
      <c r="A62" s="82"/>
      <c r="B62" s="108" t="s">
        <v>386</v>
      </c>
      <c r="C62" s="109">
        <f>C27*(1+$K$31)</f>
        <v>2134967.7186322273</v>
      </c>
      <c r="D62" s="109">
        <v>0</v>
      </c>
      <c r="E62" s="109">
        <v>0</v>
      </c>
      <c r="F62" s="109">
        <v>0</v>
      </c>
      <c r="G62" s="109">
        <v>0</v>
      </c>
      <c r="H62" s="109">
        <v>0</v>
      </c>
      <c r="I62" s="109">
        <v>0</v>
      </c>
      <c r="J62" s="109">
        <v>0</v>
      </c>
      <c r="K62" s="109">
        <v>0</v>
      </c>
      <c r="L62" s="109">
        <v>0</v>
      </c>
      <c r="M62" s="109">
        <v>0</v>
      </c>
      <c r="N62" s="109">
        <v>0</v>
      </c>
      <c r="O62" s="109">
        <f t="shared" si="41"/>
        <v>2134967.7186322273</v>
      </c>
      <c r="P62" s="43"/>
      <c r="Q62" s="43"/>
      <c r="R62" s="40"/>
      <c r="S62" s="40"/>
      <c r="T62" s="40"/>
      <c r="U62" s="40"/>
      <c r="V62" s="40"/>
      <c r="W62" s="40"/>
      <c r="X62" s="40"/>
      <c r="Y62" s="40"/>
    </row>
    <row r="63" spans="1:25" s="11" customFormat="1" x14ac:dyDescent="0.25">
      <c r="A63" s="82"/>
      <c r="B63" s="60" t="s">
        <v>206</v>
      </c>
      <c r="C63" s="61">
        <f t="shared" ref="C63:N63" si="43">C41-C58-C59-C60-C62-C61</f>
        <v>54396778.5866777</v>
      </c>
      <c r="D63" s="61">
        <f t="shared" si="43"/>
        <v>56407080.673594326</v>
      </c>
      <c r="E63" s="61">
        <f t="shared" si="43"/>
        <v>57240782.085692406</v>
      </c>
      <c r="F63" s="61">
        <f t="shared" si="43"/>
        <v>56344747.857736528</v>
      </c>
      <c r="G63" s="61">
        <f t="shared" si="43"/>
        <v>51950284.339761555</v>
      </c>
      <c r="H63" s="61">
        <f t="shared" si="43"/>
        <v>57248573.687674642</v>
      </c>
      <c r="I63" s="61">
        <f t="shared" si="43"/>
        <v>52729444.537984043</v>
      </c>
      <c r="J63" s="61">
        <f t="shared" si="43"/>
        <v>50298464.719529837</v>
      </c>
      <c r="K63" s="61">
        <f t="shared" si="43"/>
        <v>54389055.760198027</v>
      </c>
      <c r="L63" s="61">
        <f t="shared" si="43"/>
        <v>55526629.64960289</v>
      </c>
      <c r="M63" s="61">
        <f t="shared" si="43"/>
        <v>53376147.502508759</v>
      </c>
      <c r="N63" s="61">
        <f t="shared" si="43"/>
        <v>53469646.726295441</v>
      </c>
      <c r="O63" s="47">
        <f t="shared" ref="O63" si="44">SUM(C63:N63)</f>
        <v>653377636.12725616</v>
      </c>
      <c r="P63" s="43"/>
      <c r="Q63" s="43"/>
      <c r="R63" s="40"/>
      <c r="S63" s="40"/>
      <c r="T63" s="40"/>
      <c r="U63" s="40"/>
      <c r="V63" s="40"/>
      <c r="W63" s="40"/>
      <c r="X63" s="40"/>
      <c r="Y63" s="40"/>
    </row>
    <row r="64" spans="1:25" x14ac:dyDescent="0.25">
      <c r="A64" s="85"/>
      <c r="B64" s="40"/>
      <c r="C64" s="40"/>
      <c r="D64" s="40"/>
      <c r="E64" s="40"/>
      <c r="F64" s="40"/>
      <c r="G64" s="40"/>
      <c r="H64" s="40"/>
      <c r="I64" s="40"/>
      <c r="J64" s="40"/>
      <c r="K64" s="40"/>
      <c r="L64" s="353" t="s">
        <v>217</v>
      </c>
      <c r="M64" s="354"/>
      <c r="N64" s="350">
        <f>SUM(C63:N63)+N29</f>
        <v>6369827300.189867</v>
      </c>
      <c r="O64" s="40"/>
    </row>
    <row r="65" spans="1:15" x14ac:dyDescent="0.25">
      <c r="A65" s="85"/>
      <c r="B65" s="40"/>
      <c r="C65" s="40"/>
      <c r="D65" s="40"/>
      <c r="E65" s="40"/>
      <c r="F65" s="40"/>
      <c r="G65" s="40"/>
      <c r="H65" s="40"/>
      <c r="I65" s="40"/>
      <c r="J65" s="40"/>
      <c r="K65" s="40"/>
      <c r="L65" s="320"/>
      <c r="M65" s="355"/>
      <c r="N65" s="351"/>
      <c r="O65" s="40"/>
    </row>
    <row r="66" spans="1:15" x14ac:dyDescent="0.25">
      <c r="A66" s="85"/>
      <c r="B66" s="319" t="s">
        <v>632</v>
      </c>
      <c r="C66" s="352" t="s">
        <v>173</v>
      </c>
      <c r="D66" s="352"/>
      <c r="E66" s="352"/>
      <c r="F66" s="352"/>
      <c r="G66" s="352"/>
      <c r="H66" s="352"/>
      <c r="I66" s="40"/>
      <c r="J66" s="358" t="s">
        <v>231</v>
      </c>
      <c r="K66" s="359">
        <v>0.04</v>
      </c>
      <c r="L66" s="40"/>
      <c r="M66" s="40"/>
      <c r="N66" s="40"/>
      <c r="O66" s="361"/>
    </row>
    <row r="67" spans="1:15" x14ac:dyDescent="0.25">
      <c r="A67" s="85"/>
      <c r="B67" s="319"/>
      <c r="C67" s="352"/>
      <c r="D67" s="352"/>
      <c r="E67" s="352"/>
      <c r="F67" s="352"/>
      <c r="G67" s="352"/>
      <c r="H67" s="352"/>
      <c r="I67" s="40"/>
      <c r="J67" s="358"/>
      <c r="K67" s="360"/>
      <c r="L67" s="40"/>
      <c r="M67" s="40"/>
      <c r="N67" s="40"/>
      <c r="O67" s="362"/>
    </row>
    <row r="68" spans="1:15" x14ac:dyDescent="0.25">
      <c r="A68" s="85"/>
      <c r="B68" s="319"/>
      <c r="C68" s="352"/>
      <c r="D68" s="352"/>
      <c r="E68" s="352"/>
      <c r="F68" s="352"/>
      <c r="G68" s="352"/>
      <c r="H68" s="352"/>
      <c r="I68" s="40"/>
      <c r="J68" s="40"/>
      <c r="K68" s="40"/>
      <c r="L68" s="40"/>
      <c r="M68" s="40"/>
      <c r="N68" s="40"/>
      <c r="O68" s="40"/>
    </row>
  </sheetData>
  <mergeCells count="16">
    <mergeCell ref="B1:O2"/>
    <mergeCell ref="L29:M30"/>
    <mergeCell ref="N29:N30"/>
    <mergeCell ref="B31:B33"/>
    <mergeCell ref="C31:H33"/>
    <mergeCell ref="J31:J32"/>
    <mergeCell ref="K31:K32"/>
    <mergeCell ref="O31:O32"/>
    <mergeCell ref="B36:O37"/>
    <mergeCell ref="L64:M65"/>
    <mergeCell ref="N64:N65"/>
    <mergeCell ref="B66:B68"/>
    <mergeCell ref="C66:H68"/>
    <mergeCell ref="J66:J67"/>
    <mergeCell ref="K66:K67"/>
    <mergeCell ref="O66:O6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A984-118C-49C9-92CD-1EFC811C32D9}">
  <dimension ref="A1:Y427"/>
  <sheetViews>
    <sheetView showGridLines="0" topLeftCell="A400" zoomScale="85" zoomScaleNormal="85" workbookViewId="0">
      <selection activeCell="D269" sqref="D269"/>
    </sheetView>
  </sheetViews>
  <sheetFormatPr defaultRowHeight="13.2" x14ac:dyDescent="0.25"/>
  <cols>
    <col min="1" max="1" width="12.77734375" bestFit="1" customWidth="1"/>
    <col min="2" max="2" width="43.88671875" bestFit="1" customWidth="1"/>
    <col min="3" max="9" width="12.33203125" bestFit="1" customWidth="1"/>
    <col min="10" max="10" width="12.88671875" customWidth="1"/>
    <col min="11" max="13" width="12.33203125" bestFit="1" customWidth="1"/>
    <col min="14" max="14" width="14.88671875" bestFit="1" customWidth="1"/>
    <col min="15" max="15" width="15.109375" bestFit="1" customWidth="1"/>
  </cols>
  <sheetData>
    <row r="1" spans="1:15" ht="24.6" x14ac:dyDescent="0.25">
      <c r="A1" s="96"/>
      <c r="B1" s="348" t="s">
        <v>260</v>
      </c>
      <c r="C1" s="348"/>
      <c r="D1" s="348"/>
      <c r="E1" s="348"/>
      <c r="F1" s="348"/>
      <c r="G1" s="348"/>
      <c r="H1" s="348"/>
      <c r="I1" s="348"/>
      <c r="J1" s="348"/>
      <c r="K1" s="348"/>
      <c r="L1" s="348"/>
      <c r="M1" s="348"/>
      <c r="N1" s="348"/>
      <c r="O1" s="348"/>
    </row>
    <row r="2" spans="1:15" ht="24.6" x14ac:dyDescent="0.25">
      <c r="A2" s="96"/>
      <c r="B2" s="349"/>
      <c r="C2" s="349"/>
      <c r="D2" s="349"/>
      <c r="E2" s="349"/>
      <c r="F2" s="349"/>
      <c r="G2" s="349"/>
      <c r="H2" s="349"/>
      <c r="I2" s="349"/>
      <c r="J2" s="349"/>
      <c r="K2" s="349"/>
      <c r="L2" s="349"/>
      <c r="M2" s="349"/>
      <c r="N2" s="349"/>
      <c r="O2" s="349"/>
    </row>
    <row r="3" spans="1:15"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row>
    <row r="4" spans="1:15" x14ac:dyDescent="0.25">
      <c r="A4" s="82"/>
      <c r="B4" s="44" t="s">
        <v>194</v>
      </c>
      <c r="C4" s="45">
        <f>'3.1. My Income Tax Calculation'!$P$20/12</f>
        <v>135070046.50902918</v>
      </c>
      <c r="D4" s="45">
        <f>'3.1. My Income Tax Calculation'!$P$20/12</f>
        <v>135070046.50902918</v>
      </c>
      <c r="E4" s="45">
        <f>'3.1. My Income Tax Calculation'!$P$20/12</f>
        <v>135070046.50902918</v>
      </c>
      <c r="F4" s="45">
        <f>'3.1. My Income Tax Calculation'!$P$20/12</f>
        <v>135070046.50902918</v>
      </c>
      <c r="G4" s="45">
        <f>'3.1. My Income Tax Calculation'!$P$20/12</f>
        <v>135070046.50902918</v>
      </c>
      <c r="H4" s="45">
        <f>'3.1. My Income Tax Calculation'!$P$20/12</f>
        <v>135070046.50902918</v>
      </c>
      <c r="I4" s="45">
        <f>'3.1. My Income Tax Calculation'!$P$20/12</f>
        <v>135070046.50902918</v>
      </c>
      <c r="J4" s="45">
        <f>'3.1. My Income Tax Calculation'!$P$20/12</f>
        <v>135070046.50902918</v>
      </c>
      <c r="K4" s="45">
        <f>'3.1. My Income Tax Calculation'!$P$20/12</f>
        <v>135070046.50902918</v>
      </c>
      <c r="L4" s="45">
        <f>'3.1. My Income Tax Calculation'!$P$20/12</f>
        <v>135070046.50902918</v>
      </c>
      <c r="M4" s="45">
        <f>'3.1. My Income Tax Calculation'!$P$20/12</f>
        <v>135070046.50902918</v>
      </c>
      <c r="N4" s="45">
        <f>'3.1. My Income Tax Calculation'!$P$20/12</f>
        <v>135070046.50902918</v>
      </c>
      <c r="O4" s="45" t="s">
        <v>173</v>
      </c>
    </row>
    <row r="5" spans="1:15" x14ac:dyDescent="0.25">
      <c r="A5" s="82"/>
      <c r="B5" s="44" t="s">
        <v>246</v>
      </c>
      <c r="C5" s="45">
        <f>'3.2. My wife''s Tax Calc'!$P$20/12</f>
        <v>60883267.599685647</v>
      </c>
      <c r="D5" s="45">
        <f>'3.2. My wife''s Tax Calc'!$P$20/12</f>
        <v>60883267.599685647</v>
      </c>
      <c r="E5" s="45">
        <f>'3.2. My wife''s Tax Calc'!$P$20/12</f>
        <v>60883267.599685647</v>
      </c>
      <c r="F5" s="45">
        <f>'3.2. My wife''s Tax Calc'!$P$20/12</f>
        <v>60883267.599685647</v>
      </c>
      <c r="G5" s="45">
        <f>'3.2. My wife''s Tax Calc'!$P$20/12</f>
        <v>60883267.599685647</v>
      </c>
      <c r="H5" s="45">
        <f>'3.2. My wife''s Tax Calc'!$P$20/12</f>
        <v>60883267.599685647</v>
      </c>
      <c r="I5" s="45">
        <f>'3.2. My wife''s Tax Calc'!$P$20/12</f>
        <v>60883267.599685647</v>
      </c>
      <c r="J5" s="45">
        <f>'3.2. My wife''s Tax Calc'!$P$20/12</f>
        <v>60883267.599685647</v>
      </c>
      <c r="K5" s="45">
        <f>'3.2. My wife''s Tax Calc'!$P$20/12</f>
        <v>60883267.599685647</v>
      </c>
      <c r="L5" s="45">
        <f>'3.2. My wife''s Tax Calc'!$P$20/12</f>
        <v>60883267.599685647</v>
      </c>
      <c r="M5" s="45">
        <f>'3.2. My wife''s Tax Calc'!$P$20/12</f>
        <v>60883267.599685647</v>
      </c>
      <c r="N5" s="45">
        <f>'3.2. My wife''s Tax Calc'!$P$20/12</f>
        <v>60883267.599685647</v>
      </c>
      <c r="O5" s="45" t="s">
        <v>173</v>
      </c>
    </row>
    <row r="6" spans="1:15" x14ac:dyDescent="0.25">
      <c r="A6" s="82"/>
      <c r="B6" s="46" t="s">
        <v>209</v>
      </c>
      <c r="C6" s="47">
        <f>SUM(C4:C5)</f>
        <v>195953314.10871482</v>
      </c>
      <c r="D6" s="47">
        <f t="shared" ref="D6:J6" si="0">SUM(D4:D5)</f>
        <v>195953314.10871482</v>
      </c>
      <c r="E6" s="47">
        <f t="shared" si="0"/>
        <v>195953314.10871482</v>
      </c>
      <c r="F6" s="47">
        <f t="shared" si="0"/>
        <v>195953314.10871482</v>
      </c>
      <c r="G6" s="47">
        <f t="shared" si="0"/>
        <v>195953314.10871482</v>
      </c>
      <c r="H6" s="47">
        <f t="shared" si="0"/>
        <v>195953314.10871482</v>
      </c>
      <c r="I6" s="47">
        <f t="shared" si="0"/>
        <v>195953314.10871482</v>
      </c>
      <c r="J6" s="47">
        <f t="shared" si="0"/>
        <v>195953314.10871482</v>
      </c>
      <c r="K6" s="47">
        <f>SUM(K4:K5)</f>
        <v>195953314.10871482</v>
      </c>
      <c r="L6" s="47">
        <f t="shared" ref="L6:N6" si="1">SUM(L4:L5)</f>
        <v>195953314.10871482</v>
      </c>
      <c r="M6" s="47">
        <f t="shared" si="1"/>
        <v>195953314.10871482</v>
      </c>
      <c r="N6" s="47">
        <f t="shared" si="1"/>
        <v>195953314.10871482</v>
      </c>
      <c r="O6" s="47">
        <f>SUM(C6:N6)</f>
        <v>2351439769.3045778</v>
      </c>
    </row>
    <row r="7" spans="1:15" x14ac:dyDescent="0.25">
      <c r="A7" s="82"/>
      <c r="B7" s="52" t="s">
        <v>78</v>
      </c>
      <c r="C7" s="53" t="s">
        <v>173</v>
      </c>
      <c r="D7" s="53" t="s">
        <v>173</v>
      </c>
      <c r="E7" s="53" t="s">
        <v>173</v>
      </c>
      <c r="F7" s="53" t="s">
        <v>173</v>
      </c>
      <c r="G7" s="53" t="s">
        <v>173</v>
      </c>
      <c r="H7" s="53" t="s">
        <v>173</v>
      </c>
      <c r="I7" s="53" t="s">
        <v>173</v>
      </c>
      <c r="J7" s="53" t="s">
        <v>173</v>
      </c>
      <c r="K7" s="53" t="s">
        <v>173</v>
      </c>
      <c r="L7" s="53" t="s">
        <v>173</v>
      </c>
      <c r="M7" s="53" t="s">
        <v>173</v>
      </c>
      <c r="N7" s="53" t="s">
        <v>173</v>
      </c>
      <c r="O7" s="91" t="s">
        <v>173</v>
      </c>
    </row>
    <row r="8" spans="1:15" x14ac:dyDescent="0.25">
      <c r="A8" s="82"/>
      <c r="B8" s="48" t="s">
        <v>79</v>
      </c>
      <c r="C8" s="54" t="s">
        <v>173</v>
      </c>
      <c r="D8" s="54" t="s">
        <v>173</v>
      </c>
      <c r="E8" s="54" t="s">
        <v>173</v>
      </c>
      <c r="F8" s="54" t="s">
        <v>173</v>
      </c>
      <c r="G8" s="54" t="s">
        <v>173</v>
      </c>
      <c r="H8" s="54" t="s">
        <v>173</v>
      </c>
      <c r="I8" s="54" t="s">
        <v>173</v>
      </c>
      <c r="J8" s="54" t="s">
        <v>173</v>
      </c>
      <c r="K8" s="54" t="s">
        <v>173</v>
      </c>
      <c r="L8" s="54" t="s">
        <v>173</v>
      </c>
      <c r="M8" s="54" t="s">
        <v>173</v>
      </c>
      <c r="N8" s="54" t="s">
        <v>173</v>
      </c>
      <c r="O8" s="91" t="s">
        <v>173</v>
      </c>
    </row>
    <row r="9" spans="1:15" x14ac:dyDescent="0.25">
      <c r="A9" s="83"/>
      <c r="B9" s="49" t="s">
        <v>195</v>
      </c>
      <c r="C9" s="50">
        <f>'7.4. Stage 4 budget'!C44*(1+'7.5. Stage 5&amp;6 budget'!$K$32)</f>
        <v>267407.78002996626</v>
      </c>
      <c r="D9" s="50">
        <v>0</v>
      </c>
      <c r="E9" s="50">
        <v>0</v>
      </c>
      <c r="F9" s="50">
        <v>0</v>
      </c>
      <c r="G9" s="50">
        <v>0</v>
      </c>
      <c r="H9" s="50">
        <v>0</v>
      </c>
      <c r="I9" s="50">
        <v>0</v>
      </c>
      <c r="J9" s="50">
        <v>0</v>
      </c>
      <c r="K9" s="50">
        <v>0</v>
      </c>
      <c r="L9" s="50">
        <v>0</v>
      </c>
      <c r="M9" s="50">
        <v>0</v>
      </c>
      <c r="N9" s="50">
        <v>0</v>
      </c>
      <c r="O9" s="90">
        <f t="shared" ref="O9:O12" si="2">SUM(C9:N9)</f>
        <v>267407.78002996626</v>
      </c>
    </row>
    <row r="10" spans="1:15" x14ac:dyDescent="0.25">
      <c r="A10" s="82"/>
      <c r="B10" s="51" t="s">
        <v>178</v>
      </c>
      <c r="C10" s="50">
        <f>'7.4. Stage 4 budget'!C45*(1+'7.5. Stage 5&amp;6 budget'!$K$32)</f>
        <v>2025816.515378532</v>
      </c>
      <c r="D10" s="50">
        <f>'7.4. Stage 4 budget'!D45*(1+'7.5. Stage 5&amp;6 budget'!$K$32)</f>
        <v>2025816.515378532</v>
      </c>
      <c r="E10" s="50">
        <f>'7.4. Stage 4 budget'!E45*(1+'7.5. Stage 5&amp;6 budget'!$K$32)</f>
        <v>2025816.515378532</v>
      </c>
      <c r="F10" s="50">
        <f>'7.4. Stage 4 budget'!F45*(1+'7.5. Stage 5&amp;6 budget'!$K$32)</f>
        <v>2025816.515378532</v>
      </c>
      <c r="G10" s="50">
        <f>'7.4. Stage 4 budget'!G45*(1+'7.5. Stage 5&amp;6 budget'!$K$32)</f>
        <v>2025816.515378532</v>
      </c>
      <c r="H10" s="50">
        <f>'7.4. Stage 4 budget'!H45*(1+'7.5. Stage 5&amp;6 budget'!$K$32)</f>
        <v>2025816.515378532</v>
      </c>
      <c r="I10" s="50">
        <f>'7.4. Stage 4 budget'!I45*(1+'7.5. Stage 5&amp;6 budget'!$K$32)</f>
        <v>2025816.515378532</v>
      </c>
      <c r="J10" s="50">
        <f>'7.4. Stage 4 budget'!J45*(1+'7.5. Stage 5&amp;6 budget'!$K$32)</f>
        <v>2025816.515378532</v>
      </c>
      <c r="K10" s="50">
        <f>'7.4. Stage 4 budget'!K45*(1+'7.5. Stage 5&amp;6 budget'!$K$32)</f>
        <v>2025816.515378532</v>
      </c>
      <c r="L10" s="50">
        <f>'7.4. Stage 4 budget'!L45*(1+'7.5. Stage 5&amp;6 budget'!$K$32)</f>
        <v>2025816.515378532</v>
      </c>
      <c r="M10" s="50">
        <f>'7.4. Stage 4 budget'!M45*(1+'7.5. Stage 5&amp;6 budget'!$K$32)</f>
        <v>2025816.515378532</v>
      </c>
      <c r="N10" s="50">
        <f>'7.4. Stage 4 budget'!N45*(1+'7.5. Stage 5&amp;6 budget'!$K$32)</f>
        <v>2025816.515378532</v>
      </c>
      <c r="O10" s="90">
        <f t="shared" si="2"/>
        <v>24309798.184542377</v>
      </c>
    </row>
    <row r="11" spans="1:15" x14ac:dyDescent="0.25">
      <c r="A11" s="84"/>
      <c r="B11" s="51" t="s">
        <v>248</v>
      </c>
      <c r="C11" s="50">
        <f>'7.4. Stage 4 budget'!C46*(1+'7.5. Stage 5&amp;6 budget'!$K$32)</f>
        <v>243097.98184542387</v>
      </c>
      <c r="D11" s="50">
        <f>'7.4. Stage 4 budget'!D46*(1+'7.5. Stage 5&amp;6 budget'!$K$32)</f>
        <v>243097.98184542387</v>
      </c>
      <c r="E11" s="50">
        <f>'7.4. Stage 4 budget'!E46*(1+'7.5. Stage 5&amp;6 budget'!$K$32)</f>
        <v>243097.98184542387</v>
      </c>
      <c r="F11" s="50">
        <f>'7.4. Stage 4 budget'!F46*(1+'7.5. Stage 5&amp;6 budget'!$K$32)</f>
        <v>243097.98184542387</v>
      </c>
      <c r="G11" s="50">
        <f>'7.4. Stage 4 budget'!G46*(1+'7.5. Stage 5&amp;6 budget'!$K$32)</f>
        <v>243097.98184542387</v>
      </c>
      <c r="H11" s="50">
        <f>'7.4. Stage 4 budget'!H46*(1+'7.5. Stage 5&amp;6 budget'!$K$32)</f>
        <v>243097.98184542387</v>
      </c>
      <c r="I11" s="50">
        <f>'7.4. Stage 4 budget'!I46*(1+'7.5. Stage 5&amp;6 budget'!$K$32)</f>
        <v>243097.98184542387</v>
      </c>
      <c r="J11" s="50">
        <f>'7.4. Stage 4 budget'!J46*(1+'7.5. Stage 5&amp;6 budget'!$K$32)</f>
        <v>243097.98184542387</v>
      </c>
      <c r="K11" s="50">
        <f>'7.4. Stage 4 budget'!K46*(1+'7.5. Stage 5&amp;6 budget'!$K$32)</f>
        <v>243097.98184542387</v>
      </c>
      <c r="L11" s="50">
        <f>'7.4. Stage 4 budget'!L46*(1+'7.5. Stage 5&amp;6 budget'!$K$32)</f>
        <v>243097.98184542387</v>
      </c>
      <c r="M11" s="50">
        <f>'7.4. Stage 4 budget'!M46*(1+'7.5. Stage 5&amp;6 budget'!$K$32)</f>
        <v>243097.98184542387</v>
      </c>
      <c r="N11" s="50">
        <f>'7.4. Stage 4 budget'!N46*(1+'7.5. Stage 5&amp;6 budget'!$K$32)</f>
        <v>243097.98184542387</v>
      </c>
      <c r="O11" s="90">
        <f t="shared" si="2"/>
        <v>2917175.7821450867</v>
      </c>
    </row>
    <row r="12" spans="1:15" x14ac:dyDescent="0.25">
      <c r="A12" s="82"/>
      <c r="B12" s="46" t="s">
        <v>207</v>
      </c>
      <c r="C12" s="47">
        <f t="shared" ref="C12:N12" si="3">SUM(C9:C11)</f>
        <v>2536322.2772539225</v>
      </c>
      <c r="D12" s="47">
        <f t="shared" si="3"/>
        <v>2268914.497223956</v>
      </c>
      <c r="E12" s="47">
        <f t="shared" si="3"/>
        <v>2268914.497223956</v>
      </c>
      <c r="F12" s="47">
        <f t="shared" si="3"/>
        <v>2268914.497223956</v>
      </c>
      <c r="G12" s="47">
        <f t="shared" si="3"/>
        <v>2268914.497223956</v>
      </c>
      <c r="H12" s="47">
        <f t="shared" si="3"/>
        <v>2268914.497223956</v>
      </c>
      <c r="I12" s="47">
        <f t="shared" si="3"/>
        <v>2268914.497223956</v>
      </c>
      <c r="J12" s="47">
        <f t="shared" si="3"/>
        <v>2268914.497223956</v>
      </c>
      <c r="K12" s="47">
        <f t="shared" si="3"/>
        <v>2268914.497223956</v>
      </c>
      <c r="L12" s="47">
        <f t="shared" si="3"/>
        <v>2268914.497223956</v>
      </c>
      <c r="M12" s="47">
        <f t="shared" si="3"/>
        <v>2268914.497223956</v>
      </c>
      <c r="N12" s="47">
        <f t="shared" si="3"/>
        <v>2268914.497223956</v>
      </c>
      <c r="O12" s="47">
        <f t="shared" si="2"/>
        <v>27494381.746717434</v>
      </c>
    </row>
    <row r="13" spans="1:15"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row>
    <row r="14" spans="1:15" x14ac:dyDescent="0.25">
      <c r="A14" s="82"/>
      <c r="B14" s="57" t="s">
        <v>210</v>
      </c>
      <c r="C14" s="89">
        <f>'7.4. Stage 4 budget'!C49*(1+'7.5. Stage 5&amp;6 budget'!$K$32)</f>
        <v>2682181.0663611772</v>
      </c>
      <c r="D14" s="89">
        <f>'7.4. Stage 4 budget'!D49*(1+'7.5. Stage 5&amp;6 budget'!$K$32)</f>
        <v>3233203.1585441381</v>
      </c>
      <c r="E14" s="89">
        <f>'7.4. Stage 4 budget'!E49*(1+'7.5. Stage 5&amp;6 budget'!$K$32)</f>
        <v>2982001.9106371985</v>
      </c>
      <c r="F14" s="89">
        <f>'7.4. Stage 4 budget'!F49*(1+'7.5. Stage 5&amp;6 budget'!$K$32)</f>
        <v>2787523.5251608603</v>
      </c>
      <c r="G14" s="89">
        <f>'7.4. Stage 4 budget'!G49*(1+'7.5. Stage 5&amp;6 budget'!$K$32)</f>
        <v>2560632.0754384655</v>
      </c>
      <c r="H14" s="89">
        <f>'7.4. Stage 4 budget'!H49*(1+'7.5. Stage 5&amp;6 budget'!$K$32)</f>
        <v>3208893.3603595942</v>
      </c>
      <c r="I14" s="89">
        <f>'7.4. Stage 4 budget'!I49*(1+'7.5. Stage 5&amp;6 budget'!$K$32)</f>
        <v>3743708.9204195272</v>
      </c>
      <c r="J14" s="89">
        <f>'7.4. Stage 4 budget'!J49*(1+'7.5. Stage 5&amp;6 budget'!$K$32)</f>
        <v>3589746.8652507593</v>
      </c>
      <c r="K14" s="89">
        <f>'7.4. Stage 4 budget'!K49*(1+'7.5. Stage 5&amp;6 budget'!$K$32)</f>
        <v>2771316.993037832</v>
      </c>
      <c r="L14" s="89">
        <f>'7.4. Stage 4 budget'!L49*(1+'7.5. Stage 5&amp;6 budget'!$K$32)</f>
        <v>2844246.3875914593</v>
      </c>
      <c r="M14" s="89">
        <f>'7.4. Stage 4 budget'!M49*(1+'7.5. Stage 5&amp;6 budget'!$K$32)</f>
        <v>2706490.8645457192</v>
      </c>
      <c r="N14" s="89">
        <f>'7.4. Stage 4 budget'!N49*(1+'7.5. Stage 5&amp;6 budget'!$K$32)</f>
        <v>2925279.0482065999</v>
      </c>
      <c r="O14" s="92">
        <f t="shared" ref="O14:O24" si="4">SUM(C14:N14)</f>
        <v>36035224.175553329</v>
      </c>
    </row>
    <row r="15" spans="1:15" x14ac:dyDescent="0.25">
      <c r="A15" s="82"/>
      <c r="B15" s="57" t="s">
        <v>203</v>
      </c>
      <c r="C15" s="89">
        <f>'7.4. Stage 4 budget'!C50*(1+'7.5. Stage 5&amp;6 budget'!$K$32)</f>
        <v>9683402.9435093831</v>
      </c>
      <c r="D15" s="89">
        <f>'7.4. Stage 4 budget'!D50*(1+'7.5. Stage 5&amp;6 budget'!$K$32)</f>
        <v>10428903.421168685</v>
      </c>
      <c r="E15" s="89">
        <f>'7.4. Stage 4 budget'!E50*(1+'7.5. Stage 5&amp;6 budget'!$K$32)</f>
        <v>11693012.926764889</v>
      </c>
      <c r="F15" s="89">
        <f>'7.4. Stage 4 budget'!F50*(1+'7.5. Stage 5&amp;6 budget'!$K$32)</f>
        <v>8864973.0712964591</v>
      </c>
      <c r="G15" s="89">
        <f>'7.4. Stage 4 budget'!G50*(1+'7.5. Stage 5&amp;6 budget'!$K$32)</f>
        <v>11798355.385564573</v>
      </c>
      <c r="H15" s="89">
        <f>'7.4. Stage 4 budget'!H50*(1+'7.5. Stage 5&amp;6 budget'!$K$32)</f>
        <v>11117681.036397384</v>
      </c>
      <c r="I15" s="89">
        <f>'7.4. Stage 4 budget'!I50*(1+'7.5. Stage 5&amp;6 budget'!$K$32)</f>
        <v>10202011.971446292</v>
      </c>
      <c r="J15" s="89">
        <f>'7.4. Stage 4 budget'!J50*(1+'7.5. Stage 5&amp;6 budget'!$K$32)</f>
        <v>12130589.29408665</v>
      </c>
      <c r="K15" s="89">
        <f>'7.4. Stage 4 budget'!K50*(1+'7.5. Stage 5&amp;6 budget'!$K$32)</f>
        <v>11855078.247995168</v>
      </c>
      <c r="L15" s="89">
        <f>'7.4. Stage 4 budget'!L50*(1+'7.5. Stage 5&amp;6 budget'!$K$32)</f>
        <v>11855078.247995168</v>
      </c>
      <c r="M15" s="89">
        <f>'7.4. Stage 4 budget'!M50*(1+'7.5. Stage 5&amp;6 budget'!$K$32)</f>
        <v>9213413.5119415671</v>
      </c>
      <c r="N15" s="89">
        <f>'7.4. Stage 4 budget'!N50*(1+'7.5. Stage 5&amp;6 budget'!$K$32)</f>
        <v>11360779.018242812</v>
      </c>
      <c r="O15" s="92">
        <f t="shared" si="4"/>
        <v>130203279.07640903</v>
      </c>
    </row>
    <row r="16" spans="1:15" x14ac:dyDescent="0.25">
      <c r="A16" s="82"/>
      <c r="B16" s="58" t="s">
        <v>84</v>
      </c>
      <c r="C16" s="89">
        <f>'7.4. Stage 4 budget'!C51*(1+'7.5. Stage 5&amp;6 budget'!$K$32)</f>
        <v>8565152.2270204313</v>
      </c>
      <c r="D16" s="89">
        <f>'7.4. Stage 4 budget'!D51*(1+'7.5. Stage 5&amp;6 budget'!$K$32)</f>
        <v>9351169.0349873044</v>
      </c>
      <c r="E16" s="89">
        <f>'7.4. Stage 4 budget'!E51*(1+'7.5. Stage 5&amp;6 budget'!$K$32)</f>
        <v>9383582.0992333628</v>
      </c>
      <c r="F16" s="89">
        <f>'7.4. Stage 4 budget'!F51*(1+'7.5. Stage 5&amp;6 budget'!$K$32)</f>
        <v>9691506.2095708977</v>
      </c>
      <c r="G16" s="89">
        <f>'7.4. Stage 4 budget'!G51*(1+'7.5. Stage 5&amp;6 budget'!$K$32)</f>
        <v>11466121.477042492</v>
      </c>
      <c r="H16" s="89">
        <f>'7.4. Stage 4 budget'!H51*(1+'7.5. Stage 5&amp;6 budget'!$K$32)</f>
        <v>9918397.659293294</v>
      </c>
      <c r="I16" s="89">
        <f>'7.4. Stage 4 budget'!I51*(1+'7.5. Stage 5&amp;6 budget'!$K$32)</f>
        <v>10299251.16418446</v>
      </c>
      <c r="J16" s="89">
        <f>'7.4. Stage 4 budget'!J51*(1+'7.5. Stage 5&amp;6 budget'!$K$32)</f>
        <v>11855078.247995168</v>
      </c>
      <c r="K16" s="89">
        <f>'7.4. Stage 4 budget'!K51*(1+'7.5. Stage 5&amp;6 budget'!$K$32)</f>
        <v>10850273.256367423</v>
      </c>
      <c r="L16" s="89">
        <f>'7.4. Stage 4 budget'!L51*(1+'7.5. Stage 5&amp;6 budget'!$K$32)</f>
        <v>10834066.724244392</v>
      </c>
      <c r="M16" s="89">
        <f>'7.4. Stage 4 budget'!M51*(1+'7.5. Stage 5&amp;6 budget'!$K$32)</f>
        <v>11595773.734026719</v>
      </c>
      <c r="N16" s="89">
        <f>'7.4. Stage 4 budget'!N51*(1+'7.5. Stage 5&amp;6 budget'!$K$32)</f>
        <v>9310652.704679735</v>
      </c>
      <c r="O16" s="92">
        <f t="shared" si="4"/>
        <v>123121024.53864568</v>
      </c>
    </row>
    <row r="17" spans="1:25" x14ac:dyDescent="0.25">
      <c r="A17" s="110" t="s">
        <v>146</v>
      </c>
      <c r="B17" s="58" t="s">
        <v>81</v>
      </c>
      <c r="C17" s="89">
        <f>300000*((1+4%)^18)</f>
        <v>607744.95461355988</v>
      </c>
      <c r="D17" s="89">
        <f t="shared" ref="D17:N17" si="5">300000*((1+4%)^18)</f>
        <v>607744.95461355988</v>
      </c>
      <c r="E17" s="89">
        <f t="shared" si="5"/>
        <v>607744.95461355988</v>
      </c>
      <c r="F17" s="89">
        <f t="shared" si="5"/>
        <v>607744.95461355988</v>
      </c>
      <c r="G17" s="89">
        <f t="shared" si="5"/>
        <v>607744.95461355988</v>
      </c>
      <c r="H17" s="89">
        <f t="shared" si="5"/>
        <v>607744.95461355988</v>
      </c>
      <c r="I17" s="89">
        <f t="shared" si="5"/>
        <v>607744.95461355988</v>
      </c>
      <c r="J17" s="89">
        <f t="shared" si="5"/>
        <v>607744.95461355988</v>
      </c>
      <c r="K17" s="89">
        <f t="shared" si="5"/>
        <v>607744.95461355988</v>
      </c>
      <c r="L17" s="89">
        <f t="shared" si="5"/>
        <v>607744.95461355988</v>
      </c>
      <c r="M17" s="89">
        <f t="shared" si="5"/>
        <v>607744.95461355988</v>
      </c>
      <c r="N17" s="89">
        <f t="shared" si="5"/>
        <v>607744.95461355988</v>
      </c>
      <c r="O17" s="92">
        <f t="shared" si="4"/>
        <v>7292939.4553627186</v>
      </c>
    </row>
    <row r="18" spans="1:25" x14ac:dyDescent="0.25">
      <c r="A18" s="82"/>
      <c r="B18" s="57" t="s">
        <v>85</v>
      </c>
      <c r="C18" s="89">
        <f>'7.4. Stage 4 budget'!C52*(1+'7.5. Stage 5&amp;6 budget'!$K$32)</f>
        <v>9950810.7235393524</v>
      </c>
      <c r="D18" s="89">
        <f>'7.4. Stage 4 budget'!D52*(1+'7.5. Stage 5&amp;6 budget'!$K$32)</f>
        <v>8516532.6306513529</v>
      </c>
      <c r="E18" s="89">
        <f>'7.4. Stage 4 budget'!E52*(1+'7.5. Stage 5&amp;6 budget'!$K$32)</f>
        <v>8816353.4749273732</v>
      </c>
      <c r="F18" s="89">
        <f>'7.4. Stage 4 budget'!F52*(1+'7.5. Stage 5&amp;6 budget'!$K$32)</f>
        <v>8954108.9979731124</v>
      </c>
      <c r="G18" s="89">
        <f>'7.4. Stage 4 budget'!G52*(1+'7.5. Stage 5&amp;6 budget'!$K$32)</f>
        <v>12041453.367409997</v>
      </c>
      <c r="H18" s="89">
        <f>'7.4. Stage 4 budget'!H52*(1+'7.5. Stage 5&amp;6 budget'!$K$32)</f>
        <v>8840663.2731119189</v>
      </c>
      <c r="I18" s="89">
        <f>'7.4. Stage 4 budget'!I52*(1+'7.5. Stage 5&amp;6 budget'!$K$32)</f>
        <v>10258734.833876887</v>
      </c>
      <c r="J18" s="89">
        <f>'7.4. Stage 4 budget'!J52*(1+'7.5. Stage 5&amp;6 budget'!$K$32)</f>
        <v>8119472.5936371582</v>
      </c>
      <c r="K18" s="89">
        <f>'7.4. Stage 4 budget'!K52*(1+'7.5. Stage 5&amp;6 budget'!$K$32)</f>
        <v>10558555.678152913</v>
      </c>
      <c r="L18" s="89">
        <f>'7.4. Stage 4 budget'!L52*(1+'7.5. Stage 5&amp;6 budget'!$K$32)</f>
        <v>8386880.3736671219</v>
      </c>
      <c r="M18" s="89">
        <f>'7.4. Stage 4 budget'!M52*(1+'7.5. Stage 5&amp;6 budget'!$K$32)</f>
        <v>10680104.669075623</v>
      </c>
      <c r="N18" s="89">
        <f>'7.4. Stage 4 budget'!N52*(1+'7.5. Stage 5&amp;6 budget'!$K$32)</f>
        <v>10169598.907200232</v>
      </c>
      <c r="O18" s="92">
        <f t="shared" si="4"/>
        <v>115293269.52322304</v>
      </c>
    </row>
    <row r="19" spans="1:25" x14ac:dyDescent="0.25">
      <c r="A19" s="84"/>
      <c r="B19" s="58" t="s">
        <v>249</v>
      </c>
      <c r="C19" s="89">
        <f t="shared" ref="C19:N19" si="6">C6*5%</f>
        <v>9797665.7054357417</v>
      </c>
      <c r="D19" s="89">
        <f t="shared" si="6"/>
        <v>9797665.7054357417</v>
      </c>
      <c r="E19" s="89">
        <f t="shared" si="6"/>
        <v>9797665.7054357417</v>
      </c>
      <c r="F19" s="89">
        <f t="shared" si="6"/>
        <v>9797665.7054357417</v>
      </c>
      <c r="G19" s="89">
        <f t="shared" si="6"/>
        <v>9797665.7054357417</v>
      </c>
      <c r="H19" s="89">
        <f t="shared" si="6"/>
        <v>9797665.7054357417</v>
      </c>
      <c r="I19" s="89">
        <f t="shared" si="6"/>
        <v>9797665.7054357417</v>
      </c>
      <c r="J19" s="89">
        <f t="shared" si="6"/>
        <v>9797665.7054357417</v>
      </c>
      <c r="K19" s="89">
        <f t="shared" si="6"/>
        <v>9797665.7054357417</v>
      </c>
      <c r="L19" s="89">
        <f t="shared" si="6"/>
        <v>9797665.7054357417</v>
      </c>
      <c r="M19" s="89">
        <f t="shared" si="6"/>
        <v>9797665.7054357417</v>
      </c>
      <c r="N19" s="89">
        <f t="shared" si="6"/>
        <v>9797665.7054357417</v>
      </c>
      <c r="O19" s="92">
        <f t="shared" si="4"/>
        <v>117571988.46522887</v>
      </c>
    </row>
    <row r="20" spans="1:25" x14ac:dyDescent="0.25">
      <c r="A20" s="84"/>
      <c r="B20" s="58" t="s">
        <v>180</v>
      </c>
      <c r="C20" s="89">
        <f>'7.4. Stage 4 budget'!C54*(1+'7.5. Stage 5&amp;6 budget'!$K$32)</f>
        <v>11765942.321318511</v>
      </c>
      <c r="D20" s="89">
        <f>'7.4. Stage 4 budget'!D54*(1+'7.5. Stage 5&amp;6 budget'!$K$32)</f>
        <v>11611980.266149744</v>
      </c>
      <c r="E20" s="89">
        <f>'7.4. Stage 4 budget'!E54*(1+'7.5. Stage 5&amp;6 budget'!$K$32)</f>
        <v>9650989.8792633303</v>
      </c>
      <c r="F20" s="89">
        <f>'7.4. Stage 4 budget'!F54*(1+'7.5. Stage 5&amp;6 budget'!$K$32)</f>
        <v>10655794.870891083</v>
      </c>
      <c r="G20" s="89">
        <f>'7.4. Stage 4 budget'!G54*(1+'7.5. Stage 5&amp;6 budget'!$K$32)</f>
        <v>8403086.9057901539</v>
      </c>
      <c r="H20" s="89">
        <f>'7.4. Stage 4 budget'!H54*(1+'7.5. Stage 5&amp;6 budget'!$K$32)</f>
        <v>9343065.7689257916</v>
      </c>
      <c r="I20" s="89">
        <f>'7.4. Stage 4 budget'!I54*(1+'7.5. Stage 5&amp;6 budget'!$K$32)</f>
        <v>9667196.4113863595</v>
      </c>
      <c r="J20" s="89">
        <f>'7.4. Stage 4 budget'!J54*(1+'7.5. Stage 5&amp;6 budget'!$K$32)</f>
        <v>11458018.210980976</v>
      </c>
      <c r="K20" s="89">
        <f>'7.4. Stage 4 budget'!K54*(1+'7.5. Stage 5&amp;6 budget'!$K$32)</f>
        <v>8970315.5300961416</v>
      </c>
      <c r="L20" s="89">
        <f>'7.4. Stage 4 budget'!L54*(1+'7.5. Stage 5&amp;6 budget'!$K$32)</f>
        <v>9602370.2828942407</v>
      </c>
      <c r="M20" s="89">
        <f>'7.4. Stage 4 budget'!M54*(1+'7.5. Stage 5&amp;6 budget'!$K$32)</f>
        <v>9618576.8150172681</v>
      </c>
      <c r="N20" s="89">
        <f>'7.4. Stage 4 budget'!N54*(1+'7.5. Stage 5&amp;6 budget'!$K$32)</f>
        <v>9375478.8331718501</v>
      </c>
      <c r="O20" s="92">
        <f t="shared" si="4"/>
        <v>120122816.09588546</v>
      </c>
    </row>
    <row r="21" spans="1:25" x14ac:dyDescent="0.25">
      <c r="A21" s="84"/>
      <c r="B21" s="58" t="s">
        <v>417</v>
      </c>
      <c r="C21" s="89">
        <f>'13. Insurance package'!$H$2/12*2</f>
        <v>7499166.666666667</v>
      </c>
      <c r="D21" s="89">
        <f>'13. Insurance package'!$H$2/12*2</f>
        <v>7499166.666666667</v>
      </c>
      <c r="E21" s="89">
        <f>'13. Insurance package'!$H$2/12*2</f>
        <v>7499166.666666667</v>
      </c>
      <c r="F21" s="89">
        <f>'13. Insurance package'!$H$2/12*2</f>
        <v>7499166.666666667</v>
      </c>
      <c r="G21" s="89">
        <f>'13. Insurance package'!$H$2/12*2</f>
        <v>7499166.666666667</v>
      </c>
      <c r="H21" s="89">
        <f>'13. Insurance package'!$H$2/12*2</f>
        <v>7499166.666666667</v>
      </c>
      <c r="I21" s="89">
        <f>'13. Insurance package'!$H$2/12*2</f>
        <v>7499166.666666667</v>
      </c>
      <c r="J21" s="89">
        <f>'13. Insurance package'!$H$2/12*2</f>
        <v>7499166.666666667</v>
      </c>
      <c r="K21" s="89">
        <f>'13. Insurance package'!$H$2/12*2</f>
        <v>7499166.666666667</v>
      </c>
      <c r="L21" s="89">
        <f>'13. Insurance package'!$H$2/12*2</f>
        <v>7499166.666666667</v>
      </c>
      <c r="M21" s="89">
        <f>'13. Insurance package'!$H$2/12*2</f>
        <v>7499166.666666667</v>
      </c>
      <c r="N21" s="89">
        <f>'13. Insurance package'!$H$2/12*2</f>
        <v>7499166.666666667</v>
      </c>
      <c r="O21" s="92">
        <f t="shared" si="4"/>
        <v>89990000.000000015</v>
      </c>
    </row>
    <row r="22" spans="1:25" x14ac:dyDescent="0.25">
      <c r="A22" s="84"/>
      <c r="B22" s="58" t="s">
        <v>86</v>
      </c>
      <c r="C22" s="89">
        <f>'7.4. Stage 4 budget'!C56*(1+'7.5. Stage 5&amp;6 budget'!$K$32)</f>
        <v>8565152.2270204313</v>
      </c>
      <c r="D22" s="89">
        <f>'7.4. Stage 4 budget'!D56*(1+'7.5. Stage 5&amp;6 budget'!$K$32)</f>
        <v>8467913.0342822652</v>
      </c>
      <c r="E22" s="89">
        <f>'7.4. Stage 4 budget'!E56*(1+'7.5. Stage 5&amp;6 budget'!$K$32)</f>
        <v>8216711.7863753298</v>
      </c>
      <c r="F22" s="89">
        <f>'7.4. Stage 4 budget'!F56*(1+'7.5. Stage 5&amp;6 budget'!$K$32)</f>
        <v>10720620.999383193</v>
      </c>
      <c r="G22" s="89">
        <f>'7.4. Stage 4 budget'!G56*(1+'7.5. Stage 5&amp;6 budget'!$K$32)</f>
        <v>9975120.5217238925</v>
      </c>
      <c r="H22" s="89">
        <f>'7.4. Stage 4 budget'!H56*(1+'7.5. Stage 5&amp;6 budget'!$K$32)</f>
        <v>8305847.7130519841</v>
      </c>
      <c r="I22" s="89">
        <f>'7.4. Stage 4 budget'!I56*(1+'7.5. Stage 5&amp;6 budget'!$K$32)</f>
        <v>11263539.825504642</v>
      </c>
      <c r="J22" s="89">
        <f>'7.4. Stage 4 budget'!J56*(1+'7.5. Stage 5&amp;6 budget'!$K$32)</f>
        <v>10809756.92605985</v>
      </c>
      <c r="K22" s="89">
        <f>'7.4. Stage 4 budget'!K56*(1+'7.5. Stage 5&amp;6 budget'!$K$32)</f>
        <v>8702907.7500661761</v>
      </c>
      <c r="L22" s="89">
        <f>'7.4. Stage 4 budget'!L56*(1+'7.5. Stage 5&amp;6 budget'!$K$32)</f>
        <v>9002728.5943421982</v>
      </c>
      <c r="M22" s="89">
        <f>'7.4. Stage 4 budget'!M56*(1+'7.5. Stage 5&amp;6 budget'!$K$32)</f>
        <v>10947512.449105589</v>
      </c>
      <c r="N22" s="89">
        <f>'7.4. Stage 4 budget'!N56*(1+'7.5. Stage 5&amp;6 budget'!$K$32)</f>
        <v>11522844.339473095</v>
      </c>
      <c r="O22" s="92">
        <f t="shared" si="4"/>
        <v>116500656.16638865</v>
      </c>
    </row>
    <row r="23" spans="1:25" x14ac:dyDescent="0.25">
      <c r="A23" s="82"/>
      <c r="B23" s="46" t="s">
        <v>208</v>
      </c>
      <c r="C23" s="47">
        <f t="shared" ref="C23:N23" si="7">SUM(C14:C22)</f>
        <v>69117218.83548525</v>
      </c>
      <c r="D23" s="47">
        <f t="shared" si="7"/>
        <v>69514278.872499451</v>
      </c>
      <c r="E23" s="47">
        <f t="shared" si="7"/>
        <v>68647229.403917447</v>
      </c>
      <c r="F23" s="47">
        <f t="shared" si="7"/>
        <v>69579105.000991568</v>
      </c>
      <c r="G23" s="47">
        <f t="shared" si="7"/>
        <v>74149347.059685528</v>
      </c>
      <c r="H23" s="47">
        <f t="shared" si="7"/>
        <v>68639126.137855932</v>
      </c>
      <c r="I23" s="47">
        <f t="shared" si="7"/>
        <v>73339020.453534126</v>
      </c>
      <c r="J23" s="47">
        <f t="shared" si="7"/>
        <v>75867239.464726537</v>
      </c>
      <c r="K23" s="47">
        <f t="shared" si="7"/>
        <v>71613024.782431632</v>
      </c>
      <c r="L23" s="47">
        <f t="shared" si="7"/>
        <v>70429947.937450543</v>
      </c>
      <c r="M23" s="47">
        <f t="shared" si="7"/>
        <v>72666449.370428443</v>
      </c>
      <c r="N23" s="47">
        <f t="shared" si="7"/>
        <v>72569210.177690297</v>
      </c>
      <c r="O23" s="47">
        <f t="shared" si="4"/>
        <v>856131197.49669671</v>
      </c>
    </row>
    <row r="24" spans="1:25" x14ac:dyDescent="0.25">
      <c r="A24" s="82"/>
      <c r="B24" s="60" t="s">
        <v>87</v>
      </c>
      <c r="C24" s="47">
        <f t="shared" ref="C24:N24" si="8">C12+C23</f>
        <v>71653541.112739176</v>
      </c>
      <c r="D24" s="47">
        <f t="shared" si="8"/>
        <v>71783193.369723409</v>
      </c>
      <c r="E24" s="47">
        <f t="shared" si="8"/>
        <v>70916143.901141405</v>
      </c>
      <c r="F24" s="47">
        <f t="shared" si="8"/>
        <v>71848019.498215526</v>
      </c>
      <c r="G24" s="47">
        <f t="shared" si="8"/>
        <v>76418261.556909487</v>
      </c>
      <c r="H24" s="47">
        <f t="shared" si="8"/>
        <v>70908040.63507989</v>
      </c>
      <c r="I24" s="47">
        <f t="shared" si="8"/>
        <v>75607934.950758085</v>
      </c>
      <c r="J24" s="47">
        <f t="shared" si="8"/>
        <v>78136153.961950496</v>
      </c>
      <c r="K24" s="47">
        <f t="shared" si="8"/>
        <v>73881939.279655591</v>
      </c>
      <c r="L24" s="47">
        <f t="shared" si="8"/>
        <v>72698862.434674501</v>
      </c>
      <c r="M24" s="47">
        <f t="shared" si="8"/>
        <v>74935363.867652401</v>
      </c>
      <c r="N24" s="47">
        <f t="shared" si="8"/>
        <v>74838124.674914256</v>
      </c>
      <c r="O24" s="47">
        <f t="shared" si="4"/>
        <v>883625579.24341428</v>
      </c>
    </row>
    <row r="25" spans="1:25" s="11" customFormat="1" x14ac:dyDescent="0.25">
      <c r="A25" s="82"/>
      <c r="B25" s="108" t="s">
        <v>204</v>
      </c>
      <c r="C25" s="109">
        <f>$O24*(3/12)/12</f>
        <v>18408866.234237798</v>
      </c>
      <c r="D25" s="109">
        <f t="shared" ref="D25:N25" si="9">$O24*(3/12)/12</f>
        <v>18408866.234237798</v>
      </c>
      <c r="E25" s="109">
        <f t="shared" si="9"/>
        <v>18408866.234237798</v>
      </c>
      <c r="F25" s="109">
        <f t="shared" si="9"/>
        <v>18408866.234237798</v>
      </c>
      <c r="G25" s="109">
        <f t="shared" si="9"/>
        <v>18408866.234237798</v>
      </c>
      <c r="H25" s="109">
        <f t="shared" si="9"/>
        <v>18408866.234237798</v>
      </c>
      <c r="I25" s="109">
        <f t="shared" si="9"/>
        <v>18408866.234237798</v>
      </c>
      <c r="J25" s="109">
        <f t="shared" si="9"/>
        <v>18408866.234237798</v>
      </c>
      <c r="K25" s="109">
        <f t="shared" si="9"/>
        <v>18408866.234237798</v>
      </c>
      <c r="L25" s="109">
        <f t="shared" si="9"/>
        <v>18408866.234237798</v>
      </c>
      <c r="M25" s="109">
        <f t="shared" si="9"/>
        <v>18408866.234237798</v>
      </c>
      <c r="N25" s="109">
        <f t="shared" si="9"/>
        <v>18408866.234237798</v>
      </c>
      <c r="O25" s="109">
        <f t="shared" ref="O25:O28" si="10">SUM(C25:N25)</f>
        <v>220906394.81085351</v>
      </c>
      <c r="P25" s="43"/>
      <c r="Q25" s="43"/>
      <c r="R25" s="40"/>
      <c r="S25" s="40"/>
      <c r="T25" s="40"/>
      <c r="U25" s="40"/>
      <c r="V25" s="40"/>
      <c r="W25" s="40"/>
      <c r="X25" s="40"/>
      <c r="Y25" s="40"/>
    </row>
    <row r="26" spans="1:25" s="11" customFormat="1" x14ac:dyDescent="0.25">
      <c r="A26" s="82"/>
      <c r="B26" s="108" t="s">
        <v>82</v>
      </c>
      <c r="C26" s="109">
        <f>'6. Mortgage payment'!$C$7</f>
        <v>28168245.060798287</v>
      </c>
      <c r="D26" s="109">
        <f>'6. Mortgage payment'!$C$7</f>
        <v>28168245.060798287</v>
      </c>
      <c r="E26" s="109">
        <f>'6. Mortgage payment'!$C$7</f>
        <v>28168245.060798287</v>
      </c>
      <c r="F26" s="109">
        <f>'6. Mortgage payment'!$C$7</f>
        <v>28168245.060798287</v>
      </c>
      <c r="G26" s="109">
        <f>'6. Mortgage payment'!$C$7</f>
        <v>28168245.060798287</v>
      </c>
      <c r="H26" s="109">
        <f>'6. Mortgage payment'!$C$7</f>
        <v>28168245.060798287</v>
      </c>
      <c r="I26" s="109">
        <f>'6. Mortgage payment'!$C$7</f>
        <v>28168245.060798287</v>
      </c>
      <c r="J26" s="109">
        <f>'6. Mortgage payment'!$C$7</f>
        <v>28168245.060798287</v>
      </c>
      <c r="K26" s="109">
        <f>'6. Mortgage payment'!$C$7</f>
        <v>28168245.060798287</v>
      </c>
      <c r="L26" s="109">
        <f>'6. Mortgage payment'!$C$7</f>
        <v>28168245.060798287</v>
      </c>
      <c r="M26" s="109">
        <f>'6. Mortgage payment'!$C$7</f>
        <v>28168245.060798287</v>
      </c>
      <c r="N26" s="109">
        <f>'6. Mortgage payment'!$C$7</f>
        <v>28168245.060798287</v>
      </c>
      <c r="O26" s="109">
        <f t="shared" si="10"/>
        <v>338018940.72957945</v>
      </c>
      <c r="P26" s="43"/>
      <c r="Q26" s="43"/>
      <c r="R26" s="40"/>
      <c r="S26" s="40"/>
      <c r="T26" s="40"/>
      <c r="U26" s="40"/>
      <c r="V26" s="40"/>
      <c r="W26" s="40"/>
      <c r="X26" s="40"/>
      <c r="Y26" s="40"/>
    </row>
    <row r="27" spans="1:25" s="11" customFormat="1" x14ac:dyDescent="0.25">
      <c r="A27" s="82"/>
      <c r="B27" s="108" t="s">
        <v>251</v>
      </c>
      <c r="C27" s="109">
        <f>-PMT(4%,18*12,(150000000*8)/(1+4%)^18)</f>
        <v>23699110.369091634</v>
      </c>
      <c r="D27" s="109">
        <f t="shared" ref="D27:N27" si="11">-PMT(4%,18*12,(150000000*8)/(1+4%)^18)</f>
        <v>23699110.369091634</v>
      </c>
      <c r="E27" s="109">
        <f t="shared" si="11"/>
        <v>23699110.369091634</v>
      </c>
      <c r="F27" s="109">
        <f t="shared" si="11"/>
        <v>23699110.369091634</v>
      </c>
      <c r="G27" s="109">
        <f t="shared" si="11"/>
        <v>23699110.369091634</v>
      </c>
      <c r="H27" s="109">
        <f t="shared" si="11"/>
        <v>23699110.369091634</v>
      </c>
      <c r="I27" s="109">
        <f t="shared" si="11"/>
        <v>23699110.369091634</v>
      </c>
      <c r="J27" s="109">
        <f t="shared" si="11"/>
        <v>23699110.369091634</v>
      </c>
      <c r="K27" s="109">
        <f t="shared" si="11"/>
        <v>23699110.369091634</v>
      </c>
      <c r="L27" s="109">
        <f t="shared" si="11"/>
        <v>23699110.369091634</v>
      </c>
      <c r="M27" s="109">
        <f t="shared" si="11"/>
        <v>23699110.369091634</v>
      </c>
      <c r="N27" s="109">
        <f t="shared" si="11"/>
        <v>23699110.369091634</v>
      </c>
      <c r="O27" s="109">
        <f t="shared" ref="O27" si="12">SUM(C27:N27)</f>
        <v>284389324.42909962</v>
      </c>
      <c r="P27" s="43"/>
      <c r="Q27" s="43"/>
      <c r="R27" s="40"/>
      <c r="S27" s="40"/>
      <c r="T27" s="40"/>
      <c r="U27" s="40"/>
      <c r="V27" s="40"/>
      <c r="W27" s="40"/>
      <c r="X27" s="40"/>
      <c r="Y27" s="40"/>
    </row>
    <row r="28" spans="1:25" s="11" customFormat="1" x14ac:dyDescent="0.25">
      <c r="A28" s="82"/>
      <c r="B28" s="108" t="s">
        <v>386</v>
      </c>
      <c r="C28" s="109">
        <f>'7.4. Stage 4 budget'!C62*(1+'7.4. Stage 4 budget'!$K$66)</f>
        <v>2220366.4273775164</v>
      </c>
      <c r="D28" s="109">
        <v>0</v>
      </c>
      <c r="E28" s="109">
        <v>0</v>
      </c>
      <c r="F28" s="109">
        <v>0</v>
      </c>
      <c r="G28" s="109">
        <v>0</v>
      </c>
      <c r="H28" s="109">
        <v>0</v>
      </c>
      <c r="I28" s="109">
        <v>0</v>
      </c>
      <c r="J28" s="109">
        <v>0</v>
      </c>
      <c r="K28" s="109">
        <v>0</v>
      </c>
      <c r="L28" s="109">
        <v>0</v>
      </c>
      <c r="M28" s="109">
        <v>0</v>
      </c>
      <c r="N28" s="109">
        <v>0</v>
      </c>
      <c r="O28" s="109">
        <f t="shared" si="10"/>
        <v>2220366.4273775164</v>
      </c>
      <c r="P28" s="43"/>
      <c r="Q28" s="43"/>
      <c r="R28" s="40"/>
      <c r="S28" s="40"/>
      <c r="T28" s="40"/>
      <c r="U28" s="40"/>
      <c r="V28" s="40"/>
      <c r="W28" s="40"/>
      <c r="X28" s="40"/>
      <c r="Y28" s="40"/>
    </row>
    <row r="29" spans="1:25" s="11" customFormat="1" x14ac:dyDescent="0.25">
      <c r="A29" s="82"/>
      <c r="B29" s="60" t="s">
        <v>206</v>
      </c>
      <c r="C29" s="61">
        <f t="shared" ref="C29:N29" si="13">C6-C24-C25-C26-C28-C27</f>
        <v>51803184.904470414</v>
      </c>
      <c r="D29" s="61">
        <f t="shared" si="13"/>
        <v>53893899.074863702</v>
      </c>
      <c r="E29" s="61">
        <f t="shared" si="13"/>
        <v>54760948.543445706</v>
      </c>
      <c r="F29" s="61">
        <f t="shared" si="13"/>
        <v>53829072.946371585</v>
      </c>
      <c r="G29" s="61">
        <f t="shared" si="13"/>
        <v>49258830.88767761</v>
      </c>
      <c r="H29" s="61">
        <f t="shared" si="13"/>
        <v>54769051.809507221</v>
      </c>
      <c r="I29" s="61">
        <f t="shared" si="13"/>
        <v>50069157.493829012</v>
      </c>
      <c r="J29" s="61">
        <f t="shared" si="13"/>
        <v>47540938.482636601</v>
      </c>
      <c r="K29" s="61">
        <f t="shared" si="13"/>
        <v>51795153.164931506</v>
      </c>
      <c r="L29" s="61">
        <f t="shared" si="13"/>
        <v>52978230.00991261</v>
      </c>
      <c r="M29" s="61">
        <f t="shared" si="13"/>
        <v>50741728.576934695</v>
      </c>
      <c r="N29" s="61">
        <f t="shared" si="13"/>
        <v>50838967.769672841</v>
      </c>
      <c r="O29" s="47">
        <f t="shared" ref="O29" si="14">SUM(C29:N29)</f>
        <v>622279163.66425359</v>
      </c>
      <c r="P29" s="43"/>
      <c r="Q29" s="43"/>
      <c r="R29" s="40"/>
      <c r="S29" s="40"/>
      <c r="T29" s="40"/>
      <c r="U29" s="40"/>
      <c r="V29" s="40"/>
      <c r="W29" s="40"/>
      <c r="X29" s="40"/>
      <c r="Y29" s="40"/>
    </row>
    <row r="30" spans="1:25" x14ac:dyDescent="0.25">
      <c r="A30" s="85"/>
      <c r="B30" s="40"/>
      <c r="C30" s="40"/>
      <c r="D30" s="40"/>
      <c r="E30" s="40"/>
      <c r="F30" s="40"/>
      <c r="G30" s="40"/>
      <c r="H30" s="40"/>
      <c r="I30" s="40"/>
      <c r="J30" s="40"/>
      <c r="K30" s="40"/>
      <c r="L30" s="353" t="s">
        <v>217</v>
      </c>
      <c r="M30" s="354"/>
      <c r="N30" s="350">
        <f>SUM(C29:N29)+'7.4. Stage 4 budget'!N64</f>
        <v>6992106463.8541203</v>
      </c>
      <c r="O30" s="40"/>
    </row>
    <row r="31" spans="1:25" x14ac:dyDescent="0.25">
      <c r="A31" s="85"/>
      <c r="B31" s="40"/>
      <c r="C31" s="40"/>
      <c r="D31" s="40"/>
      <c r="E31" s="40"/>
      <c r="F31" s="40"/>
      <c r="G31" s="40"/>
      <c r="H31" s="40"/>
      <c r="I31" s="40"/>
      <c r="J31" s="40"/>
      <c r="K31" s="40"/>
      <c r="L31" s="320"/>
      <c r="M31" s="355"/>
      <c r="N31" s="351"/>
      <c r="O31" s="40"/>
    </row>
    <row r="32" spans="1:25" x14ac:dyDescent="0.25">
      <c r="A32" s="85"/>
      <c r="B32" s="319" t="s">
        <v>632</v>
      </c>
      <c r="C32" s="352" t="s">
        <v>173</v>
      </c>
      <c r="D32" s="352"/>
      <c r="E32" s="352"/>
      <c r="F32" s="352"/>
      <c r="G32" s="352"/>
      <c r="H32" s="352"/>
      <c r="I32" s="40"/>
      <c r="J32" s="358" t="s">
        <v>231</v>
      </c>
      <c r="K32" s="359">
        <v>0.04</v>
      </c>
      <c r="L32" s="40"/>
      <c r="M32" s="40"/>
      <c r="N32" s="40"/>
      <c r="O32" s="361"/>
    </row>
    <row r="33" spans="1:15" x14ac:dyDescent="0.25">
      <c r="A33" s="85"/>
      <c r="B33" s="319"/>
      <c r="C33" s="352"/>
      <c r="D33" s="352"/>
      <c r="E33" s="352"/>
      <c r="F33" s="352"/>
      <c r="G33" s="352"/>
      <c r="H33" s="352"/>
      <c r="I33" s="40"/>
      <c r="J33" s="358"/>
      <c r="K33" s="360"/>
      <c r="L33" s="40"/>
      <c r="M33" s="40"/>
      <c r="N33" s="40"/>
      <c r="O33" s="362"/>
    </row>
    <row r="34" spans="1:15" x14ac:dyDescent="0.25">
      <c r="A34" s="85"/>
      <c r="B34" s="319"/>
      <c r="C34" s="352"/>
      <c r="D34" s="352"/>
      <c r="E34" s="352"/>
      <c r="F34" s="352"/>
      <c r="G34" s="352"/>
      <c r="H34" s="352"/>
      <c r="I34" s="40"/>
      <c r="J34" s="40"/>
      <c r="K34" s="40"/>
      <c r="L34" s="40"/>
      <c r="M34" s="40"/>
      <c r="N34" s="40"/>
      <c r="O34" s="40"/>
    </row>
    <row r="37" spans="1:15" ht="24.6" x14ac:dyDescent="0.25">
      <c r="A37" s="96"/>
      <c r="B37" s="348" t="s">
        <v>261</v>
      </c>
      <c r="C37" s="348"/>
      <c r="D37" s="348"/>
      <c r="E37" s="348"/>
      <c r="F37" s="348"/>
      <c r="G37" s="348"/>
      <c r="H37" s="348"/>
      <c r="I37" s="348"/>
      <c r="J37" s="348"/>
      <c r="K37" s="348"/>
      <c r="L37" s="348"/>
      <c r="M37" s="348"/>
      <c r="N37" s="348"/>
      <c r="O37" s="348"/>
    </row>
    <row r="38" spans="1:15" ht="24.6" x14ac:dyDescent="0.25">
      <c r="A38" s="96"/>
      <c r="B38" s="349"/>
      <c r="C38" s="349"/>
      <c r="D38" s="349"/>
      <c r="E38" s="349"/>
      <c r="F38" s="349"/>
      <c r="G38" s="349"/>
      <c r="H38" s="349"/>
      <c r="I38" s="349"/>
      <c r="J38" s="349"/>
      <c r="K38" s="349"/>
      <c r="L38" s="349"/>
      <c r="M38" s="349"/>
      <c r="N38" s="349"/>
      <c r="O38" s="349"/>
    </row>
    <row r="39" spans="1:15" x14ac:dyDescent="0.25">
      <c r="A39" s="82"/>
      <c r="B39" s="41"/>
      <c r="C39" s="42" t="s">
        <v>66</v>
      </c>
      <c r="D39" s="42" t="s">
        <v>67</v>
      </c>
      <c r="E39" s="42" t="s">
        <v>68</v>
      </c>
      <c r="F39" s="42" t="s">
        <v>69</v>
      </c>
      <c r="G39" s="42" t="s">
        <v>70</v>
      </c>
      <c r="H39" s="42" t="s">
        <v>71</v>
      </c>
      <c r="I39" s="42" t="s">
        <v>72</v>
      </c>
      <c r="J39" s="42" t="s">
        <v>73</v>
      </c>
      <c r="K39" s="42" t="s">
        <v>74</v>
      </c>
      <c r="L39" s="42" t="s">
        <v>75</v>
      </c>
      <c r="M39" s="42" t="s">
        <v>76</v>
      </c>
      <c r="N39" s="42" t="s">
        <v>77</v>
      </c>
      <c r="O39" s="42" t="s">
        <v>236</v>
      </c>
    </row>
    <row r="40" spans="1:15" x14ac:dyDescent="0.25">
      <c r="A40" s="82"/>
      <c r="B40" s="44" t="s">
        <v>194</v>
      </c>
      <c r="C40" s="45">
        <f>'3.1. My Income Tax Calculation'!$P$21/12</f>
        <v>135712593.81407699</v>
      </c>
      <c r="D40" s="45">
        <f>'3.1. My Income Tax Calculation'!$P$21/12</f>
        <v>135712593.81407699</v>
      </c>
      <c r="E40" s="45">
        <f>'3.1. My Income Tax Calculation'!$P$21/12</f>
        <v>135712593.81407699</v>
      </c>
      <c r="F40" s="45">
        <f>'3.1. My Income Tax Calculation'!$P$21/12</f>
        <v>135712593.81407699</v>
      </c>
      <c r="G40" s="45">
        <f>'3.1. My Income Tax Calculation'!$P$21/12</f>
        <v>135712593.81407699</v>
      </c>
      <c r="H40" s="45">
        <f>'3.1. My Income Tax Calculation'!$P$21/12</f>
        <v>135712593.81407699</v>
      </c>
      <c r="I40" s="45">
        <f>'3.1. My Income Tax Calculation'!$P$21/12</f>
        <v>135712593.81407699</v>
      </c>
      <c r="J40" s="45">
        <f>'3.1. My Income Tax Calculation'!$P$21/12</f>
        <v>135712593.81407699</v>
      </c>
      <c r="K40" s="45">
        <f>'3.1. My Income Tax Calculation'!$P$21/12</f>
        <v>135712593.81407699</v>
      </c>
      <c r="L40" s="45">
        <f>'3.1. My Income Tax Calculation'!$P$21/12</f>
        <v>135712593.81407699</v>
      </c>
      <c r="M40" s="45">
        <f>'3.1. My Income Tax Calculation'!$P$21/12</f>
        <v>135712593.81407699</v>
      </c>
      <c r="N40" s="45">
        <f>'3.1. My Income Tax Calculation'!$P$21/12</f>
        <v>135712593.81407699</v>
      </c>
      <c r="O40" s="45" t="s">
        <v>173</v>
      </c>
    </row>
    <row r="41" spans="1:15" x14ac:dyDescent="0.25">
      <c r="A41" s="82"/>
      <c r="B41" s="44" t="s">
        <v>246</v>
      </c>
      <c r="C41" s="45">
        <f>'3.2. My wife''s Tax Calc'!$P$21/12</f>
        <v>61157149.604625165</v>
      </c>
      <c r="D41" s="45">
        <f>'3.2. My wife''s Tax Calc'!$P$21/12</f>
        <v>61157149.604625165</v>
      </c>
      <c r="E41" s="45">
        <f>'3.2. My wife''s Tax Calc'!$P$21/12</f>
        <v>61157149.604625165</v>
      </c>
      <c r="F41" s="45">
        <f>'3.2. My wife''s Tax Calc'!$P$21/12</f>
        <v>61157149.604625165</v>
      </c>
      <c r="G41" s="45">
        <f>'3.2. My wife''s Tax Calc'!$P$21/12</f>
        <v>61157149.604625165</v>
      </c>
      <c r="H41" s="45">
        <f>'3.2. My wife''s Tax Calc'!$P$21/12</f>
        <v>61157149.604625165</v>
      </c>
      <c r="I41" s="45">
        <f>'3.2. My wife''s Tax Calc'!$P$21/12</f>
        <v>61157149.604625165</v>
      </c>
      <c r="J41" s="45">
        <f>'3.2. My wife''s Tax Calc'!$P$21/12</f>
        <v>61157149.604625165</v>
      </c>
      <c r="K41" s="45">
        <f>'3.2. My wife''s Tax Calc'!$P$21/12</f>
        <v>61157149.604625165</v>
      </c>
      <c r="L41" s="45">
        <f>'3.2. My wife''s Tax Calc'!$P$21/12</f>
        <v>61157149.604625165</v>
      </c>
      <c r="M41" s="45">
        <f>'3.2. My wife''s Tax Calc'!$P$21/12</f>
        <v>61157149.604625165</v>
      </c>
      <c r="N41" s="45">
        <f>'3.2. My wife''s Tax Calc'!$P$21/12</f>
        <v>61157149.604625165</v>
      </c>
      <c r="O41" s="45" t="s">
        <v>173</v>
      </c>
    </row>
    <row r="42" spans="1:15" x14ac:dyDescent="0.25">
      <c r="A42" s="82"/>
      <c r="B42" s="46" t="s">
        <v>209</v>
      </c>
      <c r="C42" s="47">
        <f>SUM(C40:C41)</f>
        <v>196869743.41870216</v>
      </c>
      <c r="D42" s="47">
        <f t="shared" ref="D42:J42" si="15">SUM(D40:D41)</f>
        <v>196869743.41870216</v>
      </c>
      <c r="E42" s="47">
        <f t="shared" si="15"/>
        <v>196869743.41870216</v>
      </c>
      <c r="F42" s="47">
        <f t="shared" si="15"/>
        <v>196869743.41870216</v>
      </c>
      <c r="G42" s="47">
        <f t="shared" si="15"/>
        <v>196869743.41870216</v>
      </c>
      <c r="H42" s="47">
        <f t="shared" si="15"/>
        <v>196869743.41870216</v>
      </c>
      <c r="I42" s="47">
        <f t="shared" si="15"/>
        <v>196869743.41870216</v>
      </c>
      <c r="J42" s="47">
        <f t="shared" si="15"/>
        <v>196869743.41870216</v>
      </c>
      <c r="K42" s="47">
        <f>SUM(K40:K41)</f>
        <v>196869743.41870216</v>
      </c>
      <c r="L42" s="47">
        <f t="shared" ref="L42:N42" si="16">SUM(L40:L41)</f>
        <v>196869743.41870216</v>
      </c>
      <c r="M42" s="47">
        <f t="shared" si="16"/>
        <v>196869743.41870216</v>
      </c>
      <c r="N42" s="47">
        <f t="shared" si="16"/>
        <v>196869743.41870216</v>
      </c>
      <c r="O42" s="47">
        <f>SUM(C42:N42)</f>
        <v>2362436921.024426</v>
      </c>
    </row>
    <row r="43" spans="1:15" x14ac:dyDescent="0.25">
      <c r="A43" s="82"/>
      <c r="B43" s="52" t="s">
        <v>78</v>
      </c>
      <c r="C43" s="53" t="s">
        <v>173</v>
      </c>
      <c r="D43" s="53" t="s">
        <v>173</v>
      </c>
      <c r="E43" s="53" t="s">
        <v>173</v>
      </c>
      <c r="F43" s="53" t="s">
        <v>173</v>
      </c>
      <c r="G43" s="53" t="s">
        <v>173</v>
      </c>
      <c r="H43" s="53" t="s">
        <v>173</v>
      </c>
      <c r="I43" s="53" t="s">
        <v>173</v>
      </c>
      <c r="J43" s="53" t="s">
        <v>173</v>
      </c>
      <c r="K43" s="53" t="s">
        <v>173</v>
      </c>
      <c r="L43" s="53" t="s">
        <v>173</v>
      </c>
      <c r="M43" s="53" t="s">
        <v>173</v>
      </c>
      <c r="N43" s="53" t="s">
        <v>173</v>
      </c>
      <c r="O43" s="91" t="s">
        <v>173</v>
      </c>
    </row>
    <row r="44" spans="1:15" x14ac:dyDescent="0.25">
      <c r="A44" s="82"/>
      <c r="B44" s="48" t="s">
        <v>79</v>
      </c>
      <c r="C44" s="54" t="s">
        <v>173</v>
      </c>
      <c r="D44" s="54" t="s">
        <v>173</v>
      </c>
      <c r="E44" s="54" t="s">
        <v>173</v>
      </c>
      <c r="F44" s="54" t="s">
        <v>173</v>
      </c>
      <c r="G44" s="54" t="s">
        <v>173</v>
      </c>
      <c r="H44" s="54" t="s">
        <v>173</v>
      </c>
      <c r="I44" s="54" t="s">
        <v>173</v>
      </c>
      <c r="J44" s="54" t="s">
        <v>173</v>
      </c>
      <c r="K44" s="54" t="s">
        <v>173</v>
      </c>
      <c r="L44" s="54" t="s">
        <v>173</v>
      </c>
      <c r="M44" s="54" t="s">
        <v>173</v>
      </c>
      <c r="N44" s="54" t="s">
        <v>173</v>
      </c>
      <c r="O44" s="91" t="s">
        <v>173</v>
      </c>
    </row>
    <row r="45" spans="1:15" x14ac:dyDescent="0.25">
      <c r="A45" s="83"/>
      <c r="B45" s="49" t="s">
        <v>195</v>
      </c>
      <c r="C45" s="50">
        <f>C9*(1+$K$68)</f>
        <v>278104.09123116493</v>
      </c>
      <c r="D45" s="50">
        <v>0</v>
      </c>
      <c r="E45" s="50">
        <v>0</v>
      </c>
      <c r="F45" s="50">
        <v>0</v>
      </c>
      <c r="G45" s="50">
        <v>0</v>
      </c>
      <c r="H45" s="50">
        <v>0</v>
      </c>
      <c r="I45" s="50">
        <v>0</v>
      </c>
      <c r="J45" s="50">
        <v>0</v>
      </c>
      <c r="K45" s="50">
        <v>0</v>
      </c>
      <c r="L45" s="50">
        <v>0</v>
      </c>
      <c r="M45" s="50">
        <v>0</v>
      </c>
      <c r="N45" s="50">
        <v>0</v>
      </c>
      <c r="O45" s="90">
        <f t="shared" ref="O45:O48" si="17">SUM(C45:N45)</f>
        <v>278104.09123116493</v>
      </c>
    </row>
    <row r="46" spans="1:15" x14ac:dyDescent="0.25">
      <c r="A46" s="82"/>
      <c r="B46" s="51" t="s">
        <v>178</v>
      </c>
      <c r="C46" s="50">
        <f>C10*(1+$K$68)</f>
        <v>2106849.1759936735</v>
      </c>
      <c r="D46" s="50">
        <f t="shared" ref="D46:N46" si="18">D10*(1+$K$68)</f>
        <v>2106849.1759936735</v>
      </c>
      <c r="E46" s="50">
        <f t="shared" si="18"/>
        <v>2106849.1759936735</v>
      </c>
      <c r="F46" s="50">
        <f t="shared" si="18"/>
        <v>2106849.1759936735</v>
      </c>
      <c r="G46" s="50">
        <f t="shared" si="18"/>
        <v>2106849.1759936735</v>
      </c>
      <c r="H46" s="50">
        <f t="shared" si="18"/>
        <v>2106849.1759936735</v>
      </c>
      <c r="I46" s="50">
        <f t="shared" si="18"/>
        <v>2106849.1759936735</v>
      </c>
      <c r="J46" s="50">
        <f t="shared" si="18"/>
        <v>2106849.1759936735</v>
      </c>
      <c r="K46" s="50">
        <f t="shared" si="18"/>
        <v>2106849.1759936735</v>
      </c>
      <c r="L46" s="50">
        <f t="shared" si="18"/>
        <v>2106849.1759936735</v>
      </c>
      <c r="M46" s="50">
        <f t="shared" si="18"/>
        <v>2106849.1759936735</v>
      </c>
      <c r="N46" s="50">
        <f t="shared" si="18"/>
        <v>2106849.1759936735</v>
      </c>
      <c r="O46" s="90">
        <f t="shared" si="17"/>
        <v>25282190.111924082</v>
      </c>
    </row>
    <row r="47" spans="1:15" x14ac:dyDescent="0.25">
      <c r="A47" s="84"/>
      <c r="B47" s="51" t="s">
        <v>248</v>
      </c>
      <c r="C47" s="50">
        <f>C11*(1+$K$68)</f>
        <v>252821.90111924082</v>
      </c>
      <c r="D47" s="50">
        <f t="shared" ref="D47:N47" si="19">D11*(1+$K$68)</f>
        <v>252821.90111924082</v>
      </c>
      <c r="E47" s="50">
        <f t="shared" si="19"/>
        <v>252821.90111924082</v>
      </c>
      <c r="F47" s="50">
        <f t="shared" si="19"/>
        <v>252821.90111924082</v>
      </c>
      <c r="G47" s="50">
        <f t="shared" si="19"/>
        <v>252821.90111924082</v>
      </c>
      <c r="H47" s="50">
        <f t="shared" si="19"/>
        <v>252821.90111924082</v>
      </c>
      <c r="I47" s="50">
        <f t="shared" si="19"/>
        <v>252821.90111924082</v>
      </c>
      <c r="J47" s="50">
        <f t="shared" si="19"/>
        <v>252821.90111924082</v>
      </c>
      <c r="K47" s="50">
        <f t="shared" si="19"/>
        <v>252821.90111924082</v>
      </c>
      <c r="L47" s="50">
        <f t="shared" si="19"/>
        <v>252821.90111924082</v>
      </c>
      <c r="M47" s="50">
        <f t="shared" si="19"/>
        <v>252821.90111924082</v>
      </c>
      <c r="N47" s="50">
        <f t="shared" si="19"/>
        <v>252821.90111924082</v>
      </c>
      <c r="O47" s="90">
        <f t="shared" si="17"/>
        <v>3033862.8134308904</v>
      </c>
    </row>
    <row r="48" spans="1:15" x14ac:dyDescent="0.25">
      <c r="A48" s="82"/>
      <c r="B48" s="46" t="s">
        <v>207</v>
      </c>
      <c r="C48" s="47">
        <f t="shared" ref="C48:N48" si="20">SUM(C45:C47)</f>
        <v>2637775.1683440795</v>
      </c>
      <c r="D48" s="47">
        <f t="shared" si="20"/>
        <v>2359671.0771129145</v>
      </c>
      <c r="E48" s="47">
        <f t="shared" si="20"/>
        <v>2359671.0771129145</v>
      </c>
      <c r="F48" s="47">
        <f t="shared" si="20"/>
        <v>2359671.0771129145</v>
      </c>
      <c r="G48" s="47">
        <f t="shared" si="20"/>
        <v>2359671.0771129145</v>
      </c>
      <c r="H48" s="47">
        <f t="shared" si="20"/>
        <v>2359671.0771129145</v>
      </c>
      <c r="I48" s="47">
        <f t="shared" si="20"/>
        <v>2359671.0771129145</v>
      </c>
      <c r="J48" s="47">
        <f t="shared" si="20"/>
        <v>2359671.0771129145</v>
      </c>
      <c r="K48" s="47">
        <f t="shared" si="20"/>
        <v>2359671.0771129145</v>
      </c>
      <c r="L48" s="47">
        <f t="shared" si="20"/>
        <v>2359671.0771129145</v>
      </c>
      <c r="M48" s="47">
        <f t="shared" si="20"/>
        <v>2359671.0771129145</v>
      </c>
      <c r="N48" s="47">
        <f t="shared" si="20"/>
        <v>2359671.0771129145</v>
      </c>
      <c r="O48" s="47">
        <f t="shared" si="17"/>
        <v>28594157.016586132</v>
      </c>
    </row>
    <row r="49" spans="1:25" x14ac:dyDescent="0.25">
      <c r="A49" s="82"/>
      <c r="B49" s="55" t="s">
        <v>83</v>
      </c>
      <c r="C49" s="59" t="s">
        <v>173</v>
      </c>
      <c r="D49" s="59" t="s">
        <v>173</v>
      </c>
      <c r="E49" s="59" t="s">
        <v>173</v>
      </c>
      <c r="F49" s="59" t="s">
        <v>173</v>
      </c>
      <c r="G49" s="59" t="s">
        <v>173</v>
      </c>
      <c r="H49" s="59" t="s">
        <v>173</v>
      </c>
      <c r="I49" s="59" t="s">
        <v>173</v>
      </c>
      <c r="J49" s="59" t="s">
        <v>173</v>
      </c>
      <c r="K49" s="59" t="s">
        <v>173</v>
      </c>
      <c r="L49" s="59" t="s">
        <v>173</v>
      </c>
      <c r="M49" s="59" t="s">
        <v>173</v>
      </c>
      <c r="N49" s="59" t="s">
        <v>173</v>
      </c>
      <c r="O49" s="91" t="s">
        <v>173</v>
      </c>
    </row>
    <row r="50" spans="1:25" x14ac:dyDescent="0.25">
      <c r="A50" s="82"/>
      <c r="B50" s="57" t="s">
        <v>210</v>
      </c>
      <c r="C50" s="89">
        <f t="shared" ref="C50:N50" si="21">C14*(1+$K$68)</f>
        <v>2789468.3090156242</v>
      </c>
      <c r="D50" s="89">
        <f t="shared" si="21"/>
        <v>3362531.2848859038</v>
      </c>
      <c r="E50" s="89">
        <f t="shared" si="21"/>
        <v>3101281.9870626866</v>
      </c>
      <c r="F50" s="89">
        <f t="shared" si="21"/>
        <v>2899024.4661672949</v>
      </c>
      <c r="G50" s="89">
        <f t="shared" si="21"/>
        <v>2663057.3584560039</v>
      </c>
      <c r="H50" s="89">
        <f t="shared" si="21"/>
        <v>3337249.094773978</v>
      </c>
      <c r="I50" s="89">
        <f t="shared" si="21"/>
        <v>3893457.2772363084</v>
      </c>
      <c r="J50" s="89">
        <f t="shared" si="21"/>
        <v>3733336.7398607899</v>
      </c>
      <c r="K50" s="89">
        <f t="shared" si="21"/>
        <v>2882169.6727593453</v>
      </c>
      <c r="L50" s="89">
        <f t="shared" si="21"/>
        <v>2958016.2430951176</v>
      </c>
      <c r="M50" s="89">
        <f t="shared" si="21"/>
        <v>2814750.4991275482</v>
      </c>
      <c r="N50" s="89">
        <f t="shared" si="21"/>
        <v>3042290.2101348639</v>
      </c>
      <c r="O50" s="92">
        <f t="shared" ref="O50:O60" si="22">SUM(C50:N50)</f>
        <v>37476633.142575473</v>
      </c>
    </row>
    <row r="51" spans="1:25" x14ac:dyDescent="0.25">
      <c r="A51" s="82"/>
      <c r="B51" s="57" t="s">
        <v>203</v>
      </c>
      <c r="C51" s="89">
        <f t="shared" ref="C51:N51" si="23">C15*(1+$K$68)</f>
        <v>10070739.061249759</v>
      </c>
      <c r="D51" s="89">
        <f t="shared" si="23"/>
        <v>10846059.558015432</v>
      </c>
      <c r="E51" s="89">
        <f t="shared" si="23"/>
        <v>12160733.443835484</v>
      </c>
      <c r="F51" s="89">
        <f t="shared" si="23"/>
        <v>9219571.9941483177</v>
      </c>
      <c r="G51" s="89">
        <f t="shared" si="23"/>
        <v>12270289.600987157</v>
      </c>
      <c r="H51" s="89">
        <f t="shared" si="23"/>
        <v>11562388.27785328</v>
      </c>
      <c r="I51" s="89">
        <f t="shared" si="23"/>
        <v>10610092.450304145</v>
      </c>
      <c r="J51" s="89">
        <f t="shared" si="23"/>
        <v>12615812.865850117</v>
      </c>
      <c r="K51" s="89">
        <f t="shared" si="23"/>
        <v>12329281.377914974</v>
      </c>
      <c r="L51" s="89">
        <f t="shared" si="23"/>
        <v>12329281.377914974</v>
      </c>
      <c r="M51" s="89">
        <f t="shared" si="23"/>
        <v>9581950.0524192303</v>
      </c>
      <c r="N51" s="89">
        <f t="shared" si="23"/>
        <v>11815210.178972526</v>
      </c>
      <c r="O51" s="92">
        <f t="shared" si="22"/>
        <v>135411410.23946542</v>
      </c>
    </row>
    <row r="52" spans="1:25" x14ac:dyDescent="0.25">
      <c r="A52" s="82"/>
      <c r="B52" s="58" t="s">
        <v>84</v>
      </c>
      <c r="C52" s="89">
        <f t="shared" ref="C52:N52" si="24">C16*(1+$K$68)</f>
        <v>8907758.3161012493</v>
      </c>
      <c r="D52" s="89">
        <f t="shared" si="24"/>
        <v>9725215.796386797</v>
      </c>
      <c r="E52" s="89">
        <f t="shared" si="24"/>
        <v>9758925.3832026981</v>
      </c>
      <c r="F52" s="89">
        <f t="shared" si="24"/>
        <v>10079166.457953734</v>
      </c>
      <c r="G52" s="89">
        <f t="shared" si="24"/>
        <v>11924766.336124193</v>
      </c>
      <c r="H52" s="89">
        <f t="shared" si="24"/>
        <v>10315133.565665025</v>
      </c>
      <c r="I52" s="89">
        <f t="shared" si="24"/>
        <v>10711221.210751839</v>
      </c>
      <c r="J52" s="89">
        <f t="shared" si="24"/>
        <v>12329281.377914974</v>
      </c>
      <c r="K52" s="89">
        <f t="shared" si="24"/>
        <v>11284284.18662212</v>
      </c>
      <c r="L52" s="89">
        <f t="shared" si="24"/>
        <v>11267429.393214168</v>
      </c>
      <c r="M52" s="89">
        <f t="shared" si="24"/>
        <v>12059604.683387788</v>
      </c>
      <c r="N52" s="89">
        <f t="shared" si="24"/>
        <v>9683078.8128669243</v>
      </c>
      <c r="O52" s="92">
        <f t="shared" si="22"/>
        <v>128045865.52019152</v>
      </c>
    </row>
    <row r="53" spans="1:25" x14ac:dyDescent="0.25">
      <c r="A53" s="82"/>
      <c r="B53" s="58" t="s">
        <v>81</v>
      </c>
      <c r="C53" s="89">
        <f t="shared" ref="C53:N53" si="25">C17*(1+$K$68)</f>
        <v>632054.75279810233</v>
      </c>
      <c r="D53" s="89">
        <f t="shared" si="25"/>
        <v>632054.75279810233</v>
      </c>
      <c r="E53" s="89">
        <f t="shared" si="25"/>
        <v>632054.75279810233</v>
      </c>
      <c r="F53" s="89">
        <f t="shared" si="25"/>
        <v>632054.75279810233</v>
      </c>
      <c r="G53" s="89">
        <f t="shared" si="25"/>
        <v>632054.75279810233</v>
      </c>
      <c r="H53" s="89">
        <f t="shared" si="25"/>
        <v>632054.75279810233</v>
      </c>
      <c r="I53" s="89">
        <f t="shared" si="25"/>
        <v>632054.75279810233</v>
      </c>
      <c r="J53" s="89">
        <f t="shared" si="25"/>
        <v>632054.75279810233</v>
      </c>
      <c r="K53" s="89">
        <f t="shared" si="25"/>
        <v>632054.75279810233</v>
      </c>
      <c r="L53" s="89">
        <f t="shared" si="25"/>
        <v>632054.75279810233</v>
      </c>
      <c r="M53" s="89">
        <f t="shared" si="25"/>
        <v>632054.75279810233</v>
      </c>
      <c r="N53" s="89">
        <f t="shared" si="25"/>
        <v>632054.75279810233</v>
      </c>
      <c r="O53" s="92">
        <f t="shared" si="22"/>
        <v>7584657.0335772298</v>
      </c>
    </row>
    <row r="54" spans="1:25" x14ac:dyDescent="0.25">
      <c r="A54" s="82"/>
      <c r="B54" s="57" t="s">
        <v>85</v>
      </c>
      <c r="C54" s="89">
        <f t="shared" ref="C54:N54" si="26">C18*(1+$K$68)</f>
        <v>10348843.152480926</v>
      </c>
      <c r="D54" s="89">
        <f t="shared" si="26"/>
        <v>8857193.935877407</v>
      </c>
      <c r="E54" s="89">
        <f t="shared" si="26"/>
        <v>9169007.6139244679</v>
      </c>
      <c r="F54" s="89">
        <f t="shared" si="26"/>
        <v>9312273.3578920364</v>
      </c>
      <c r="G54" s="89">
        <f t="shared" si="26"/>
        <v>12523111.502106396</v>
      </c>
      <c r="H54" s="89">
        <f t="shared" si="26"/>
        <v>9194289.8040363956</v>
      </c>
      <c r="I54" s="89">
        <f t="shared" si="26"/>
        <v>10669084.227231963</v>
      </c>
      <c r="J54" s="89">
        <f t="shared" si="26"/>
        <v>8444251.4973826446</v>
      </c>
      <c r="K54" s="89">
        <f t="shared" si="26"/>
        <v>10980897.905279031</v>
      </c>
      <c r="L54" s="89">
        <f t="shared" si="26"/>
        <v>8722355.5886138063</v>
      </c>
      <c r="M54" s="89">
        <f t="shared" si="26"/>
        <v>11107308.855838649</v>
      </c>
      <c r="N54" s="89">
        <f t="shared" si="26"/>
        <v>10576382.863488242</v>
      </c>
      <c r="O54" s="92">
        <f t="shared" si="22"/>
        <v>119905000.30415197</v>
      </c>
    </row>
    <row r="55" spans="1:25" x14ac:dyDescent="0.25">
      <c r="A55" s="84"/>
      <c r="B55" s="58" t="s">
        <v>249</v>
      </c>
      <c r="C55" s="89">
        <f t="shared" ref="C55:N55" si="27">C42*5%</f>
        <v>9843487.1709351074</v>
      </c>
      <c r="D55" s="89">
        <f t="shared" si="27"/>
        <v>9843487.1709351074</v>
      </c>
      <c r="E55" s="89">
        <f t="shared" si="27"/>
        <v>9843487.1709351074</v>
      </c>
      <c r="F55" s="89">
        <f t="shared" si="27"/>
        <v>9843487.1709351074</v>
      </c>
      <c r="G55" s="89">
        <f t="shared" si="27"/>
        <v>9843487.1709351074</v>
      </c>
      <c r="H55" s="89">
        <f t="shared" si="27"/>
        <v>9843487.1709351074</v>
      </c>
      <c r="I55" s="89">
        <f t="shared" si="27"/>
        <v>9843487.1709351074</v>
      </c>
      <c r="J55" s="89">
        <f t="shared" si="27"/>
        <v>9843487.1709351074</v>
      </c>
      <c r="K55" s="89">
        <f t="shared" si="27"/>
        <v>9843487.1709351074</v>
      </c>
      <c r="L55" s="89">
        <f t="shared" si="27"/>
        <v>9843487.1709351074</v>
      </c>
      <c r="M55" s="89">
        <f t="shared" si="27"/>
        <v>9843487.1709351074</v>
      </c>
      <c r="N55" s="89">
        <f t="shared" si="27"/>
        <v>9843487.1709351074</v>
      </c>
      <c r="O55" s="92">
        <f t="shared" si="22"/>
        <v>118121846.0512213</v>
      </c>
    </row>
    <row r="56" spans="1:25" x14ac:dyDescent="0.25">
      <c r="A56" s="84"/>
      <c r="B56" s="58" t="s">
        <v>180</v>
      </c>
      <c r="C56" s="89">
        <f>'7.5. Stage 5&amp;6 budget'!C20*(1+'7.5. Stage 5&amp;6 budget'!$K$68)</f>
        <v>12236580.014171252</v>
      </c>
      <c r="D56" s="89">
        <f>'7.5. Stage 5&amp;6 budget'!D20*(1+'7.5. Stage 5&amp;6 budget'!$K$68)</f>
        <v>12076459.476795735</v>
      </c>
      <c r="E56" s="89">
        <f>'7.5. Stage 5&amp;6 budget'!E20*(1+'7.5. Stage 5&amp;6 budget'!$K$68)</f>
        <v>10037029.474433864</v>
      </c>
      <c r="F56" s="89">
        <f>'7.5. Stage 5&amp;6 budget'!F20*(1+'7.5. Stage 5&amp;6 budget'!$K$68)</f>
        <v>11082026.665726727</v>
      </c>
      <c r="G56" s="89">
        <f>'7.5. Stage 5&amp;6 budget'!G20*(1+'7.5. Stage 5&amp;6 budget'!$K$68)</f>
        <v>8739210.3820217606</v>
      </c>
      <c r="H56" s="89">
        <f>'7.5. Stage 5&amp;6 budget'!H20*(1+'7.5. Stage 5&amp;6 budget'!$K$68)</f>
        <v>9716788.3996828236</v>
      </c>
      <c r="I56" s="89">
        <f>'7.5. Stage 5&amp;6 budget'!I20*(1+'7.5. Stage 5&amp;6 budget'!$K$68)</f>
        <v>10053884.267841814</v>
      </c>
      <c r="J56" s="89">
        <f>'7.5. Stage 5&amp;6 budget'!J20*(1+'7.5. Stage 5&amp;6 budget'!$K$68)</f>
        <v>11916338.939420216</v>
      </c>
      <c r="K56" s="89">
        <f>'7.5. Stage 5&amp;6 budget'!K20*(1+'7.5. Stage 5&amp;6 budget'!$K$68)</f>
        <v>9329128.151299987</v>
      </c>
      <c r="L56" s="89">
        <f>'7.5. Stage 5&amp;6 budget'!L20*(1+'7.5. Stage 5&amp;6 budget'!$K$68)</f>
        <v>9986465.09421001</v>
      </c>
      <c r="M56" s="89">
        <f>'7.5. Stage 5&amp;6 budget'!M20*(1+'7.5. Stage 5&amp;6 budget'!$K$68)</f>
        <v>10003319.887617959</v>
      </c>
      <c r="N56" s="89">
        <f>'7.5. Stage 5&amp;6 budget'!N20*(1+'7.5. Stage 5&amp;6 budget'!$K$68)</f>
        <v>9750497.9864987247</v>
      </c>
      <c r="O56" s="92">
        <f t="shared" si="22"/>
        <v>124927728.7397209</v>
      </c>
    </row>
    <row r="57" spans="1:25" x14ac:dyDescent="0.25">
      <c r="A57" s="84"/>
      <c r="B57" s="58" t="s">
        <v>417</v>
      </c>
      <c r="C57" s="89">
        <f>'13. Insurance package'!$H$2/12*2</f>
        <v>7499166.666666667</v>
      </c>
      <c r="D57" s="89">
        <f>'13. Insurance package'!$H$2/12*2</f>
        <v>7499166.666666667</v>
      </c>
      <c r="E57" s="89">
        <f>'13. Insurance package'!$H$2/12*2</f>
        <v>7499166.666666667</v>
      </c>
      <c r="F57" s="89">
        <f>'13. Insurance package'!$H$2/12*2</f>
        <v>7499166.666666667</v>
      </c>
      <c r="G57" s="89">
        <f>'13. Insurance package'!$H$2/12*2</f>
        <v>7499166.666666667</v>
      </c>
      <c r="H57" s="89">
        <f>'13. Insurance package'!$H$2/12*2</f>
        <v>7499166.666666667</v>
      </c>
      <c r="I57" s="89">
        <f>'13. Insurance package'!$H$2/12*2</f>
        <v>7499166.666666667</v>
      </c>
      <c r="J57" s="89">
        <f>'13. Insurance package'!$H$2/12*2</f>
        <v>7499166.666666667</v>
      </c>
      <c r="K57" s="89">
        <f>'13. Insurance package'!$H$2/12*2</f>
        <v>7499166.666666667</v>
      </c>
      <c r="L57" s="89">
        <f>'13. Insurance package'!$H$2/12*2</f>
        <v>7499166.666666667</v>
      </c>
      <c r="M57" s="89">
        <f>'13. Insurance package'!$H$2/12*2</f>
        <v>7499166.666666667</v>
      </c>
      <c r="N57" s="89">
        <f>'13. Insurance package'!$H$2/12*2</f>
        <v>7499166.666666667</v>
      </c>
      <c r="O57" s="92">
        <f t="shared" ref="O57" si="28">SUM(C57:N57)</f>
        <v>89990000.000000015</v>
      </c>
    </row>
    <row r="58" spans="1:25" x14ac:dyDescent="0.25">
      <c r="A58" s="84"/>
      <c r="B58" s="58" t="s">
        <v>86</v>
      </c>
      <c r="C58" s="89">
        <f>'7.5. Stage 5&amp;6 budget'!C22*(1+'7.5. Stage 5&amp;6 budget'!$K$68)</f>
        <v>8907758.3161012493</v>
      </c>
      <c r="D58" s="89">
        <f>'7.5. Stage 5&amp;6 budget'!D22*(1+'7.5. Stage 5&amp;6 budget'!$K$68)</f>
        <v>8806629.5556535553</v>
      </c>
      <c r="E58" s="89">
        <f>'7.5. Stage 5&amp;6 budget'!E22*(1+'7.5. Stage 5&amp;6 budget'!$K$68)</f>
        <v>8545380.2578303441</v>
      </c>
      <c r="F58" s="89">
        <f>'7.5. Stage 5&amp;6 budget'!F22*(1+'7.5. Stage 5&amp;6 budget'!$K$68)</f>
        <v>11149445.83935852</v>
      </c>
      <c r="G58" s="89">
        <f>'7.5. Stage 5&amp;6 budget'!G22*(1+'7.5. Stage 5&amp;6 budget'!$K$68)</f>
        <v>10374125.342592848</v>
      </c>
      <c r="H58" s="89">
        <f>'7.5. Stage 5&amp;6 budget'!H22*(1+'7.5. Stage 5&amp;6 budget'!$K$68)</f>
        <v>8638081.6215740629</v>
      </c>
      <c r="I58" s="89">
        <f>'7.5. Stage 5&amp;6 budget'!I22*(1+'7.5. Stage 5&amp;6 budget'!$K$68)</f>
        <v>11714081.418524828</v>
      </c>
      <c r="J58" s="89">
        <f>'7.5. Stage 5&amp;6 budget'!J22*(1+'7.5. Stage 5&amp;6 budget'!$K$68)</f>
        <v>11242147.203102244</v>
      </c>
      <c r="K58" s="89">
        <f>'7.5. Stage 5&amp;6 budget'!K22*(1+'7.5. Stage 5&amp;6 budget'!$K$68)</f>
        <v>9051024.0600688234</v>
      </c>
      <c r="L58" s="89">
        <f>'7.5. Stage 5&amp;6 budget'!L22*(1+'7.5. Stage 5&amp;6 budget'!$K$68)</f>
        <v>9362837.7381158862</v>
      </c>
      <c r="M58" s="89">
        <f>'7.5. Stage 5&amp;6 budget'!M22*(1+'7.5. Stage 5&amp;6 budget'!$K$68)</f>
        <v>11385412.947069813</v>
      </c>
      <c r="N58" s="89">
        <f>'7.5. Stage 5&amp;6 budget'!N22*(1+'7.5. Stage 5&amp;6 budget'!$K$68)</f>
        <v>11983758.11305202</v>
      </c>
      <c r="O58" s="92">
        <f t="shared" si="22"/>
        <v>121160682.4130442</v>
      </c>
    </row>
    <row r="59" spans="1:25" x14ac:dyDescent="0.25">
      <c r="A59" s="82"/>
      <c r="B59" s="46" t="s">
        <v>208</v>
      </c>
      <c r="C59" s="47">
        <f t="shared" ref="C59:N59" si="29">SUM(C50:C58)</f>
        <v>71235855.759519935</v>
      </c>
      <c r="D59" s="47">
        <f t="shared" si="29"/>
        <v>71648798.198014706</v>
      </c>
      <c r="E59" s="47">
        <f t="shared" si="29"/>
        <v>70747066.750689417</v>
      </c>
      <c r="F59" s="47">
        <f t="shared" si="29"/>
        <v>71716217.371646509</v>
      </c>
      <c r="G59" s="47">
        <f t="shared" si="29"/>
        <v>76469269.112688243</v>
      </c>
      <c r="H59" s="47">
        <f t="shared" si="29"/>
        <v>70738639.353985444</v>
      </c>
      <c r="I59" s="47">
        <f t="shared" si="29"/>
        <v>75626529.442290783</v>
      </c>
      <c r="J59" s="47">
        <f t="shared" si="29"/>
        <v>78255877.21393086</v>
      </c>
      <c r="K59" s="47">
        <f t="shared" si="29"/>
        <v>73831493.944344163</v>
      </c>
      <c r="L59" s="47">
        <f t="shared" si="29"/>
        <v>72601094.025563836</v>
      </c>
      <c r="M59" s="47">
        <f t="shared" si="29"/>
        <v>74927055.51586087</v>
      </c>
      <c r="N59" s="47">
        <f t="shared" si="29"/>
        <v>74825926.755413175</v>
      </c>
      <c r="O59" s="47">
        <f t="shared" si="22"/>
        <v>882623823.44394803</v>
      </c>
    </row>
    <row r="60" spans="1:25" x14ac:dyDescent="0.25">
      <c r="A60" s="82"/>
      <c r="B60" s="60" t="s">
        <v>87</v>
      </c>
      <c r="C60" s="47">
        <f t="shared" ref="C60:N60" si="30">C48+C59</f>
        <v>73873630.927864015</v>
      </c>
      <c r="D60" s="47">
        <f t="shared" si="30"/>
        <v>74008469.27512762</v>
      </c>
      <c r="E60" s="47">
        <f t="shared" si="30"/>
        <v>73106737.82780233</v>
      </c>
      <c r="F60" s="47">
        <f t="shared" si="30"/>
        <v>74075888.448759422</v>
      </c>
      <c r="G60" s="47">
        <f t="shared" si="30"/>
        <v>78828940.189801157</v>
      </c>
      <c r="H60" s="47">
        <f t="shared" si="30"/>
        <v>73098310.431098357</v>
      </c>
      <c r="I60" s="47">
        <f t="shared" si="30"/>
        <v>77986200.519403696</v>
      </c>
      <c r="J60" s="47">
        <f t="shared" si="30"/>
        <v>80615548.291043773</v>
      </c>
      <c r="K60" s="47">
        <f t="shared" si="30"/>
        <v>76191165.021457076</v>
      </c>
      <c r="L60" s="47">
        <f t="shared" si="30"/>
        <v>74960765.102676749</v>
      </c>
      <c r="M60" s="47">
        <f t="shared" si="30"/>
        <v>77286726.592973784</v>
      </c>
      <c r="N60" s="47">
        <f t="shared" si="30"/>
        <v>77185597.832526088</v>
      </c>
      <c r="O60" s="47">
        <f t="shared" si="22"/>
        <v>911217980.4605341</v>
      </c>
    </row>
    <row r="61" spans="1:25" s="11" customFormat="1" x14ac:dyDescent="0.25">
      <c r="A61" s="82"/>
      <c r="B61" s="108" t="s">
        <v>204</v>
      </c>
      <c r="C61" s="109">
        <f>$O60*(3/12)/12</f>
        <v>18983707.926261127</v>
      </c>
      <c r="D61" s="109">
        <f t="shared" ref="D61" si="31">$O60*(3/12)/12</f>
        <v>18983707.926261127</v>
      </c>
      <c r="E61" s="109">
        <f t="shared" ref="E61" si="32">$O60*(3/12)/12</f>
        <v>18983707.926261127</v>
      </c>
      <c r="F61" s="109">
        <f t="shared" ref="F61" si="33">$O60*(3/12)/12</f>
        <v>18983707.926261127</v>
      </c>
      <c r="G61" s="109">
        <f t="shared" ref="G61" si="34">$O60*(3/12)/12</f>
        <v>18983707.926261127</v>
      </c>
      <c r="H61" s="109">
        <f t="shared" ref="H61" si="35">$O60*(3/12)/12</f>
        <v>18983707.926261127</v>
      </c>
      <c r="I61" s="109">
        <f t="shared" ref="I61" si="36">$O60*(3/12)/12</f>
        <v>18983707.926261127</v>
      </c>
      <c r="J61" s="109">
        <f t="shared" ref="J61" si="37">$O60*(3/12)/12</f>
        <v>18983707.926261127</v>
      </c>
      <c r="K61" s="109">
        <f t="shared" ref="K61" si="38">$O60*(3/12)/12</f>
        <v>18983707.926261127</v>
      </c>
      <c r="L61" s="109">
        <f t="shared" ref="L61" si="39">$O60*(3/12)/12</f>
        <v>18983707.926261127</v>
      </c>
      <c r="M61" s="109">
        <f t="shared" ref="M61" si="40">$O60*(3/12)/12</f>
        <v>18983707.926261127</v>
      </c>
      <c r="N61" s="109">
        <f t="shared" ref="N61" si="41">$O60*(3/12)/12</f>
        <v>18983707.926261127</v>
      </c>
      <c r="O61" s="109">
        <f t="shared" ref="O61:O64" si="42">SUM(C61:N61)</f>
        <v>227804495.11513352</v>
      </c>
      <c r="P61" s="43"/>
      <c r="Q61" s="43"/>
      <c r="R61" s="40"/>
      <c r="S61" s="40"/>
      <c r="T61" s="40"/>
      <c r="U61" s="40"/>
      <c r="V61" s="40"/>
      <c r="W61" s="40"/>
      <c r="X61" s="40"/>
      <c r="Y61" s="40"/>
    </row>
    <row r="62" spans="1:25" s="11" customFormat="1" x14ac:dyDescent="0.25">
      <c r="A62" s="82"/>
      <c r="B62" s="108" t="s">
        <v>82</v>
      </c>
      <c r="C62" s="109">
        <f>'6. Mortgage payment'!$C$7</f>
        <v>28168245.060798287</v>
      </c>
      <c r="D62" s="109">
        <f>'6. Mortgage payment'!$C$7</f>
        <v>28168245.060798287</v>
      </c>
      <c r="E62" s="109">
        <f>'6. Mortgage payment'!$C$7</f>
        <v>28168245.060798287</v>
      </c>
      <c r="F62" s="109">
        <f>'6. Mortgage payment'!$C$7</f>
        <v>28168245.060798287</v>
      </c>
      <c r="G62" s="109">
        <f>'6. Mortgage payment'!$C$7</f>
        <v>28168245.060798287</v>
      </c>
      <c r="H62" s="109">
        <f>'6. Mortgage payment'!$C$7</f>
        <v>28168245.060798287</v>
      </c>
      <c r="I62" s="109">
        <f>'6. Mortgage payment'!$C$7</f>
        <v>28168245.060798287</v>
      </c>
      <c r="J62" s="109">
        <f>'6. Mortgage payment'!$C$7</f>
        <v>28168245.060798287</v>
      </c>
      <c r="K62" s="109">
        <f>'6. Mortgage payment'!$C$7</f>
        <v>28168245.060798287</v>
      </c>
      <c r="L62" s="109">
        <f>'6. Mortgage payment'!$C$7</f>
        <v>28168245.060798287</v>
      </c>
      <c r="M62" s="109">
        <f>'6. Mortgage payment'!$C$7</f>
        <v>28168245.060798287</v>
      </c>
      <c r="N62" s="109">
        <f>'6. Mortgage payment'!$C$7</f>
        <v>28168245.060798287</v>
      </c>
      <c r="O62" s="109">
        <f t="shared" si="42"/>
        <v>338018940.72957945</v>
      </c>
      <c r="P62" s="43"/>
      <c r="Q62" s="43"/>
      <c r="R62" s="40"/>
      <c r="S62" s="40"/>
      <c r="T62" s="40"/>
      <c r="U62" s="40"/>
      <c r="V62" s="40"/>
      <c r="W62" s="40"/>
      <c r="X62" s="40"/>
      <c r="Y62" s="40"/>
    </row>
    <row r="63" spans="1:25" s="11" customFormat="1" x14ac:dyDescent="0.25">
      <c r="A63" s="82"/>
      <c r="B63" s="108" t="s">
        <v>251</v>
      </c>
      <c r="C63" s="109">
        <f>-PMT(4%,18*12,(150000000*8)/(1+4%)^18)</f>
        <v>23699110.369091634</v>
      </c>
      <c r="D63" s="109">
        <f t="shared" ref="D63:N63" si="43">-PMT(4%,18*12,(150000000*8)/(1+4%)^18)</f>
        <v>23699110.369091634</v>
      </c>
      <c r="E63" s="109">
        <f t="shared" si="43"/>
        <v>23699110.369091634</v>
      </c>
      <c r="F63" s="109">
        <f t="shared" si="43"/>
        <v>23699110.369091634</v>
      </c>
      <c r="G63" s="109">
        <f t="shared" si="43"/>
        <v>23699110.369091634</v>
      </c>
      <c r="H63" s="109">
        <f t="shared" si="43"/>
        <v>23699110.369091634</v>
      </c>
      <c r="I63" s="109">
        <f t="shared" si="43"/>
        <v>23699110.369091634</v>
      </c>
      <c r="J63" s="109">
        <f t="shared" si="43"/>
        <v>23699110.369091634</v>
      </c>
      <c r="K63" s="109">
        <f t="shared" si="43"/>
        <v>23699110.369091634</v>
      </c>
      <c r="L63" s="109">
        <f t="shared" si="43"/>
        <v>23699110.369091634</v>
      </c>
      <c r="M63" s="109">
        <f t="shared" si="43"/>
        <v>23699110.369091634</v>
      </c>
      <c r="N63" s="109">
        <f t="shared" si="43"/>
        <v>23699110.369091634</v>
      </c>
      <c r="O63" s="109">
        <f t="shared" ref="O63" si="44">SUM(C63:N63)</f>
        <v>284389324.42909962</v>
      </c>
      <c r="P63" s="43"/>
      <c r="Q63" s="43"/>
      <c r="R63" s="40"/>
      <c r="S63" s="40"/>
      <c r="T63" s="40"/>
      <c r="U63" s="40"/>
      <c r="V63" s="40"/>
      <c r="W63" s="40"/>
      <c r="X63" s="40"/>
      <c r="Y63" s="40"/>
    </row>
    <row r="64" spans="1:25" s="11" customFormat="1" x14ac:dyDescent="0.25">
      <c r="A64" s="82"/>
      <c r="B64" s="108" t="s">
        <v>386</v>
      </c>
      <c r="C64" s="109">
        <f>C28*(1+$K$68)</f>
        <v>2309181.0844726171</v>
      </c>
      <c r="D64" s="109">
        <v>0</v>
      </c>
      <c r="E64" s="109">
        <v>0</v>
      </c>
      <c r="F64" s="109">
        <v>0</v>
      </c>
      <c r="G64" s="109">
        <v>0</v>
      </c>
      <c r="H64" s="109">
        <v>0</v>
      </c>
      <c r="I64" s="109">
        <v>0</v>
      </c>
      <c r="J64" s="109">
        <v>0</v>
      </c>
      <c r="K64" s="109">
        <v>0</v>
      </c>
      <c r="L64" s="109">
        <v>0</v>
      </c>
      <c r="M64" s="109">
        <v>0</v>
      </c>
      <c r="N64" s="109">
        <v>0</v>
      </c>
      <c r="O64" s="109">
        <f t="shared" si="42"/>
        <v>2309181.0844726171</v>
      </c>
      <c r="P64" s="43"/>
      <c r="Q64" s="43"/>
      <c r="R64" s="40"/>
      <c r="S64" s="40"/>
      <c r="T64" s="40"/>
      <c r="U64" s="40"/>
      <c r="V64" s="40"/>
      <c r="W64" s="40"/>
      <c r="X64" s="40"/>
      <c r="Y64" s="40"/>
    </row>
    <row r="65" spans="1:25" s="11" customFormat="1" x14ac:dyDescent="0.25">
      <c r="A65" s="82"/>
      <c r="B65" s="60" t="s">
        <v>206</v>
      </c>
      <c r="C65" s="61">
        <f t="shared" ref="C65:N65" si="45">C42-C60-C61-C62-C64-C63</f>
        <v>49835868.050214484</v>
      </c>
      <c r="D65" s="61">
        <f t="shared" si="45"/>
        <v>52010210.787423491</v>
      </c>
      <c r="E65" s="61">
        <f t="shared" si="45"/>
        <v>52911942.234748781</v>
      </c>
      <c r="F65" s="61">
        <f t="shared" si="45"/>
        <v>51942791.613791689</v>
      </c>
      <c r="G65" s="61">
        <f t="shared" si="45"/>
        <v>47189739.872749954</v>
      </c>
      <c r="H65" s="61">
        <f t="shared" si="45"/>
        <v>52920369.631452754</v>
      </c>
      <c r="I65" s="61">
        <f t="shared" si="45"/>
        <v>48032479.543147415</v>
      </c>
      <c r="J65" s="61">
        <f t="shared" si="45"/>
        <v>45403131.771507338</v>
      </c>
      <c r="K65" s="61">
        <f t="shared" si="45"/>
        <v>49827515.041094035</v>
      </c>
      <c r="L65" s="61">
        <f t="shared" si="45"/>
        <v>51057914.959874362</v>
      </c>
      <c r="M65" s="61">
        <f t="shared" si="45"/>
        <v>48731953.469577327</v>
      </c>
      <c r="N65" s="61">
        <f t="shared" si="45"/>
        <v>48833082.230025023</v>
      </c>
      <c r="O65" s="47">
        <f t="shared" ref="O65" si="46">SUM(C65:N65)</f>
        <v>598696999.2056067</v>
      </c>
      <c r="P65" s="43"/>
      <c r="Q65" s="43"/>
      <c r="R65" s="40"/>
      <c r="S65" s="40"/>
      <c r="T65" s="40"/>
      <c r="U65" s="40"/>
      <c r="V65" s="40"/>
      <c r="W65" s="40"/>
      <c r="X65" s="40"/>
      <c r="Y65" s="40"/>
    </row>
    <row r="66" spans="1:25" x14ac:dyDescent="0.25">
      <c r="A66" s="85"/>
      <c r="B66" s="40"/>
      <c r="C66" s="40"/>
      <c r="D66" s="40"/>
      <c r="E66" s="40"/>
      <c r="F66" s="40"/>
      <c r="G66" s="40"/>
      <c r="H66" s="40"/>
      <c r="I66" s="40"/>
      <c r="J66" s="40"/>
      <c r="K66" s="40"/>
      <c r="L66" s="353" t="s">
        <v>217</v>
      </c>
      <c r="M66" s="354"/>
      <c r="N66" s="350">
        <f>SUM(C65:N65)+N30</f>
        <v>7590803463.0597267</v>
      </c>
      <c r="O66" s="40"/>
    </row>
    <row r="67" spans="1:25" x14ac:dyDescent="0.25">
      <c r="A67" s="85"/>
      <c r="B67" s="40"/>
      <c r="C67" s="40"/>
      <c r="D67" s="40"/>
      <c r="E67" s="40"/>
      <c r="F67" s="40"/>
      <c r="G67" s="40"/>
      <c r="H67" s="40"/>
      <c r="I67" s="40"/>
      <c r="J67" s="40"/>
      <c r="K67" s="40"/>
      <c r="L67" s="320"/>
      <c r="M67" s="355"/>
      <c r="N67" s="351"/>
      <c r="O67" s="40"/>
    </row>
    <row r="68" spans="1:25" x14ac:dyDescent="0.25">
      <c r="A68" s="85"/>
      <c r="B68" s="319" t="s">
        <v>632</v>
      </c>
      <c r="C68" s="352" t="s">
        <v>173</v>
      </c>
      <c r="D68" s="352"/>
      <c r="E68" s="352"/>
      <c r="F68" s="352"/>
      <c r="G68" s="352"/>
      <c r="H68" s="352"/>
      <c r="I68" s="40"/>
      <c r="J68" s="358" t="s">
        <v>231</v>
      </c>
      <c r="K68" s="359">
        <v>0.04</v>
      </c>
      <c r="L68" s="40"/>
      <c r="M68" s="40"/>
      <c r="N68" s="40"/>
      <c r="O68" s="361"/>
    </row>
    <row r="69" spans="1:25" x14ac:dyDescent="0.25">
      <c r="A69" s="85"/>
      <c r="B69" s="319"/>
      <c r="C69" s="352"/>
      <c r="D69" s="352"/>
      <c r="E69" s="352"/>
      <c r="F69" s="352"/>
      <c r="G69" s="352"/>
      <c r="H69" s="352"/>
      <c r="I69" s="40"/>
      <c r="J69" s="358"/>
      <c r="K69" s="360"/>
      <c r="L69" s="40"/>
      <c r="M69" s="40"/>
      <c r="N69" s="40"/>
      <c r="O69" s="362"/>
    </row>
    <row r="70" spans="1:25" x14ac:dyDescent="0.25">
      <c r="A70" s="85"/>
      <c r="B70" s="319"/>
      <c r="C70" s="352"/>
      <c r="D70" s="352"/>
      <c r="E70" s="352"/>
      <c r="F70" s="352"/>
      <c r="G70" s="352"/>
      <c r="H70" s="352"/>
      <c r="I70" s="40"/>
      <c r="J70" s="40"/>
      <c r="K70" s="40"/>
      <c r="L70" s="40"/>
      <c r="M70" s="40"/>
      <c r="N70" s="40"/>
      <c r="O70" s="40"/>
    </row>
    <row r="73" spans="1:25" ht="24.6" x14ac:dyDescent="0.25">
      <c r="A73" s="96"/>
      <c r="B73" s="348" t="s">
        <v>262</v>
      </c>
      <c r="C73" s="348"/>
      <c r="D73" s="348"/>
      <c r="E73" s="348"/>
      <c r="F73" s="348"/>
      <c r="G73" s="348"/>
      <c r="H73" s="348"/>
      <c r="I73" s="348"/>
      <c r="J73" s="348"/>
      <c r="K73" s="348"/>
      <c r="L73" s="348"/>
      <c r="M73" s="348"/>
      <c r="N73" s="348"/>
      <c r="O73" s="348"/>
    </row>
    <row r="74" spans="1:25" ht="24.6" x14ac:dyDescent="0.25">
      <c r="A74" s="96"/>
      <c r="B74" s="349"/>
      <c r="C74" s="349"/>
      <c r="D74" s="349"/>
      <c r="E74" s="349"/>
      <c r="F74" s="349"/>
      <c r="G74" s="349"/>
      <c r="H74" s="349"/>
      <c r="I74" s="349"/>
      <c r="J74" s="349"/>
      <c r="K74" s="349"/>
      <c r="L74" s="349"/>
      <c r="M74" s="349"/>
      <c r="N74" s="349"/>
      <c r="O74" s="349"/>
    </row>
    <row r="75" spans="1:25" x14ac:dyDescent="0.25">
      <c r="A75" s="82"/>
      <c r="B75" s="41"/>
      <c r="C75" s="42" t="s">
        <v>66</v>
      </c>
      <c r="D75" s="42" t="s">
        <v>67</v>
      </c>
      <c r="E75" s="42" t="s">
        <v>68</v>
      </c>
      <c r="F75" s="42" t="s">
        <v>69</v>
      </c>
      <c r="G75" s="42" t="s">
        <v>70</v>
      </c>
      <c r="H75" s="42" t="s">
        <v>71</v>
      </c>
      <c r="I75" s="42" t="s">
        <v>72</v>
      </c>
      <c r="J75" s="42" t="s">
        <v>73</v>
      </c>
      <c r="K75" s="42" t="s">
        <v>74</v>
      </c>
      <c r="L75" s="42" t="s">
        <v>75</v>
      </c>
      <c r="M75" s="42" t="s">
        <v>76</v>
      </c>
      <c r="N75" s="42" t="s">
        <v>77</v>
      </c>
      <c r="O75" s="42" t="s">
        <v>236</v>
      </c>
    </row>
    <row r="76" spans="1:25" x14ac:dyDescent="0.25">
      <c r="A76" s="82"/>
      <c r="B76" s="44" t="s">
        <v>194</v>
      </c>
      <c r="C76" s="45">
        <f>'3.1. My Income Tax Calculation'!$P$22/12</f>
        <v>136358542.84015152</v>
      </c>
      <c r="D76" s="45">
        <f>'3.1. My Income Tax Calculation'!$P$22/12</f>
        <v>136358542.84015152</v>
      </c>
      <c r="E76" s="45">
        <f>'3.1. My Income Tax Calculation'!$P$22/12</f>
        <v>136358542.84015152</v>
      </c>
      <c r="F76" s="45">
        <f>'3.1. My Income Tax Calculation'!$P$22/12</f>
        <v>136358542.84015152</v>
      </c>
      <c r="G76" s="45">
        <f>'3.1. My Income Tax Calculation'!$P$22/12</f>
        <v>136358542.84015152</v>
      </c>
      <c r="H76" s="45">
        <f>'3.1. My Income Tax Calculation'!$P$22/12</f>
        <v>136358542.84015152</v>
      </c>
      <c r="I76" s="45">
        <f>'3.1. My Income Tax Calculation'!$P$22/12</f>
        <v>136358542.84015152</v>
      </c>
      <c r="J76" s="45">
        <f>'3.1. My Income Tax Calculation'!$P$22/12</f>
        <v>136358542.84015152</v>
      </c>
      <c r="K76" s="45">
        <f>'3.1. My Income Tax Calculation'!$P$22/12</f>
        <v>136358542.84015152</v>
      </c>
      <c r="L76" s="45">
        <f>'3.1. My Income Tax Calculation'!$P$22/12</f>
        <v>136358542.84015152</v>
      </c>
      <c r="M76" s="45">
        <f>'3.1. My Income Tax Calculation'!$P$22/12</f>
        <v>136358542.84015152</v>
      </c>
      <c r="N76" s="45">
        <f>'3.1. My Income Tax Calculation'!$P$22/12</f>
        <v>136358542.84015152</v>
      </c>
      <c r="O76" s="45" t="s">
        <v>173</v>
      </c>
    </row>
    <row r="77" spans="1:25" x14ac:dyDescent="0.25">
      <c r="A77" s="82"/>
      <c r="B77" s="44" t="s">
        <v>246</v>
      </c>
      <c r="C77" s="45">
        <f>'3.2. My wife''s Tax Calc'!$P$22/12</f>
        <v>61432481.573120244</v>
      </c>
      <c r="D77" s="45">
        <f>'3.2. My wife''s Tax Calc'!$P$22/12</f>
        <v>61432481.573120244</v>
      </c>
      <c r="E77" s="45">
        <f>'3.2. My wife''s Tax Calc'!$P$22/12</f>
        <v>61432481.573120244</v>
      </c>
      <c r="F77" s="45">
        <f>'3.2. My wife''s Tax Calc'!$P$22/12</f>
        <v>61432481.573120244</v>
      </c>
      <c r="G77" s="45">
        <f>'3.2. My wife''s Tax Calc'!$P$22/12</f>
        <v>61432481.573120244</v>
      </c>
      <c r="H77" s="45">
        <f>'3.2. My wife''s Tax Calc'!$P$22/12</f>
        <v>61432481.573120244</v>
      </c>
      <c r="I77" s="45">
        <f>'3.2. My wife''s Tax Calc'!$P$22/12</f>
        <v>61432481.573120244</v>
      </c>
      <c r="J77" s="45">
        <f>'3.2. My wife''s Tax Calc'!$P$22/12</f>
        <v>61432481.573120244</v>
      </c>
      <c r="K77" s="45">
        <f>'3.2. My wife''s Tax Calc'!$P$22/12</f>
        <v>61432481.573120244</v>
      </c>
      <c r="L77" s="45">
        <f>'3.2. My wife''s Tax Calc'!$P$22/12</f>
        <v>61432481.573120244</v>
      </c>
      <c r="M77" s="45">
        <f>'3.2. My wife''s Tax Calc'!$P$22/12</f>
        <v>61432481.573120244</v>
      </c>
      <c r="N77" s="45">
        <f>'3.2. My wife''s Tax Calc'!$P$22/12</f>
        <v>61432481.573120244</v>
      </c>
      <c r="O77" s="45" t="s">
        <v>173</v>
      </c>
    </row>
    <row r="78" spans="1:25" x14ac:dyDescent="0.25">
      <c r="A78" s="82"/>
      <c r="B78" s="46" t="s">
        <v>209</v>
      </c>
      <c r="C78" s="47">
        <f>SUM(C76:C77)</f>
        <v>197791024.41327175</v>
      </c>
      <c r="D78" s="47">
        <f t="shared" ref="D78" si="47">SUM(D76:D77)</f>
        <v>197791024.41327175</v>
      </c>
      <c r="E78" s="47">
        <f t="shared" ref="E78" si="48">SUM(E76:E77)</f>
        <v>197791024.41327175</v>
      </c>
      <c r="F78" s="47">
        <f t="shared" ref="F78" si="49">SUM(F76:F77)</f>
        <v>197791024.41327175</v>
      </c>
      <c r="G78" s="47">
        <f t="shared" ref="G78" si="50">SUM(G76:G77)</f>
        <v>197791024.41327175</v>
      </c>
      <c r="H78" s="47">
        <f t="shared" ref="H78" si="51">SUM(H76:H77)</f>
        <v>197791024.41327175</v>
      </c>
      <c r="I78" s="47">
        <f t="shared" ref="I78" si="52">SUM(I76:I77)</f>
        <v>197791024.41327175</v>
      </c>
      <c r="J78" s="47">
        <f t="shared" ref="J78" si="53">SUM(J76:J77)</f>
        <v>197791024.41327175</v>
      </c>
      <c r="K78" s="47">
        <f>SUM(K76:K77)</f>
        <v>197791024.41327175</v>
      </c>
      <c r="L78" s="47">
        <f t="shared" ref="L78" si="54">SUM(L76:L77)</f>
        <v>197791024.41327175</v>
      </c>
      <c r="M78" s="47">
        <f t="shared" ref="M78" si="55">SUM(M76:M77)</f>
        <v>197791024.41327175</v>
      </c>
      <c r="N78" s="47">
        <f t="shared" ref="N78" si="56">SUM(N76:N77)</f>
        <v>197791024.41327175</v>
      </c>
      <c r="O78" s="47">
        <f>SUM(C78:N78)</f>
        <v>2373492292.9592609</v>
      </c>
    </row>
    <row r="79" spans="1:25" x14ac:dyDescent="0.25">
      <c r="A79" s="82"/>
      <c r="B79" s="52" t="s">
        <v>78</v>
      </c>
      <c r="C79" s="53" t="s">
        <v>173</v>
      </c>
      <c r="D79" s="53" t="s">
        <v>173</v>
      </c>
      <c r="E79" s="53" t="s">
        <v>173</v>
      </c>
      <c r="F79" s="53" t="s">
        <v>173</v>
      </c>
      <c r="G79" s="53" t="s">
        <v>173</v>
      </c>
      <c r="H79" s="53" t="s">
        <v>173</v>
      </c>
      <c r="I79" s="53" t="s">
        <v>173</v>
      </c>
      <c r="J79" s="53" t="s">
        <v>173</v>
      </c>
      <c r="K79" s="53" t="s">
        <v>173</v>
      </c>
      <c r="L79" s="53" t="s">
        <v>173</v>
      </c>
      <c r="M79" s="53" t="s">
        <v>173</v>
      </c>
      <c r="N79" s="53" t="s">
        <v>173</v>
      </c>
      <c r="O79" s="91" t="s">
        <v>173</v>
      </c>
    </row>
    <row r="80" spans="1:25" x14ac:dyDescent="0.25">
      <c r="A80" s="82"/>
      <c r="B80" s="48" t="s">
        <v>79</v>
      </c>
      <c r="C80" s="54" t="s">
        <v>173</v>
      </c>
      <c r="D80" s="54" t="s">
        <v>173</v>
      </c>
      <c r="E80" s="54" t="s">
        <v>173</v>
      </c>
      <c r="F80" s="54" t="s">
        <v>173</v>
      </c>
      <c r="G80" s="54" t="s">
        <v>173</v>
      </c>
      <c r="H80" s="54" t="s">
        <v>173</v>
      </c>
      <c r="I80" s="54" t="s">
        <v>173</v>
      </c>
      <c r="J80" s="54" t="s">
        <v>173</v>
      </c>
      <c r="K80" s="54" t="s">
        <v>173</v>
      </c>
      <c r="L80" s="54" t="s">
        <v>173</v>
      </c>
      <c r="M80" s="54" t="s">
        <v>173</v>
      </c>
      <c r="N80" s="54" t="s">
        <v>173</v>
      </c>
      <c r="O80" s="91" t="s">
        <v>173</v>
      </c>
    </row>
    <row r="81" spans="1:15" x14ac:dyDescent="0.25">
      <c r="A81" s="83"/>
      <c r="B81" s="49" t="s">
        <v>195</v>
      </c>
      <c r="C81" s="50">
        <f>C45*(1+$K$68)</f>
        <v>289228.25488041155</v>
      </c>
      <c r="D81" s="50">
        <v>0</v>
      </c>
      <c r="E81" s="50">
        <v>0</v>
      </c>
      <c r="F81" s="50">
        <v>0</v>
      </c>
      <c r="G81" s="50">
        <v>0</v>
      </c>
      <c r="H81" s="50">
        <v>0</v>
      </c>
      <c r="I81" s="50">
        <v>0</v>
      </c>
      <c r="J81" s="50">
        <v>0</v>
      </c>
      <c r="K81" s="50">
        <v>0</v>
      </c>
      <c r="L81" s="50">
        <v>0</v>
      </c>
      <c r="M81" s="50">
        <v>0</v>
      </c>
      <c r="N81" s="50">
        <v>0</v>
      </c>
      <c r="O81" s="90">
        <f t="shared" ref="O81:O84" si="57">SUM(C81:N81)</f>
        <v>289228.25488041155</v>
      </c>
    </row>
    <row r="82" spans="1:15" x14ac:dyDescent="0.25">
      <c r="A82" s="82"/>
      <c r="B82" s="51" t="s">
        <v>178</v>
      </c>
      <c r="C82" s="50">
        <f>C46*(1+$K$68)</f>
        <v>2191123.1430334207</v>
      </c>
      <c r="D82" s="50">
        <f t="shared" ref="D82:N82" si="58">D46*(1+$K$68)</f>
        <v>2191123.1430334207</v>
      </c>
      <c r="E82" s="50">
        <f t="shared" si="58"/>
        <v>2191123.1430334207</v>
      </c>
      <c r="F82" s="50">
        <f t="shared" si="58"/>
        <v>2191123.1430334207</v>
      </c>
      <c r="G82" s="50">
        <f t="shared" si="58"/>
        <v>2191123.1430334207</v>
      </c>
      <c r="H82" s="50">
        <f t="shared" si="58"/>
        <v>2191123.1430334207</v>
      </c>
      <c r="I82" s="50">
        <f t="shared" si="58"/>
        <v>2191123.1430334207</v>
      </c>
      <c r="J82" s="50">
        <f t="shared" si="58"/>
        <v>2191123.1430334207</v>
      </c>
      <c r="K82" s="50">
        <f t="shared" si="58"/>
        <v>2191123.1430334207</v>
      </c>
      <c r="L82" s="50">
        <f t="shared" si="58"/>
        <v>2191123.1430334207</v>
      </c>
      <c r="M82" s="50">
        <f t="shared" si="58"/>
        <v>2191123.1430334207</v>
      </c>
      <c r="N82" s="50">
        <f t="shared" si="58"/>
        <v>2191123.1430334207</v>
      </c>
      <c r="O82" s="90">
        <f t="shared" si="57"/>
        <v>26293477.716401055</v>
      </c>
    </row>
    <row r="83" spans="1:15" x14ac:dyDescent="0.25">
      <c r="A83" s="84"/>
      <c r="B83" s="51" t="s">
        <v>248</v>
      </c>
      <c r="C83" s="50">
        <f>C47*(1+$K$68)</f>
        <v>262934.77716401045</v>
      </c>
      <c r="D83" s="50">
        <f t="shared" ref="D83:N83" si="59">D47*(1+$K$68)</f>
        <v>262934.77716401045</v>
      </c>
      <c r="E83" s="50">
        <f t="shared" si="59"/>
        <v>262934.77716401045</v>
      </c>
      <c r="F83" s="50">
        <f t="shared" si="59"/>
        <v>262934.77716401045</v>
      </c>
      <c r="G83" s="50">
        <f t="shared" si="59"/>
        <v>262934.77716401045</v>
      </c>
      <c r="H83" s="50">
        <f t="shared" si="59"/>
        <v>262934.77716401045</v>
      </c>
      <c r="I83" s="50">
        <f t="shared" si="59"/>
        <v>262934.77716401045</v>
      </c>
      <c r="J83" s="50">
        <f t="shared" si="59"/>
        <v>262934.77716401045</v>
      </c>
      <c r="K83" s="50">
        <f t="shared" si="59"/>
        <v>262934.77716401045</v>
      </c>
      <c r="L83" s="50">
        <f t="shared" si="59"/>
        <v>262934.77716401045</v>
      </c>
      <c r="M83" s="50">
        <f t="shared" si="59"/>
        <v>262934.77716401045</v>
      </c>
      <c r="N83" s="50">
        <f t="shared" si="59"/>
        <v>262934.77716401045</v>
      </c>
      <c r="O83" s="90">
        <f t="shared" si="57"/>
        <v>3155217.3259681244</v>
      </c>
    </row>
    <row r="84" spans="1:15" x14ac:dyDescent="0.25">
      <c r="A84" s="82"/>
      <c r="B84" s="46" t="s">
        <v>207</v>
      </c>
      <c r="C84" s="47">
        <f t="shared" ref="C84:N84" si="60">SUM(C81:C83)</f>
        <v>2743286.1750778425</v>
      </c>
      <c r="D84" s="47">
        <f t="shared" si="60"/>
        <v>2454057.920197431</v>
      </c>
      <c r="E84" s="47">
        <f t="shared" si="60"/>
        <v>2454057.920197431</v>
      </c>
      <c r="F84" s="47">
        <f t="shared" si="60"/>
        <v>2454057.920197431</v>
      </c>
      <c r="G84" s="47">
        <f t="shared" si="60"/>
        <v>2454057.920197431</v>
      </c>
      <c r="H84" s="47">
        <f t="shared" si="60"/>
        <v>2454057.920197431</v>
      </c>
      <c r="I84" s="47">
        <f t="shared" si="60"/>
        <v>2454057.920197431</v>
      </c>
      <c r="J84" s="47">
        <f t="shared" si="60"/>
        <v>2454057.920197431</v>
      </c>
      <c r="K84" s="47">
        <f t="shared" si="60"/>
        <v>2454057.920197431</v>
      </c>
      <c r="L84" s="47">
        <f t="shared" si="60"/>
        <v>2454057.920197431</v>
      </c>
      <c r="M84" s="47">
        <f t="shared" si="60"/>
        <v>2454057.920197431</v>
      </c>
      <c r="N84" s="47">
        <f t="shared" si="60"/>
        <v>2454057.920197431</v>
      </c>
      <c r="O84" s="47">
        <f t="shared" si="57"/>
        <v>29737923.297249582</v>
      </c>
    </row>
    <row r="85" spans="1:15" x14ac:dyDescent="0.25">
      <c r="A85" s="82"/>
      <c r="B85" s="55" t="s">
        <v>83</v>
      </c>
      <c r="C85" s="59" t="s">
        <v>173</v>
      </c>
      <c r="D85" s="59" t="s">
        <v>173</v>
      </c>
      <c r="E85" s="59" t="s">
        <v>173</v>
      </c>
      <c r="F85" s="59" t="s">
        <v>173</v>
      </c>
      <c r="G85" s="59" t="s">
        <v>173</v>
      </c>
      <c r="H85" s="59" t="s">
        <v>173</v>
      </c>
      <c r="I85" s="59" t="s">
        <v>173</v>
      </c>
      <c r="J85" s="59" t="s">
        <v>173</v>
      </c>
      <c r="K85" s="59" t="s">
        <v>173</v>
      </c>
      <c r="L85" s="59" t="s">
        <v>173</v>
      </c>
      <c r="M85" s="59" t="s">
        <v>173</v>
      </c>
      <c r="N85" s="59" t="s">
        <v>173</v>
      </c>
      <c r="O85" s="91" t="s">
        <v>173</v>
      </c>
    </row>
    <row r="86" spans="1:15" x14ac:dyDescent="0.25">
      <c r="A86" s="82"/>
      <c r="B86" s="57" t="s">
        <v>210</v>
      </c>
      <c r="C86" s="89">
        <f t="shared" ref="C86:N86" si="61">C50*(1+$K$68)</f>
        <v>2901047.0413762494</v>
      </c>
      <c r="D86" s="89">
        <f t="shared" si="61"/>
        <v>3497032.5362813403</v>
      </c>
      <c r="E86" s="89">
        <f t="shared" si="61"/>
        <v>3225333.2665451942</v>
      </c>
      <c r="F86" s="89">
        <f t="shared" si="61"/>
        <v>3014985.4448139868</v>
      </c>
      <c r="G86" s="89">
        <f t="shared" si="61"/>
        <v>2769579.6527942442</v>
      </c>
      <c r="H86" s="89">
        <f t="shared" si="61"/>
        <v>3470739.0585649372</v>
      </c>
      <c r="I86" s="89">
        <f t="shared" si="61"/>
        <v>4049195.5683257608</v>
      </c>
      <c r="J86" s="89">
        <f t="shared" si="61"/>
        <v>3882670.2094552214</v>
      </c>
      <c r="K86" s="89">
        <f t="shared" si="61"/>
        <v>2997456.459669719</v>
      </c>
      <c r="L86" s="89">
        <f t="shared" si="61"/>
        <v>3076336.8928189226</v>
      </c>
      <c r="M86" s="89">
        <f t="shared" si="61"/>
        <v>2927340.5190926502</v>
      </c>
      <c r="N86" s="89">
        <f t="shared" si="61"/>
        <v>3163981.8185402583</v>
      </c>
      <c r="O86" s="92">
        <f t="shared" ref="O86:O96" si="62">SUM(C86:N86)</f>
        <v>38975698.46827849</v>
      </c>
    </row>
    <row r="87" spans="1:15" x14ac:dyDescent="0.25">
      <c r="A87" s="82"/>
      <c r="B87" s="57" t="s">
        <v>203</v>
      </c>
      <c r="C87" s="89">
        <f t="shared" ref="C87:N87" si="63">C51*(1+$K$68)</f>
        <v>10473568.623699749</v>
      </c>
      <c r="D87" s="89">
        <f t="shared" si="63"/>
        <v>11279901.94033605</v>
      </c>
      <c r="E87" s="89">
        <f t="shared" si="63"/>
        <v>12647162.781588905</v>
      </c>
      <c r="F87" s="89">
        <f t="shared" si="63"/>
        <v>9588354.8739142511</v>
      </c>
      <c r="G87" s="89">
        <f t="shared" si="63"/>
        <v>12761101.185026644</v>
      </c>
      <c r="H87" s="89">
        <f t="shared" si="63"/>
        <v>12024883.808967412</v>
      </c>
      <c r="I87" s="89">
        <f t="shared" si="63"/>
        <v>11034496.148316311</v>
      </c>
      <c r="J87" s="89">
        <f t="shared" si="63"/>
        <v>13120445.380484123</v>
      </c>
      <c r="K87" s="89">
        <f t="shared" si="63"/>
        <v>12822452.633031573</v>
      </c>
      <c r="L87" s="89">
        <f t="shared" si="63"/>
        <v>12822452.633031573</v>
      </c>
      <c r="M87" s="89">
        <f t="shared" si="63"/>
        <v>9965228.0545160007</v>
      </c>
      <c r="N87" s="89">
        <f t="shared" si="63"/>
        <v>12287818.586131427</v>
      </c>
      <c r="O87" s="92">
        <f t="shared" si="62"/>
        <v>140827866.64904404</v>
      </c>
    </row>
    <row r="88" spans="1:15" x14ac:dyDescent="0.25">
      <c r="A88" s="82"/>
      <c r="B88" s="58" t="s">
        <v>84</v>
      </c>
      <c r="C88" s="89">
        <f t="shared" ref="C88:N88" si="64">C52*(1+$K$68)</f>
        <v>9264068.6487453002</v>
      </c>
      <c r="D88" s="89">
        <f t="shared" si="64"/>
        <v>10114224.42824227</v>
      </c>
      <c r="E88" s="89">
        <f t="shared" si="64"/>
        <v>10149282.398530805</v>
      </c>
      <c r="F88" s="89">
        <f t="shared" si="64"/>
        <v>10482333.116271883</v>
      </c>
      <c r="G88" s="89">
        <f t="shared" si="64"/>
        <v>12401756.989569161</v>
      </c>
      <c r="H88" s="89">
        <f t="shared" si="64"/>
        <v>10727738.908291627</v>
      </c>
      <c r="I88" s="89">
        <f t="shared" si="64"/>
        <v>11139670.059181914</v>
      </c>
      <c r="J88" s="89">
        <f t="shared" si="64"/>
        <v>12822452.633031573</v>
      </c>
      <c r="K88" s="89">
        <f t="shared" si="64"/>
        <v>11735655.554087006</v>
      </c>
      <c r="L88" s="89">
        <f t="shared" si="64"/>
        <v>11718126.568942735</v>
      </c>
      <c r="M88" s="89">
        <f t="shared" si="64"/>
        <v>12541988.8707233</v>
      </c>
      <c r="N88" s="89">
        <f t="shared" si="64"/>
        <v>10070401.965381602</v>
      </c>
      <c r="O88" s="92">
        <f t="shared" si="62"/>
        <v>133167700.14099918</v>
      </c>
    </row>
    <row r="89" spans="1:15" x14ac:dyDescent="0.25">
      <c r="A89" s="82"/>
      <c r="B89" s="58" t="s">
        <v>81</v>
      </c>
      <c r="C89" s="89">
        <f t="shared" ref="C89:N89" si="65">C53*(1+$K$68)</f>
        <v>657336.94291002641</v>
      </c>
      <c r="D89" s="89">
        <f t="shared" si="65"/>
        <v>657336.94291002641</v>
      </c>
      <c r="E89" s="89">
        <f t="shared" si="65"/>
        <v>657336.94291002641</v>
      </c>
      <c r="F89" s="89">
        <f t="shared" si="65"/>
        <v>657336.94291002641</v>
      </c>
      <c r="G89" s="89">
        <f t="shared" si="65"/>
        <v>657336.94291002641</v>
      </c>
      <c r="H89" s="89">
        <f t="shared" si="65"/>
        <v>657336.94291002641</v>
      </c>
      <c r="I89" s="89">
        <f t="shared" si="65"/>
        <v>657336.94291002641</v>
      </c>
      <c r="J89" s="89">
        <f t="shared" si="65"/>
        <v>657336.94291002641</v>
      </c>
      <c r="K89" s="89">
        <f t="shared" si="65"/>
        <v>657336.94291002641</v>
      </c>
      <c r="L89" s="89">
        <f t="shared" si="65"/>
        <v>657336.94291002641</v>
      </c>
      <c r="M89" s="89">
        <f t="shared" si="65"/>
        <v>657336.94291002641</v>
      </c>
      <c r="N89" s="89">
        <f t="shared" si="65"/>
        <v>657336.94291002641</v>
      </c>
      <c r="O89" s="92">
        <f t="shared" si="62"/>
        <v>7888043.3149203183</v>
      </c>
    </row>
    <row r="90" spans="1:15" x14ac:dyDescent="0.25">
      <c r="A90" s="82"/>
      <c r="B90" s="57" t="s">
        <v>85</v>
      </c>
      <c r="C90" s="89">
        <f t="shared" ref="C90:N90" si="66">C54*(1+$K$68)</f>
        <v>10762796.878580164</v>
      </c>
      <c r="D90" s="89">
        <f t="shared" si="66"/>
        <v>9211481.6933125034</v>
      </c>
      <c r="E90" s="89">
        <f t="shared" si="66"/>
        <v>9535767.9184814468</v>
      </c>
      <c r="F90" s="89">
        <f t="shared" si="66"/>
        <v>9684764.2922077179</v>
      </c>
      <c r="G90" s="89">
        <f t="shared" si="66"/>
        <v>13024035.962190652</v>
      </c>
      <c r="H90" s="89">
        <f t="shared" si="66"/>
        <v>9562061.3961978517</v>
      </c>
      <c r="I90" s="89">
        <f t="shared" si="66"/>
        <v>11095847.596321242</v>
      </c>
      <c r="J90" s="89">
        <f t="shared" si="66"/>
        <v>8782021.5572779514</v>
      </c>
      <c r="K90" s="89">
        <f t="shared" si="66"/>
        <v>11420133.821490193</v>
      </c>
      <c r="L90" s="89">
        <f t="shared" si="66"/>
        <v>9071249.8121583592</v>
      </c>
      <c r="M90" s="89">
        <f t="shared" si="66"/>
        <v>11551601.210072195</v>
      </c>
      <c r="N90" s="89">
        <f t="shared" si="66"/>
        <v>10999438.178027771</v>
      </c>
      <c r="O90" s="92">
        <f t="shared" si="62"/>
        <v>124701200.31631804</v>
      </c>
    </row>
    <row r="91" spans="1:15" x14ac:dyDescent="0.25">
      <c r="A91" s="84"/>
      <c r="B91" s="58" t="s">
        <v>249</v>
      </c>
      <c r="C91" s="89">
        <f t="shared" ref="C91:N91" si="67">C78*5%</f>
        <v>9889551.2206635885</v>
      </c>
      <c r="D91" s="89">
        <f t="shared" si="67"/>
        <v>9889551.2206635885</v>
      </c>
      <c r="E91" s="89">
        <f t="shared" si="67"/>
        <v>9889551.2206635885</v>
      </c>
      <c r="F91" s="89">
        <f t="shared" si="67"/>
        <v>9889551.2206635885</v>
      </c>
      <c r="G91" s="89">
        <f t="shared" si="67"/>
        <v>9889551.2206635885</v>
      </c>
      <c r="H91" s="89">
        <f t="shared" si="67"/>
        <v>9889551.2206635885</v>
      </c>
      <c r="I91" s="89">
        <f t="shared" si="67"/>
        <v>9889551.2206635885</v>
      </c>
      <c r="J91" s="89">
        <f t="shared" si="67"/>
        <v>9889551.2206635885</v>
      </c>
      <c r="K91" s="89">
        <f t="shared" si="67"/>
        <v>9889551.2206635885</v>
      </c>
      <c r="L91" s="89">
        <f t="shared" si="67"/>
        <v>9889551.2206635885</v>
      </c>
      <c r="M91" s="89">
        <f t="shared" si="67"/>
        <v>9889551.2206635885</v>
      </c>
      <c r="N91" s="89">
        <f t="shared" si="67"/>
        <v>9889551.2206635885</v>
      </c>
      <c r="O91" s="92">
        <f t="shared" si="62"/>
        <v>118674614.64796309</v>
      </c>
    </row>
    <row r="92" spans="1:15" x14ac:dyDescent="0.25">
      <c r="A92" s="84"/>
      <c r="B92" s="58" t="s">
        <v>180</v>
      </c>
      <c r="C92" s="89">
        <f>'7.5. Stage 5&amp;6 budget'!C56*(1+'7.5. Stage 5&amp;6 budget'!$K$68)</f>
        <v>12726043.214738103</v>
      </c>
      <c r="D92" s="89">
        <f>'7.5. Stage 5&amp;6 budget'!D56*(1+'7.5. Stage 5&amp;6 budget'!$K$68)</f>
        <v>12559517.855867565</v>
      </c>
      <c r="E92" s="89">
        <f>'7.5. Stage 5&amp;6 budget'!E56*(1+'7.5. Stage 5&amp;6 budget'!$K$68)</f>
        <v>10438510.653411219</v>
      </c>
      <c r="F92" s="89">
        <f>'7.5. Stage 5&amp;6 budget'!F56*(1+'7.5. Stage 5&amp;6 budget'!$K$68)</f>
        <v>11525307.732355796</v>
      </c>
      <c r="G92" s="89">
        <f>'7.5. Stage 5&amp;6 budget'!G56*(1+'7.5. Stage 5&amp;6 budget'!$K$68)</f>
        <v>9088778.7973026317</v>
      </c>
      <c r="H92" s="89">
        <f>'7.5. Stage 5&amp;6 budget'!H56*(1+'7.5. Stage 5&amp;6 budget'!$K$68)</f>
        <v>10105459.935670137</v>
      </c>
      <c r="I92" s="89">
        <f>'7.5. Stage 5&amp;6 budget'!I56*(1+'7.5. Stage 5&amp;6 budget'!$K$68)</f>
        <v>10456039.638555488</v>
      </c>
      <c r="J92" s="89">
        <f>'7.5. Stage 5&amp;6 budget'!J56*(1+'7.5. Stage 5&amp;6 budget'!$K$68)</f>
        <v>12392992.496997025</v>
      </c>
      <c r="K92" s="89">
        <f>'7.5. Stage 5&amp;6 budget'!K56*(1+'7.5. Stage 5&amp;6 budget'!$K$68)</f>
        <v>9702293.2773519866</v>
      </c>
      <c r="L92" s="89">
        <f>'7.5. Stage 5&amp;6 budget'!L56*(1+'7.5. Stage 5&amp;6 budget'!$K$68)</f>
        <v>10385923.697978411</v>
      </c>
      <c r="M92" s="89">
        <f>'7.5. Stage 5&amp;6 budget'!M56*(1+'7.5. Stage 5&amp;6 budget'!$K$68)</f>
        <v>10403452.683122678</v>
      </c>
      <c r="N92" s="89">
        <f>'7.5. Stage 5&amp;6 budget'!N56*(1+'7.5. Stage 5&amp;6 budget'!$K$68)</f>
        <v>10140517.905958675</v>
      </c>
      <c r="O92" s="92">
        <f t="shared" si="62"/>
        <v>129924837.8893097</v>
      </c>
    </row>
    <row r="93" spans="1:15" x14ac:dyDescent="0.25">
      <c r="A93" s="84"/>
      <c r="B93" s="58" t="s">
        <v>417</v>
      </c>
      <c r="C93" s="89">
        <f>'13. Insurance package'!$H$2/12*2</f>
        <v>7499166.666666667</v>
      </c>
      <c r="D93" s="89">
        <f>'13. Insurance package'!$H$2/12*2</f>
        <v>7499166.666666667</v>
      </c>
      <c r="E93" s="89">
        <f>'13. Insurance package'!$H$2/12*2</f>
        <v>7499166.666666667</v>
      </c>
      <c r="F93" s="89">
        <f>'13. Insurance package'!$H$2/12*2</f>
        <v>7499166.666666667</v>
      </c>
      <c r="G93" s="89">
        <f>'13. Insurance package'!$H$2/12*2</f>
        <v>7499166.666666667</v>
      </c>
      <c r="H93" s="89">
        <f>'13. Insurance package'!$H$2/12*2</f>
        <v>7499166.666666667</v>
      </c>
      <c r="I93" s="89">
        <f>'13. Insurance package'!$H$2/12*2</f>
        <v>7499166.666666667</v>
      </c>
      <c r="J93" s="89">
        <f>'13. Insurance package'!$H$2/12*2</f>
        <v>7499166.666666667</v>
      </c>
      <c r="K93" s="89">
        <f>'13. Insurance package'!$H$2/12*2</f>
        <v>7499166.666666667</v>
      </c>
      <c r="L93" s="89">
        <f>'13. Insurance package'!$H$2/12*2</f>
        <v>7499166.666666667</v>
      </c>
      <c r="M93" s="89">
        <f>'13. Insurance package'!$H$2/12*2</f>
        <v>7499166.666666667</v>
      </c>
      <c r="N93" s="89">
        <f>'13. Insurance package'!$H$2/12*2</f>
        <v>7499166.666666667</v>
      </c>
      <c r="O93" s="92">
        <f t="shared" ref="O93" si="68">SUM(C93:N93)</f>
        <v>89990000.000000015</v>
      </c>
    </row>
    <row r="94" spans="1:15" x14ac:dyDescent="0.25">
      <c r="A94" s="84"/>
      <c r="B94" s="58" t="s">
        <v>86</v>
      </c>
      <c r="C94" s="89">
        <f>'7.5. Stage 5&amp;6 budget'!C58*(1+'7.5. Stage 5&amp;6 budget'!$K$68)</f>
        <v>9264068.6487453002</v>
      </c>
      <c r="D94" s="89">
        <f>'7.5. Stage 5&amp;6 budget'!D58*(1+'7.5. Stage 5&amp;6 budget'!$K$68)</f>
        <v>9158894.7378796972</v>
      </c>
      <c r="E94" s="89">
        <f>'7.5. Stage 5&amp;6 budget'!E58*(1+'7.5. Stage 5&amp;6 budget'!$K$68)</f>
        <v>8887195.4681435581</v>
      </c>
      <c r="F94" s="89">
        <f>'7.5. Stage 5&amp;6 budget'!F58*(1+'7.5. Stage 5&amp;6 budget'!$K$68)</f>
        <v>11595423.672932861</v>
      </c>
      <c r="G94" s="89">
        <f>'7.5. Stage 5&amp;6 budget'!G58*(1+'7.5. Stage 5&amp;6 budget'!$K$68)</f>
        <v>10789090.356296564</v>
      </c>
      <c r="H94" s="89">
        <f>'7.5. Stage 5&amp;6 budget'!H58*(1+'7.5. Stage 5&amp;6 budget'!$K$68)</f>
        <v>8983604.8864370249</v>
      </c>
      <c r="I94" s="89">
        <f>'7.5. Stage 5&amp;6 budget'!I58*(1+'7.5. Stage 5&amp;6 budget'!$K$68)</f>
        <v>12182644.675265821</v>
      </c>
      <c r="J94" s="89">
        <f>'7.5. Stage 5&amp;6 budget'!J58*(1+'7.5. Stage 5&amp;6 budget'!$K$68)</f>
        <v>11691833.091226334</v>
      </c>
      <c r="K94" s="89">
        <f>'7.5. Stage 5&amp;6 budget'!K58*(1+'7.5. Stage 5&amp;6 budget'!$K$68)</f>
        <v>9413065.0224715769</v>
      </c>
      <c r="L94" s="89">
        <f>'7.5. Stage 5&amp;6 budget'!L58*(1+'7.5. Stage 5&amp;6 budget'!$K$68)</f>
        <v>9737351.2476405222</v>
      </c>
      <c r="M94" s="89">
        <f>'7.5. Stage 5&amp;6 budget'!M58*(1+'7.5. Stage 5&amp;6 budget'!$K$68)</f>
        <v>11840829.464952605</v>
      </c>
      <c r="N94" s="89">
        <f>'7.5. Stage 5&amp;6 budget'!N58*(1+'7.5. Stage 5&amp;6 budget'!$K$68)</f>
        <v>12463108.437574102</v>
      </c>
      <c r="O94" s="92">
        <f t="shared" si="62"/>
        <v>126007109.70956597</v>
      </c>
    </row>
    <row r="95" spans="1:15" x14ac:dyDescent="0.25">
      <c r="A95" s="82"/>
      <c r="B95" s="46" t="s">
        <v>208</v>
      </c>
      <c r="C95" s="47">
        <f t="shared" ref="C95:N95" si="69">SUM(C86:C94)</f>
        <v>73437647.886125147</v>
      </c>
      <c r="D95" s="47">
        <f t="shared" si="69"/>
        <v>73867108.022159711</v>
      </c>
      <c r="E95" s="47">
        <f t="shared" si="69"/>
        <v>72929307.31694141</v>
      </c>
      <c r="F95" s="47">
        <f t="shared" si="69"/>
        <v>73937223.962736771</v>
      </c>
      <c r="G95" s="47">
        <f t="shared" si="69"/>
        <v>78880397.773420185</v>
      </c>
      <c r="H95" s="47">
        <f t="shared" si="69"/>
        <v>72920542.824369267</v>
      </c>
      <c r="I95" s="47">
        <f t="shared" si="69"/>
        <v>78003948.516206816</v>
      </c>
      <c r="J95" s="47">
        <f t="shared" si="69"/>
        <v>80738470.198712528</v>
      </c>
      <c r="K95" s="47">
        <f t="shared" si="69"/>
        <v>76137111.598342329</v>
      </c>
      <c r="L95" s="47">
        <f t="shared" si="69"/>
        <v>74857495.682810798</v>
      </c>
      <c r="M95" s="47">
        <f t="shared" si="69"/>
        <v>77276495.63271971</v>
      </c>
      <c r="N95" s="47">
        <f t="shared" si="69"/>
        <v>77171321.72185412</v>
      </c>
      <c r="O95" s="47">
        <f t="shared" si="62"/>
        <v>910157071.13639879</v>
      </c>
    </row>
    <row r="96" spans="1:15" x14ac:dyDescent="0.25">
      <c r="A96" s="82"/>
      <c r="B96" s="60" t="s">
        <v>87</v>
      </c>
      <c r="C96" s="47">
        <f t="shared" ref="C96:N96" si="70">C84+C95</f>
        <v>76180934.061202988</v>
      </c>
      <c r="D96" s="47">
        <f t="shared" si="70"/>
        <v>76321165.942357138</v>
      </c>
      <c r="E96" s="47">
        <f t="shared" si="70"/>
        <v>75383365.237138838</v>
      </c>
      <c r="F96" s="47">
        <f t="shared" si="70"/>
        <v>76391281.882934198</v>
      </c>
      <c r="G96" s="47">
        <f t="shared" si="70"/>
        <v>81334455.693617612</v>
      </c>
      <c r="H96" s="47">
        <f t="shared" si="70"/>
        <v>75374600.744566694</v>
      </c>
      <c r="I96" s="47">
        <f t="shared" si="70"/>
        <v>80458006.436404243</v>
      </c>
      <c r="J96" s="47">
        <f t="shared" si="70"/>
        <v>83192528.118909955</v>
      </c>
      <c r="K96" s="47">
        <f t="shared" si="70"/>
        <v>78591169.518539757</v>
      </c>
      <c r="L96" s="47">
        <f t="shared" si="70"/>
        <v>77311553.603008226</v>
      </c>
      <c r="M96" s="47">
        <f t="shared" si="70"/>
        <v>79730553.552917138</v>
      </c>
      <c r="N96" s="47">
        <f t="shared" si="70"/>
        <v>79625379.642051548</v>
      </c>
      <c r="O96" s="47">
        <f t="shared" si="62"/>
        <v>939894994.43364835</v>
      </c>
    </row>
    <row r="97" spans="1:25" s="11" customFormat="1" x14ac:dyDescent="0.25">
      <c r="A97" s="82"/>
      <c r="B97" s="108" t="s">
        <v>204</v>
      </c>
      <c r="C97" s="109">
        <f>$O96*(3/12)/12</f>
        <v>19581145.717367675</v>
      </c>
      <c r="D97" s="109">
        <f t="shared" ref="D97" si="71">$O96*(3/12)/12</f>
        <v>19581145.717367675</v>
      </c>
      <c r="E97" s="109">
        <f t="shared" ref="E97" si="72">$O96*(3/12)/12</f>
        <v>19581145.717367675</v>
      </c>
      <c r="F97" s="109">
        <f t="shared" ref="F97" si="73">$O96*(3/12)/12</f>
        <v>19581145.717367675</v>
      </c>
      <c r="G97" s="109">
        <f t="shared" ref="G97" si="74">$O96*(3/12)/12</f>
        <v>19581145.717367675</v>
      </c>
      <c r="H97" s="109">
        <f t="shared" ref="H97" si="75">$O96*(3/12)/12</f>
        <v>19581145.717367675</v>
      </c>
      <c r="I97" s="109">
        <f t="shared" ref="I97" si="76">$O96*(3/12)/12</f>
        <v>19581145.717367675</v>
      </c>
      <c r="J97" s="109">
        <f t="shared" ref="J97" si="77">$O96*(3/12)/12</f>
        <v>19581145.717367675</v>
      </c>
      <c r="K97" s="109">
        <f t="shared" ref="K97" si="78">$O96*(3/12)/12</f>
        <v>19581145.717367675</v>
      </c>
      <c r="L97" s="109">
        <f t="shared" ref="L97" si="79">$O96*(3/12)/12</f>
        <v>19581145.717367675</v>
      </c>
      <c r="M97" s="109">
        <f t="shared" ref="M97" si="80">$O96*(3/12)/12</f>
        <v>19581145.717367675</v>
      </c>
      <c r="N97" s="109">
        <f t="shared" ref="N97" si="81">$O96*(3/12)/12</f>
        <v>19581145.717367675</v>
      </c>
      <c r="O97" s="109">
        <f t="shared" ref="O97:O100" si="82">SUM(C97:N97)</f>
        <v>234973748.60841212</v>
      </c>
      <c r="P97" s="43"/>
      <c r="Q97" s="43"/>
      <c r="R97" s="40"/>
      <c r="S97" s="40"/>
      <c r="T97" s="40"/>
      <c r="U97" s="40"/>
      <c r="V97" s="40"/>
      <c r="W97" s="40"/>
      <c r="X97" s="40"/>
      <c r="Y97" s="40"/>
    </row>
    <row r="98" spans="1:25" s="11" customFormat="1" x14ac:dyDescent="0.25">
      <c r="A98" s="82"/>
      <c r="B98" s="108" t="s">
        <v>82</v>
      </c>
      <c r="C98" s="109">
        <f>'6. Mortgage payment'!$C$7</f>
        <v>28168245.060798287</v>
      </c>
      <c r="D98" s="109">
        <f>'6. Mortgage payment'!$C$7</f>
        <v>28168245.060798287</v>
      </c>
      <c r="E98" s="109">
        <f>'6. Mortgage payment'!$C$7</f>
        <v>28168245.060798287</v>
      </c>
      <c r="F98" s="109">
        <f>'6. Mortgage payment'!$C$7</f>
        <v>28168245.060798287</v>
      </c>
      <c r="G98" s="109">
        <f>'6. Mortgage payment'!$C$7</f>
        <v>28168245.060798287</v>
      </c>
      <c r="H98" s="109">
        <f>'6. Mortgage payment'!$C$7</f>
        <v>28168245.060798287</v>
      </c>
      <c r="I98" s="109">
        <f>'6. Mortgage payment'!$C$7</f>
        <v>28168245.060798287</v>
      </c>
      <c r="J98" s="109">
        <f>'6. Mortgage payment'!$C$7</f>
        <v>28168245.060798287</v>
      </c>
      <c r="K98" s="109">
        <f>'6. Mortgage payment'!$C$7</f>
        <v>28168245.060798287</v>
      </c>
      <c r="L98" s="109">
        <f>'6. Mortgage payment'!$C$7</f>
        <v>28168245.060798287</v>
      </c>
      <c r="M98" s="109">
        <f>'6. Mortgage payment'!$C$7</f>
        <v>28168245.060798287</v>
      </c>
      <c r="N98" s="109">
        <f>'6. Mortgage payment'!$C$7</f>
        <v>28168245.060798287</v>
      </c>
      <c r="O98" s="109">
        <f t="shared" si="82"/>
        <v>338018940.72957945</v>
      </c>
      <c r="P98" s="43"/>
      <c r="Q98" s="43"/>
      <c r="R98" s="40"/>
      <c r="S98" s="40"/>
      <c r="T98" s="40"/>
      <c r="U98" s="40"/>
      <c r="V98" s="40"/>
      <c r="W98" s="40"/>
      <c r="X98" s="40"/>
      <c r="Y98" s="40"/>
    </row>
    <row r="99" spans="1:25" s="11" customFormat="1" x14ac:dyDescent="0.25">
      <c r="A99" s="82"/>
      <c r="B99" s="108" t="s">
        <v>251</v>
      </c>
      <c r="C99" s="109">
        <f>-PMT(4%,18*12,(150000000*8)/(1+4%)^18)</f>
        <v>23699110.369091634</v>
      </c>
      <c r="D99" s="109">
        <f t="shared" ref="D99:N99" si="83">-PMT(4%,18*12,(150000000*8)/(1+4%)^18)</f>
        <v>23699110.369091634</v>
      </c>
      <c r="E99" s="109">
        <f t="shared" si="83"/>
        <v>23699110.369091634</v>
      </c>
      <c r="F99" s="109">
        <f t="shared" si="83"/>
        <v>23699110.369091634</v>
      </c>
      <c r="G99" s="109">
        <f t="shared" si="83"/>
        <v>23699110.369091634</v>
      </c>
      <c r="H99" s="109">
        <f t="shared" si="83"/>
        <v>23699110.369091634</v>
      </c>
      <c r="I99" s="109">
        <f t="shared" si="83"/>
        <v>23699110.369091634</v>
      </c>
      <c r="J99" s="109">
        <f t="shared" si="83"/>
        <v>23699110.369091634</v>
      </c>
      <c r="K99" s="109">
        <f t="shared" si="83"/>
        <v>23699110.369091634</v>
      </c>
      <c r="L99" s="109">
        <f t="shared" si="83"/>
        <v>23699110.369091634</v>
      </c>
      <c r="M99" s="109">
        <f t="shared" si="83"/>
        <v>23699110.369091634</v>
      </c>
      <c r="N99" s="109">
        <f t="shared" si="83"/>
        <v>23699110.369091634</v>
      </c>
      <c r="O99" s="109">
        <f>SUM(C99:N99)</f>
        <v>284389324.42909962</v>
      </c>
      <c r="P99" s="43"/>
      <c r="Q99" s="43"/>
      <c r="R99" s="40"/>
      <c r="S99" s="40"/>
      <c r="T99" s="40"/>
      <c r="U99" s="40"/>
      <c r="V99" s="40"/>
      <c r="W99" s="40"/>
      <c r="X99" s="40"/>
      <c r="Y99" s="40"/>
    </row>
    <row r="100" spans="1:25" s="11" customFormat="1" x14ac:dyDescent="0.25">
      <c r="A100" s="82"/>
      <c r="B100" s="108" t="s">
        <v>386</v>
      </c>
      <c r="C100" s="109">
        <f>C64*(1+$K$68)</f>
        <v>2401548.3278515218</v>
      </c>
      <c r="D100" s="109">
        <v>0</v>
      </c>
      <c r="E100" s="109">
        <v>0</v>
      </c>
      <c r="F100" s="109">
        <v>0</v>
      </c>
      <c r="G100" s="109">
        <v>0</v>
      </c>
      <c r="H100" s="109">
        <v>0</v>
      </c>
      <c r="I100" s="109">
        <v>0</v>
      </c>
      <c r="J100" s="109">
        <v>0</v>
      </c>
      <c r="K100" s="109">
        <v>0</v>
      </c>
      <c r="L100" s="109">
        <v>0</v>
      </c>
      <c r="M100" s="109">
        <v>0</v>
      </c>
      <c r="N100" s="109">
        <v>0</v>
      </c>
      <c r="O100" s="109">
        <f t="shared" si="82"/>
        <v>2401548.3278515218</v>
      </c>
      <c r="P100" s="43"/>
      <c r="Q100" s="43"/>
      <c r="R100" s="40"/>
      <c r="S100" s="40"/>
      <c r="T100" s="40"/>
      <c r="U100" s="40"/>
      <c r="V100" s="40"/>
      <c r="W100" s="40"/>
      <c r="X100" s="40"/>
      <c r="Y100" s="40"/>
    </row>
    <row r="101" spans="1:25" s="11" customFormat="1" x14ac:dyDescent="0.25">
      <c r="A101" s="82"/>
      <c r="B101" s="60" t="s">
        <v>206</v>
      </c>
      <c r="C101" s="61">
        <f>C78-C96-C97-C98-C100-C99</f>
        <v>47760040.876959652</v>
      </c>
      <c r="D101" s="61">
        <f t="shared" ref="D101:N101" si="84">D78-D96-D97-D98-D100-D99</f>
        <v>50021357.323657021</v>
      </c>
      <c r="E101" s="61">
        <f t="shared" si="84"/>
        <v>50959158.028875321</v>
      </c>
      <c r="F101" s="61">
        <f t="shared" si="84"/>
        <v>49951241.383079961</v>
      </c>
      <c r="G101" s="61">
        <f t="shared" si="84"/>
        <v>45008067.572396547</v>
      </c>
      <c r="H101" s="61">
        <f t="shared" si="84"/>
        <v>50967922.521447465</v>
      </c>
      <c r="I101" s="61">
        <f t="shared" si="84"/>
        <v>45884516.829609916</v>
      </c>
      <c r="J101" s="61">
        <f t="shared" si="84"/>
        <v>43149995.147104204</v>
      </c>
      <c r="K101" s="61">
        <f t="shared" si="84"/>
        <v>47751353.747474402</v>
      </c>
      <c r="L101" s="61">
        <f t="shared" si="84"/>
        <v>49030969.663005933</v>
      </c>
      <c r="M101" s="61">
        <f t="shared" si="84"/>
        <v>46611969.713097021</v>
      </c>
      <c r="N101" s="61">
        <f t="shared" si="84"/>
        <v>46717143.623962611</v>
      </c>
      <c r="O101" s="47">
        <f t="shared" ref="O101" si="85">SUM(C101:N101)</f>
        <v>573813736.43067002</v>
      </c>
      <c r="P101" s="43"/>
      <c r="Q101" s="43"/>
      <c r="R101" s="40"/>
      <c r="S101" s="40"/>
      <c r="T101" s="40"/>
      <c r="U101" s="40"/>
      <c r="V101" s="40"/>
      <c r="W101" s="40"/>
      <c r="X101" s="40"/>
      <c r="Y101" s="40"/>
    </row>
    <row r="102" spans="1:25" x14ac:dyDescent="0.25">
      <c r="A102" s="85"/>
      <c r="B102" s="40"/>
      <c r="C102" s="40"/>
      <c r="D102" s="40"/>
      <c r="E102" s="40"/>
      <c r="F102" s="40"/>
      <c r="G102" s="40"/>
      <c r="H102" s="40"/>
      <c r="I102" s="40"/>
      <c r="J102" s="40"/>
      <c r="K102" s="40"/>
      <c r="L102" s="353" t="s">
        <v>217</v>
      </c>
      <c r="M102" s="354"/>
      <c r="N102" s="350">
        <f>SUM(C101:N101)+N66</f>
        <v>8164617199.4903965</v>
      </c>
      <c r="O102" s="40"/>
    </row>
    <row r="103" spans="1:25" x14ac:dyDescent="0.25">
      <c r="A103" s="85"/>
      <c r="B103" s="40"/>
      <c r="C103" s="40"/>
      <c r="D103" s="40"/>
      <c r="E103" s="40"/>
      <c r="F103" s="40"/>
      <c r="G103" s="40"/>
      <c r="H103" s="40"/>
      <c r="I103" s="40"/>
      <c r="J103" s="40"/>
      <c r="K103" s="40"/>
      <c r="L103" s="320"/>
      <c r="M103" s="355"/>
      <c r="N103" s="351"/>
      <c r="O103" s="40"/>
    </row>
    <row r="104" spans="1:25" x14ac:dyDescent="0.25">
      <c r="A104" s="85"/>
      <c r="B104" s="319" t="s">
        <v>632</v>
      </c>
      <c r="C104" s="352" t="s">
        <v>173</v>
      </c>
      <c r="D104" s="352"/>
      <c r="E104" s="352"/>
      <c r="F104" s="352"/>
      <c r="G104" s="352"/>
      <c r="H104" s="352"/>
      <c r="I104" s="40"/>
      <c r="J104" s="358" t="s">
        <v>231</v>
      </c>
      <c r="K104" s="359">
        <v>0.04</v>
      </c>
      <c r="L104" s="40"/>
      <c r="M104" s="40"/>
      <c r="N104" s="40"/>
      <c r="O104" s="361"/>
    </row>
    <row r="105" spans="1:25" x14ac:dyDescent="0.25">
      <c r="A105" s="85"/>
      <c r="B105" s="319"/>
      <c r="C105" s="352"/>
      <c r="D105" s="352"/>
      <c r="E105" s="352"/>
      <c r="F105" s="352"/>
      <c r="G105" s="352"/>
      <c r="H105" s="352"/>
      <c r="I105" s="40"/>
      <c r="J105" s="358"/>
      <c r="K105" s="360"/>
      <c r="L105" s="40"/>
      <c r="M105" s="40"/>
      <c r="N105" s="40"/>
      <c r="O105" s="362"/>
    </row>
    <row r="106" spans="1:25" x14ac:dyDescent="0.25">
      <c r="A106" s="85"/>
      <c r="B106" s="319"/>
      <c r="C106" s="352"/>
      <c r="D106" s="352"/>
      <c r="E106" s="352"/>
      <c r="F106" s="352"/>
      <c r="G106" s="352"/>
      <c r="H106" s="352"/>
      <c r="I106" s="40"/>
      <c r="J106" s="40"/>
      <c r="K106" s="40"/>
      <c r="L106" s="40"/>
      <c r="M106" s="40"/>
      <c r="N106" s="40"/>
      <c r="O106" s="40"/>
    </row>
    <row r="109" spans="1:25" ht="24.6" x14ac:dyDescent="0.25">
      <c r="A109" s="96"/>
      <c r="B109" s="348" t="s">
        <v>263</v>
      </c>
      <c r="C109" s="348"/>
      <c r="D109" s="348"/>
      <c r="E109" s="348"/>
      <c r="F109" s="348"/>
      <c r="G109" s="348"/>
      <c r="H109" s="348"/>
      <c r="I109" s="348"/>
      <c r="J109" s="348"/>
      <c r="K109" s="348"/>
      <c r="L109" s="348"/>
      <c r="M109" s="348"/>
      <c r="N109" s="348"/>
      <c r="O109" s="348"/>
    </row>
    <row r="110" spans="1:25" ht="24.6" x14ac:dyDescent="0.25">
      <c r="A110" s="96"/>
      <c r="B110" s="349"/>
      <c r="C110" s="349"/>
      <c r="D110" s="349"/>
      <c r="E110" s="349"/>
      <c r="F110" s="349"/>
      <c r="G110" s="349"/>
      <c r="H110" s="349"/>
      <c r="I110" s="349"/>
      <c r="J110" s="349"/>
      <c r="K110" s="349"/>
      <c r="L110" s="349"/>
      <c r="M110" s="349"/>
      <c r="N110" s="349"/>
      <c r="O110" s="349"/>
    </row>
    <row r="111" spans="1:25" x14ac:dyDescent="0.25">
      <c r="A111" s="82"/>
      <c r="B111" s="41"/>
      <c r="C111" s="42" t="s">
        <v>66</v>
      </c>
      <c r="D111" s="42" t="s">
        <v>67</v>
      </c>
      <c r="E111" s="42" t="s">
        <v>68</v>
      </c>
      <c r="F111" s="42" t="s">
        <v>69</v>
      </c>
      <c r="G111" s="42" t="s">
        <v>70</v>
      </c>
      <c r="H111" s="42" t="s">
        <v>71</v>
      </c>
      <c r="I111" s="42" t="s">
        <v>72</v>
      </c>
      <c r="J111" s="42" t="s">
        <v>73</v>
      </c>
      <c r="K111" s="42" t="s">
        <v>74</v>
      </c>
      <c r="L111" s="42" t="s">
        <v>75</v>
      </c>
      <c r="M111" s="42" t="s">
        <v>76</v>
      </c>
      <c r="N111" s="42" t="s">
        <v>77</v>
      </c>
      <c r="O111" s="42" t="s">
        <v>236</v>
      </c>
    </row>
    <row r="112" spans="1:25" x14ac:dyDescent="0.25">
      <c r="A112" s="82"/>
      <c r="B112" s="44" t="s">
        <v>194</v>
      </c>
      <c r="C112" s="45">
        <f>'3.1. My Income Tax Calculation'!$P$23/12</f>
        <v>137007911.59636411</v>
      </c>
      <c r="D112" s="45">
        <f>'3.1. My Income Tax Calculation'!$P$23/12</f>
        <v>137007911.59636411</v>
      </c>
      <c r="E112" s="45">
        <f>'3.1. My Income Tax Calculation'!$P$23/12</f>
        <v>137007911.59636411</v>
      </c>
      <c r="F112" s="45">
        <f>'3.1. My Income Tax Calculation'!$P$23/12</f>
        <v>137007911.59636411</v>
      </c>
      <c r="G112" s="45">
        <f>'3.1. My Income Tax Calculation'!$P$23/12</f>
        <v>137007911.59636411</v>
      </c>
      <c r="H112" s="45">
        <f>'3.1. My Income Tax Calculation'!$P$23/12</f>
        <v>137007911.59636411</v>
      </c>
      <c r="I112" s="45">
        <f>'3.1. My Income Tax Calculation'!$P$23/12</f>
        <v>137007911.59636411</v>
      </c>
      <c r="J112" s="45">
        <f>'3.1. My Income Tax Calculation'!$P$23/12</f>
        <v>137007911.59636411</v>
      </c>
      <c r="K112" s="45">
        <f>'3.1. My Income Tax Calculation'!$P$23/12</f>
        <v>137007911.59636411</v>
      </c>
      <c r="L112" s="45">
        <f>'3.1. My Income Tax Calculation'!$P$23/12</f>
        <v>137007911.59636411</v>
      </c>
      <c r="M112" s="45">
        <f>'3.1. My Income Tax Calculation'!$P$23/12</f>
        <v>137007911.59636411</v>
      </c>
      <c r="N112" s="45">
        <f>'3.1. My Income Tax Calculation'!$P$23/12</f>
        <v>137007911.59636411</v>
      </c>
      <c r="O112" s="45" t="s">
        <v>173</v>
      </c>
    </row>
    <row r="113" spans="1:15" x14ac:dyDescent="0.25">
      <c r="A113" s="82"/>
      <c r="B113" s="44" t="s">
        <v>246</v>
      </c>
      <c r="C113" s="45">
        <f>'3.2. My wife''s Tax Calc'!$P$23/12</f>
        <v>61709271.181448527</v>
      </c>
      <c r="D113" s="45">
        <f>'3.2. My wife''s Tax Calc'!$P$23/12</f>
        <v>61709271.181448527</v>
      </c>
      <c r="E113" s="45">
        <f>'3.2. My wife''s Tax Calc'!$P$23/12</f>
        <v>61709271.181448527</v>
      </c>
      <c r="F113" s="45">
        <f>'3.2. My wife''s Tax Calc'!$P$23/12</f>
        <v>61709271.181448527</v>
      </c>
      <c r="G113" s="45">
        <f>'3.2. My wife''s Tax Calc'!$P$23/12</f>
        <v>61709271.181448527</v>
      </c>
      <c r="H113" s="45">
        <f>'3.2. My wife''s Tax Calc'!$P$23/12</f>
        <v>61709271.181448527</v>
      </c>
      <c r="I113" s="45">
        <f>'3.2. My wife''s Tax Calc'!$P$23/12</f>
        <v>61709271.181448527</v>
      </c>
      <c r="J113" s="45">
        <f>'3.2. My wife''s Tax Calc'!$P$23/12</f>
        <v>61709271.181448527</v>
      </c>
      <c r="K113" s="45">
        <f>'3.2. My wife''s Tax Calc'!$P$23/12</f>
        <v>61709271.181448527</v>
      </c>
      <c r="L113" s="45">
        <f>'3.2. My wife''s Tax Calc'!$P$23/12</f>
        <v>61709271.181448527</v>
      </c>
      <c r="M113" s="45">
        <f>'3.2. My wife''s Tax Calc'!$P$23/12</f>
        <v>61709271.181448527</v>
      </c>
      <c r="N113" s="45">
        <f>'3.2. My wife''s Tax Calc'!$P$23/12</f>
        <v>61709271.181448527</v>
      </c>
      <c r="O113" s="45" t="s">
        <v>173</v>
      </c>
    </row>
    <row r="114" spans="1:15" x14ac:dyDescent="0.25">
      <c r="A114" s="82"/>
      <c r="B114" s="46" t="s">
        <v>209</v>
      </c>
      <c r="C114" s="47">
        <f>SUM(C112:C113)</f>
        <v>198717182.77781263</v>
      </c>
      <c r="D114" s="47">
        <f t="shared" ref="D114" si="86">SUM(D112:D113)</f>
        <v>198717182.77781263</v>
      </c>
      <c r="E114" s="47">
        <f t="shared" ref="E114" si="87">SUM(E112:E113)</f>
        <v>198717182.77781263</v>
      </c>
      <c r="F114" s="47">
        <f t="shared" ref="F114" si="88">SUM(F112:F113)</f>
        <v>198717182.77781263</v>
      </c>
      <c r="G114" s="47">
        <f t="shared" ref="G114" si="89">SUM(G112:G113)</f>
        <v>198717182.77781263</v>
      </c>
      <c r="H114" s="47">
        <f t="shared" ref="H114" si="90">SUM(H112:H113)</f>
        <v>198717182.77781263</v>
      </c>
      <c r="I114" s="47">
        <f t="shared" ref="I114" si="91">SUM(I112:I113)</f>
        <v>198717182.77781263</v>
      </c>
      <c r="J114" s="47">
        <f t="shared" ref="J114" si="92">SUM(J112:J113)</f>
        <v>198717182.77781263</v>
      </c>
      <c r="K114" s="47">
        <f>SUM(K112:K113)</f>
        <v>198717182.77781263</v>
      </c>
      <c r="L114" s="47">
        <f t="shared" ref="L114" si="93">SUM(L112:L113)</f>
        <v>198717182.77781263</v>
      </c>
      <c r="M114" s="47">
        <f t="shared" ref="M114" si="94">SUM(M112:M113)</f>
        <v>198717182.77781263</v>
      </c>
      <c r="N114" s="47">
        <f t="shared" ref="N114" si="95">SUM(N112:N113)</f>
        <v>198717182.77781263</v>
      </c>
      <c r="O114" s="47">
        <f>SUM(C114:N114)</f>
        <v>2384606193.3337517</v>
      </c>
    </row>
    <row r="115" spans="1:15" x14ac:dyDescent="0.25">
      <c r="A115" s="82"/>
      <c r="B115" s="52" t="s">
        <v>78</v>
      </c>
      <c r="C115" s="53" t="s">
        <v>173</v>
      </c>
      <c r="D115" s="53" t="s">
        <v>173</v>
      </c>
      <c r="E115" s="53" t="s">
        <v>173</v>
      </c>
      <c r="F115" s="53" t="s">
        <v>173</v>
      </c>
      <c r="G115" s="53" t="s">
        <v>173</v>
      </c>
      <c r="H115" s="53" t="s">
        <v>173</v>
      </c>
      <c r="I115" s="53" t="s">
        <v>173</v>
      </c>
      <c r="J115" s="53" t="s">
        <v>173</v>
      </c>
      <c r="K115" s="53" t="s">
        <v>173</v>
      </c>
      <c r="L115" s="53" t="s">
        <v>173</v>
      </c>
      <c r="M115" s="53" t="s">
        <v>173</v>
      </c>
      <c r="N115" s="53" t="s">
        <v>173</v>
      </c>
      <c r="O115" s="91" t="s">
        <v>173</v>
      </c>
    </row>
    <row r="116" spans="1:15" x14ac:dyDescent="0.25">
      <c r="A116" s="82"/>
      <c r="B116" s="48" t="s">
        <v>79</v>
      </c>
      <c r="C116" s="54" t="s">
        <v>173</v>
      </c>
      <c r="D116" s="54" t="s">
        <v>173</v>
      </c>
      <c r="E116" s="54" t="s">
        <v>173</v>
      </c>
      <c r="F116" s="54" t="s">
        <v>173</v>
      </c>
      <c r="G116" s="54" t="s">
        <v>173</v>
      </c>
      <c r="H116" s="54" t="s">
        <v>173</v>
      </c>
      <c r="I116" s="54" t="s">
        <v>173</v>
      </c>
      <c r="J116" s="54" t="s">
        <v>173</v>
      </c>
      <c r="K116" s="54" t="s">
        <v>173</v>
      </c>
      <c r="L116" s="54" t="s">
        <v>173</v>
      </c>
      <c r="M116" s="54" t="s">
        <v>173</v>
      </c>
      <c r="N116" s="54" t="s">
        <v>173</v>
      </c>
      <c r="O116" s="91" t="s">
        <v>173</v>
      </c>
    </row>
    <row r="117" spans="1:15" x14ac:dyDescent="0.25">
      <c r="A117" s="83"/>
      <c r="B117" s="49" t="s">
        <v>195</v>
      </c>
      <c r="C117" s="50">
        <f>C81*(1+$K$68)</f>
        <v>300797.385075628</v>
      </c>
      <c r="D117" s="50">
        <v>0</v>
      </c>
      <c r="E117" s="50">
        <v>0</v>
      </c>
      <c r="F117" s="50">
        <v>0</v>
      </c>
      <c r="G117" s="50">
        <v>0</v>
      </c>
      <c r="H117" s="50">
        <v>0</v>
      </c>
      <c r="I117" s="50">
        <v>0</v>
      </c>
      <c r="J117" s="50">
        <v>0</v>
      </c>
      <c r="K117" s="50">
        <v>0</v>
      </c>
      <c r="L117" s="50">
        <v>0</v>
      </c>
      <c r="M117" s="50">
        <v>0</v>
      </c>
      <c r="N117" s="50">
        <v>0</v>
      </c>
      <c r="O117" s="90">
        <f t="shared" ref="O117:O120" si="96">SUM(C117:N117)</f>
        <v>300797.385075628</v>
      </c>
    </row>
    <row r="118" spans="1:15" x14ac:dyDescent="0.25">
      <c r="A118" s="82"/>
      <c r="B118" s="51" t="s">
        <v>178</v>
      </c>
      <c r="C118" s="50">
        <f>C82*(1+$K$68)</f>
        <v>2278768.0687547578</v>
      </c>
      <c r="D118" s="50">
        <f t="shared" ref="D118:N118" si="97">D82*(1+$K$68)</f>
        <v>2278768.0687547578</v>
      </c>
      <c r="E118" s="50">
        <f t="shared" si="97"/>
        <v>2278768.0687547578</v>
      </c>
      <c r="F118" s="50">
        <f t="shared" si="97"/>
        <v>2278768.0687547578</v>
      </c>
      <c r="G118" s="50">
        <f t="shared" si="97"/>
        <v>2278768.0687547578</v>
      </c>
      <c r="H118" s="50">
        <f t="shared" si="97"/>
        <v>2278768.0687547578</v>
      </c>
      <c r="I118" s="50">
        <f t="shared" si="97"/>
        <v>2278768.0687547578</v>
      </c>
      <c r="J118" s="50">
        <f t="shared" si="97"/>
        <v>2278768.0687547578</v>
      </c>
      <c r="K118" s="50">
        <f t="shared" si="97"/>
        <v>2278768.0687547578</v>
      </c>
      <c r="L118" s="50">
        <f t="shared" si="97"/>
        <v>2278768.0687547578</v>
      </c>
      <c r="M118" s="50">
        <f t="shared" si="97"/>
        <v>2278768.0687547578</v>
      </c>
      <c r="N118" s="50">
        <f t="shared" si="97"/>
        <v>2278768.0687547578</v>
      </c>
      <c r="O118" s="90">
        <f t="shared" si="96"/>
        <v>27345216.825057101</v>
      </c>
    </row>
    <row r="119" spans="1:15" x14ac:dyDescent="0.25">
      <c r="A119" s="84"/>
      <c r="B119" s="51" t="s">
        <v>248</v>
      </c>
      <c r="C119" s="50">
        <f>C83*(1+$K$68)</f>
        <v>273452.16825057089</v>
      </c>
      <c r="D119" s="50">
        <f t="shared" ref="D119:N119" si="98">D83*(1+$K$68)</f>
        <v>273452.16825057089</v>
      </c>
      <c r="E119" s="50">
        <f t="shared" si="98"/>
        <v>273452.16825057089</v>
      </c>
      <c r="F119" s="50">
        <f t="shared" si="98"/>
        <v>273452.16825057089</v>
      </c>
      <c r="G119" s="50">
        <f t="shared" si="98"/>
        <v>273452.16825057089</v>
      </c>
      <c r="H119" s="50">
        <f t="shared" si="98"/>
        <v>273452.16825057089</v>
      </c>
      <c r="I119" s="50">
        <f t="shared" si="98"/>
        <v>273452.16825057089</v>
      </c>
      <c r="J119" s="50">
        <f t="shared" si="98"/>
        <v>273452.16825057089</v>
      </c>
      <c r="K119" s="50">
        <f t="shared" si="98"/>
        <v>273452.16825057089</v>
      </c>
      <c r="L119" s="50">
        <f t="shared" si="98"/>
        <v>273452.16825057089</v>
      </c>
      <c r="M119" s="50">
        <f t="shared" si="98"/>
        <v>273452.16825057089</v>
      </c>
      <c r="N119" s="50">
        <f t="shared" si="98"/>
        <v>273452.16825057089</v>
      </c>
      <c r="O119" s="90">
        <f t="shared" si="96"/>
        <v>3281426.0190068516</v>
      </c>
    </row>
    <row r="120" spans="1:15" x14ac:dyDescent="0.25">
      <c r="A120" s="82"/>
      <c r="B120" s="46" t="s">
        <v>207</v>
      </c>
      <c r="C120" s="47">
        <f t="shared" ref="C120:N120" si="99">SUM(C117:C119)</f>
        <v>2853017.6220809566</v>
      </c>
      <c r="D120" s="47">
        <f t="shared" si="99"/>
        <v>2552220.2370053288</v>
      </c>
      <c r="E120" s="47">
        <f t="shared" si="99"/>
        <v>2552220.2370053288</v>
      </c>
      <c r="F120" s="47">
        <f t="shared" si="99"/>
        <v>2552220.2370053288</v>
      </c>
      <c r="G120" s="47">
        <f t="shared" si="99"/>
        <v>2552220.2370053288</v>
      </c>
      <c r="H120" s="47">
        <f t="shared" si="99"/>
        <v>2552220.2370053288</v>
      </c>
      <c r="I120" s="47">
        <f t="shared" si="99"/>
        <v>2552220.2370053288</v>
      </c>
      <c r="J120" s="47">
        <f t="shared" si="99"/>
        <v>2552220.2370053288</v>
      </c>
      <c r="K120" s="47">
        <f t="shared" si="99"/>
        <v>2552220.2370053288</v>
      </c>
      <c r="L120" s="47">
        <f t="shared" si="99"/>
        <v>2552220.2370053288</v>
      </c>
      <c r="M120" s="47">
        <f t="shared" si="99"/>
        <v>2552220.2370053288</v>
      </c>
      <c r="N120" s="47">
        <f t="shared" si="99"/>
        <v>2552220.2370053288</v>
      </c>
      <c r="O120" s="47">
        <f t="shared" si="96"/>
        <v>30927440.229139581</v>
      </c>
    </row>
    <row r="121" spans="1:15" x14ac:dyDescent="0.25">
      <c r="A121" s="82"/>
      <c r="B121" s="55" t="s">
        <v>83</v>
      </c>
      <c r="C121" s="59" t="s">
        <v>173</v>
      </c>
      <c r="D121" s="59" t="s">
        <v>173</v>
      </c>
      <c r="E121" s="59" t="s">
        <v>173</v>
      </c>
      <c r="F121" s="59" t="s">
        <v>173</v>
      </c>
      <c r="G121" s="59" t="s">
        <v>173</v>
      </c>
      <c r="H121" s="59" t="s">
        <v>173</v>
      </c>
      <c r="I121" s="59" t="s">
        <v>173</v>
      </c>
      <c r="J121" s="59" t="s">
        <v>173</v>
      </c>
      <c r="K121" s="59" t="s">
        <v>173</v>
      </c>
      <c r="L121" s="59" t="s">
        <v>173</v>
      </c>
      <c r="M121" s="59" t="s">
        <v>173</v>
      </c>
      <c r="N121" s="59" t="s">
        <v>173</v>
      </c>
      <c r="O121" s="91" t="s">
        <v>173</v>
      </c>
    </row>
    <row r="122" spans="1:15" x14ac:dyDescent="0.25">
      <c r="A122" s="82"/>
      <c r="B122" s="57" t="s">
        <v>210</v>
      </c>
      <c r="C122" s="89">
        <f t="shared" ref="C122:N122" si="100">C86*(1+$K$68)</f>
        <v>3017088.9230312994</v>
      </c>
      <c r="D122" s="89">
        <f t="shared" si="100"/>
        <v>3636913.837732594</v>
      </c>
      <c r="E122" s="89">
        <f t="shared" si="100"/>
        <v>3354346.5972070019</v>
      </c>
      <c r="F122" s="89">
        <f t="shared" si="100"/>
        <v>3135584.8626065464</v>
      </c>
      <c r="G122" s="89">
        <f t="shared" si="100"/>
        <v>2880362.8389060139</v>
      </c>
      <c r="H122" s="89">
        <f t="shared" si="100"/>
        <v>3609568.6209075348</v>
      </c>
      <c r="I122" s="89">
        <f t="shared" si="100"/>
        <v>4211163.3910587914</v>
      </c>
      <c r="J122" s="89">
        <f t="shared" si="100"/>
        <v>4037977.0178334303</v>
      </c>
      <c r="K122" s="89">
        <f t="shared" si="100"/>
        <v>3117354.7180565079</v>
      </c>
      <c r="L122" s="89">
        <f t="shared" si="100"/>
        <v>3199390.3685316797</v>
      </c>
      <c r="M122" s="89">
        <f t="shared" si="100"/>
        <v>3044434.1398563562</v>
      </c>
      <c r="N122" s="89">
        <f t="shared" si="100"/>
        <v>3290541.091281869</v>
      </c>
      <c r="O122" s="92">
        <f t="shared" ref="O122:O132" si="101">SUM(C122:N122)</f>
        <v>40534726.407009624</v>
      </c>
    </row>
    <row r="123" spans="1:15" x14ac:dyDescent="0.25">
      <c r="A123" s="82"/>
      <c r="B123" s="57" t="s">
        <v>203</v>
      </c>
      <c r="C123" s="89">
        <f t="shared" ref="C123:N123" si="102">C87*(1+$K$68)</f>
        <v>10892511.368647739</v>
      </c>
      <c r="D123" s="89">
        <f t="shared" si="102"/>
        <v>11731098.017949494</v>
      </c>
      <c r="E123" s="89">
        <f t="shared" si="102"/>
        <v>13153049.292852461</v>
      </c>
      <c r="F123" s="89">
        <f t="shared" si="102"/>
        <v>9971889.068870822</v>
      </c>
      <c r="G123" s="89">
        <f t="shared" si="102"/>
        <v>13271545.232427711</v>
      </c>
      <c r="H123" s="89">
        <f t="shared" si="102"/>
        <v>12505879.161326109</v>
      </c>
      <c r="I123" s="89">
        <f t="shared" si="102"/>
        <v>11475875.994248964</v>
      </c>
      <c r="J123" s="89">
        <f t="shared" si="102"/>
        <v>13645263.195703488</v>
      </c>
      <c r="K123" s="89">
        <f t="shared" si="102"/>
        <v>13335350.738352837</v>
      </c>
      <c r="L123" s="89">
        <f t="shared" si="102"/>
        <v>13335350.738352837</v>
      </c>
      <c r="M123" s="89">
        <f t="shared" si="102"/>
        <v>10363837.176696641</v>
      </c>
      <c r="N123" s="89">
        <f t="shared" si="102"/>
        <v>12779331.329576684</v>
      </c>
      <c r="O123" s="92">
        <f t="shared" si="101"/>
        <v>146460981.31500578</v>
      </c>
    </row>
    <row r="124" spans="1:15" x14ac:dyDescent="0.25">
      <c r="A124" s="82"/>
      <c r="B124" s="58" t="s">
        <v>84</v>
      </c>
      <c r="C124" s="89">
        <f t="shared" ref="C124:N124" si="103">C88*(1+$K$68)</f>
        <v>9634631.3946951125</v>
      </c>
      <c r="D124" s="89">
        <f t="shared" si="103"/>
        <v>10518793.40537196</v>
      </c>
      <c r="E124" s="89">
        <f t="shared" si="103"/>
        <v>10555253.694472037</v>
      </c>
      <c r="F124" s="89">
        <f t="shared" si="103"/>
        <v>10901626.440922759</v>
      </c>
      <c r="G124" s="89">
        <f t="shared" si="103"/>
        <v>12897827.269151928</v>
      </c>
      <c r="H124" s="89">
        <f t="shared" si="103"/>
        <v>11156848.464623293</v>
      </c>
      <c r="I124" s="89">
        <f t="shared" si="103"/>
        <v>11585256.861549191</v>
      </c>
      <c r="J124" s="89">
        <f t="shared" si="103"/>
        <v>13335350.738352837</v>
      </c>
      <c r="K124" s="89">
        <f t="shared" si="103"/>
        <v>12205081.776250485</v>
      </c>
      <c r="L124" s="89">
        <f t="shared" si="103"/>
        <v>12186851.631700445</v>
      </c>
      <c r="M124" s="89">
        <f t="shared" si="103"/>
        <v>13043668.425552232</v>
      </c>
      <c r="N124" s="89">
        <f t="shared" si="103"/>
        <v>10473218.043996867</v>
      </c>
      <c r="O124" s="92">
        <f t="shared" si="101"/>
        <v>138494408.14663914</v>
      </c>
    </row>
    <row r="125" spans="1:15" x14ac:dyDescent="0.25">
      <c r="A125" s="82"/>
      <c r="B125" s="58" t="s">
        <v>81</v>
      </c>
      <c r="C125" s="89">
        <f t="shared" ref="C125:N125" si="104">C89*(1+$K$68)</f>
        <v>683630.42062642751</v>
      </c>
      <c r="D125" s="89">
        <f t="shared" si="104"/>
        <v>683630.42062642751</v>
      </c>
      <c r="E125" s="89">
        <f t="shared" si="104"/>
        <v>683630.42062642751</v>
      </c>
      <c r="F125" s="89">
        <f t="shared" si="104"/>
        <v>683630.42062642751</v>
      </c>
      <c r="G125" s="89">
        <f t="shared" si="104"/>
        <v>683630.42062642751</v>
      </c>
      <c r="H125" s="89">
        <f t="shared" si="104"/>
        <v>683630.42062642751</v>
      </c>
      <c r="I125" s="89">
        <f t="shared" si="104"/>
        <v>683630.42062642751</v>
      </c>
      <c r="J125" s="89">
        <f t="shared" si="104"/>
        <v>683630.42062642751</v>
      </c>
      <c r="K125" s="89">
        <f t="shared" si="104"/>
        <v>683630.42062642751</v>
      </c>
      <c r="L125" s="89">
        <f t="shared" si="104"/>
        <v>683630.42062642751</v>
      </c>
      <c r="M125" s="89">
        <f t="shared" si="104"/>
        <v>683630.42062642751</v>
      </c>
      <c r="N125" s="89">
        <f t="shared" si="104"/>
        <v>683630.42062642751</v>
      </c>
      <c r="O125" s="92">
        <f t="shared" si="101"/>
        <v>8203565.047517132</v>
      </c>
    </row>
    <row r="126" spans="1:15" x14ac:dyDescent="0.25">
      <c r="A126" s="82"/>
      <c r="B126" s="57" t="s">
        <v>85</v>
      </c>
      <c r="C126" s="89">
        <f t="shared" ref="C126:N126" si="105">C90*(1+$K$68)</f>
        <v>11193308.753723372</v>
      </c>
      <c r="D126" s="89">
        <f t="shared" si="105"/>
        <v>9579940.9610450044</v>
      </c>
      <c r="E126" s="89">
        <f t="shared" si="105"/>
        <v>9917198.6352207046</v>
      </c>
      <c r="F126" s="89">
        <f t="shared" si="105"/>
        <v>10072154.863896027</v>
      </c>
      <c r="G126" s="89">
        <f t="shared" si="105"/>
        <v>13544997.400678279</v>
      </c>
      <c r="H126" s="89">
        <f t="shared" si="105"/>
        <v>9944543.852045767</v>
      </c>
      <c r="I126" s="89">
        <f t="shared" si="105"/>
        <v>11539681.500174092</v>
      </c>
      <c r="J126" s="89">
        <f t="shared" si="105"/>
        <v>9133302.4195690695</v>
      </c>
      <c r="K126" s="89">
        <f t="shared" si="105"/>
        <v>11876939.174349802</v>
      </c>
      <c r="L126" s="89">
        <f t="shared" si="105"/>
        <v>9434099.8046446946</v>
      </c>
      <c r="M126" s="89">
        <f t="shared" si="105"/>
        <v>12013665.258475084</v>
      </c>
      <c r="N126" s="89">
        <f t="shared" si="105"/>
        <v>11439415.705148883</v>
      </c>
      <c r="O126" s="92">
        <f t="shared" si="101"/>
        <v>129689248.32897076</v>
      </c>
    </row>
    <row r="127" spans="1:15" x14ac:dyDescent="0.25">
      <c r="A127" s="84"/>
      <c r="B127" s="58" t="s">
        <v>249</v>
      </c>
      <c r="C127" s="89">
        <f t="shared" ref="C127:N127" si="106">C114*5%</f>
        <v>9935859.1388906315</v>
      </c>
      <c r="D127" s="89">
        <f t="shared" si="106"/>
        <v>9935859.1388906315</v>
      </c>
      <c r="E127" s="89">
        <f t="shared" si="106"/>
        <v>9935859.1388906315</v>
      </c>
      <c r="F127" s="89">
        <f t="shared" si="106"/>
        <v>9935859.1388906315</v>
      </c>
      <c r="G127" s="89">
        <f t="shared" si="106"/>
        <v>9935859.1388906315</v>
      </c>
      <c r="H127" s="89">
        <f t="shared" si="106"/>
        <v>9935859.1388906315</v>
      </c>
      <c r="I127" s="89">
        <f t="shared" si="106"/>
        <v>9935859.1388906315</v>
      </c>
      <c r="J127" s="89">
        <f t="shared" si="106"/>
        <v>9935859.1388906315</v>
      </c>
      <c r="K127" s="89">
        <f t="shared" si="106"/>
        <v>9935859.1388906315</v>
      </c>
      <c r="L127" s="89">
        <f t="shared" si="106"/>
        <v>9935859.1388906315</v>
      </c>
      <c r="M127" s="89">
        <f t="shared" si="106"/>
        <v>9935859.1388906315</v>
      </c>
      <c r="N127" s="89">
        <f t="shared" si="106"/>
        <v>9935859.1388906315</v>
      </c>
      <c r="O127" s="92">
        <f t="shared" si="101"/>
        <v>119230309.66668755</v>
      </c>
    </row>
    <row r="128" spans="1:15" x14ac:dyDescent="0.25">
      <c r="A128" s="84"/>
      <c r="B128" s="58" t="s">
        <v>180</v>
      </c>
      <c r="C128" s="89">
        <f>'7.5. Stage 5&amp;6 budget'!C92*(1+'7.5. Stage 5&amp;6 budget'!$K$68)</f>
        <v>13235084.943327628</v>
      </c>
      <c r="D128" s="89">
        <f>'7.5. Stage 5&amp;6 budget'!D92*(1+'7.5. Stage 5&amp;6 budget'!$K$68)</f>
        <v>13061898.570102267</v>
      </c>
      <c r="E128" s="89">
        <f>'7.5. Stage 5&amp;6 budget'!E92*(1+'7.5. Stage 5&amp;6 budget'!$K$68)</f>
        <v>10856051.079547668</v>
      </c>
      <c r="F128" s="89">
        <f>'7.5. Stage 5&amp;6 budget'!F92*(1+'7.5. Stage 5&amp;6 budget'!$K$68)</f>
        <v>11986320.041650029</v>
      </c>
      <c r="G128" s="89">
        <f>'7.5. Stage 5&amp;6 budget'!G92*(1+'7.5. Stage 5&amp;6 budget'!$K$68)</f>
        <v>9452329.9491947368</v>
      </c>
      <c r="H128" s="89">
        <f>'7.5. Stage 5&amp;6 budget'!H92*(1+'7.5. Stage 5&amp;6 budget'!$K$68)</f>
        <v>10509678.333096944</v>
      </c>
      <c r="I128" s="89">
        <f>'7.5. Stage 5&amp;6 budget'!I92*(1+'7.5. Stage 5&amp;6 budget'!$K$68)</f>
        <v>10874281.224097708</v>
      </c>
      <c r="J128" s="89">
        <f>'7.5. Stage 5&amp;6 budget'!J92*(1+'7.5. Stage 5&amp;6 budget'!$K$68)</f>
        <v>12888712.196876906</v>
      </c>
      <c r="K128" s="89">
        <f>'7.5. Stage 5&amp;6 budget'!K92*(1+'7.5. Stage 5&amp;6 budget'!$K$68)</f>
        <v>10090385.008446066</v>
      </c>
      <c r="L128" s="89">
        <f>'7.5. Stage 5&amp;6 budget'!L92*(1+'7.5. Stage 5&amp;6 budget'!$K$68)</f>
        <v>10801360.645897547</v>
      </c>
      <c r="M128" s="89">
        <f>'7.5. Stage 5&amp;6 budget'!M92*(1+'7.5. Stage 5&amp;6 budget'!$K$68)</f>
        <v>10819590.790447585</v>
      </c>
      <c r="N128" s="89">
        <f>'7.5. Stage 5&amp;6 budget'!N92*(1+'7.5. Stage 5&amp;6 budget'!$K$68)</f>
        <v>10546138.622197023</v>
      </c>
      <c r="O128" s="92">
        <f t="shared" si="101"/>
        <v>135121831.4048821</v>
      </c>
    </row>
    <row r="129" spans="1:25" x14ac:dyDescent="0.25">
      <c r="A129" s="84"/>
      <c r="B129" s="58" t="s">
        <v>417</v>
      </c>
      <c r="C129" s="89">
        <f>'13. Insurance package'!$H$2/12*2</f>
        <v>7499166.666666667</v>
      </c>
      <c r="D129" s="89">
        <f>'13. Insurance package'!$H$2/12*2</f>
        <v>7499166.666666667</v>
      </c>
      <c r="E129" s="89">
        <f>'13. Insurance package'!$H$2/12*2</f>
        <v>7499166.666666667</v>
      </c>
      <c r="F129" s="89">
        <f>'13. Insurance package'!$H$2/12*2</f>
        <v>7499166.666666667</v>
      </c>
      <c r="G129" s="89">
        <f>'13. Insurance package'!$H$2/12*2</f>
        <v>7499166.666666667</v>
      </c>
      <c r="H129" s="89">
        <f>'13. Insurance package'!$H$2/12*2</f>
        <v>7499166.666666667</v>
      </c>
      <c r="I129" s="89">
        <f>'13. Insurance package'!$H$2/12*2</f>
        <v>7499166.666666667</v>
      </c>
      <c r="J129" s="89">
        <f>'13. Insurance package'!$H$2/12*2</f>
        <v>7499166.666666667</v>
      </c>
      <c r="K129" s="89">
        <f>'13. Insurance package'!$H$2/12*2</f>
        <v>7499166.666666667</v>
      </c>
      <c r="L129" s="89">
        <f>'13. Insurance package'!$H$2/12*2</f>
        <v>7499166.666666667</v>
      </c>
      <c r="M129" s="89">
        <f>'13. Insurance package'!$H$2/12*2</f>
        <v>7499166.666666667</v>
      </c>
      <c r="N129" s="89">
        <f>'13. Insurance package'!$H$2/12*2</f>
        <v>7499166.666666667</v>
      </c>
      <c r="O129" s="92">
        <f t="shared" ref="O129" si="107">SUM(C129:N129)</f>
        <v>89990000.000000015</v>
      </c>
    </row>
    <row r="130" spans="1:25" x14ac:dyDescent="0.25">
      <c r="A130" s="84"/>
      <c r="B130" s="58" t="s">
        <v>86</v>
      </c>
      <c r="C130" s="89">
        <f>'7.5. Stage 5&amp;6 budget'!C94*(1+'7.5. Stage 5&amp;6 budget'!$K$68)</f>
        <v>9634631.3946951125</v>
      </c>
      <c r="D130" s="89">
        <f>'7.5. Stage 5&amp;6 budget'!D94*(1+'7.5. Stage 5&amp;6 budget'!$K$68)</f>
        <v>9525250.5273948852</v>
      </c>
      <c r="E130" s="89">
        <f>'7.5. Stage 5&amp;6 budget'!E94*(1+'7.5. Stage 5&amp;6 budget'!$K$68)</f>
        <v>9242683.2868693005</v>
      </c>
      <c r="F130" s="89">
        <f>'7.5. Stage 5&amp;6 budget'!F94*(1+'7.5. Stage 5&amp;6 budget'!$K$68)</f>
        <v>12059240.619850175</v>
      </c>
      <c r="G130" s="89">
        <f>'7.5. Stage 5&amp;6 budget'!G94*(1+'7.5. Stage 5&amp;6 budget'!$K$68)</f>
        <v>11220653.970548427</v>
      </c>
      <c r="H130" s="89">
        <f>'7.5. Stage 5&amp;6 budget'!H94*(1+'7.5. Stage 5&amp;6 budget'!$K$68)</f>
        <v>9342949.0818945058</v>
      </c>
      <c r="I130" s="89">
        <f>'7.5. Stage 5&amp;6 budget'!I94*(1+'7.5. Stage 5&amp;6 budget'!$K$68)</f>
        <v>12669950.462276453</v>
      </c>
      <c r="J130" s="89">
        <f>'7.5. Stage 5&amp;6 budget'!J94*(1+'7.5. Stage 5&amp;6 budget'!$K$68)</f>
        <v>12159506.414875388</v>
      </c>
      <c r="K130" s="89">
        <f>'7.5. Stage 5&amp;6 budget'!K94*(1+'7.5. Stage 5&amp;6 budget'!$K$68)</f>
        <v>9789587.6233704407</v>
      </c>
      <c r="L130" s="89">
        <f>'7.5. Stage 5&amp;6 budget'!L94*(1+'7.5. Stage 5&amp;6 budget'!$K$68)</f>
        <v>10126845.297546143</v>
      </c>
      <c r="M130" s="89">
        <f>'7.5. Stage 5&amp;6 budget'!M94*(1+'7.5. Stage 5&amp;6 budget'!$K$68)</f>
        <v>12314462.643550709</v>
      </c>
      <c r="N130" s="89">
        <f>'7.5. Stage 5&amp;6 budget'!N94*(1+'7.5. Stage 5&amp;6 budget'!$K$68)</f>
        <v>12961632.775077065</v>
      </c>
      <c r="O130" s="92">
        <f t="shared" si="101"/>
        <v>131047394.09794861</v>
      </c>
    </row>
    <row r="131" spans="1:25" x14ac:dyDescent="0.25">
      <c r="A131" s="82"/>
      <c r="B131" s="46" t="s">
        <v>208</v>
      </c>
      <c r="C131" s="47">
        <f t="shared" ref="C131:N131" si="108">SUM(C122:C130)</f>
        <v>75725913.004303992</v>
      </c>
      <c r="D131" s="47">
        <f t="shared" si="108"/>
        <v>76172551.545779929</v>
      </c>
      <c r="E131" s="47">
        <f t="shared" si="108"/>
        <v>75197238.812352896</v>
      </c>
      <c r="F131" s="47">
        <f t="shared" si="108"/>
        <v>76245472.123980075</v>
      </c>
      <c r="G131" s="47">
        <f t="shared" si="108"/>
        <v>81386372.887090817</v>
      </c>
      <c r="H131" s="47">
        <f t="shared" si="108"/>
        <v>75188123.740077883</v>
      </c>
      <c r="I131" s="47">
        <f t="shared" si="108"/>
        <v>80474865.659588933</v>
      </c>
      <c r="J131" s="47">
        <f t="shared" si="108"/>
        <v>83318768.209394842</v>
      </c>
      <c r="K131" s="47">
        <f t="shared" si="108"/>
        <v>78533355.265009865</v>
      </c>
      <c r="L131" s="47">
        <f t="shared" si="108"/>
        <v>77202554.712857068</v>
      </c>
      <c r="M131" s="47">
        <f t="shared" si="108"/>
        <v>79718314.66076234</v>
      </c>
      <c r="N131" s="47">
        <f t="shared" si="108"/>
        <v>79608933.793462113</v>
      </c>
      <c r="O131" s="47">
        <f t="shared" si="101"/>
        <v>938772464.41466081</v>
      </c>
    </row>
    <row r="132" spans="1:25" x14ac:dyDescent="0.25">
      <c r="A132" s="82"/>
      <c r="B132" s="60" t="s">
        <v>87</v>
      </c>
      <c r="C132" s="47">
        <f t="shared" ref="C132:N132" si="109">C120+C131</f>
        <v>78578930.626384944</v>
      </c>
      <c r="D132" s="47">
        <f t="shared" si="109"/>
        <v>78724771.782785252</v>
      </c>
      <c r="E132" s="47">
        <f t="shared" si="109"/>
        <v>77749459.049358219</v>
      </c>
      <c r="F132" s="47">
        <f t="shared" si="109"/>
        <v>78797692.360985398</v>
      </c>
      <c r="G132" s="47">
        <f t="shared" si="109"/>
        <v>83938593.12409614</v>
      </c>
      <c r="H132" s="47">
        <f t="shared" si="109"/>
        <v>77740343.977083206</v>
      </c>
      <c r="I132" s="47">
        <f t="shared" si="109"/>
        <v>83027085.896594256</v>
      </c>
      <c r="J132" s="47">
        <f t="shared" si="109"/>
        <v>85870988.446400166</v>
      </c>
      <c r="K132" s="47">
        <f t="shared" si="109"/>
        <v>81085575.502015188</v>
      </c>
      <c r="L132" s="47">
        <f t="shared" si="109"/>
        <v>79754774.949862391</v>
      </c>
      <c r="M132" s="47">
        <f t="shared" si="109"/>
        <v>82270534.897767663</v>
      </c>
      <c r="N132" s="47">
        <f t="shared" si="109"/>
        <v>82161154.030467436</v>
      </c>
      <c r="O132" s="47">
        <f t="shared" si="101"/>
        <v>969699904.64380026</v>
      </c>
    </row>
    <row r="133" spans="1:25" s="11" customFormat="1" x14ac:dyDescent="0.25">
      <c r="A133" s="82"/>
      <c r="B133" s="108" t="s">
        <v>204</v>
      </c>
      <c r="C133" s="109">
        <f>$O132*(3/12)/12</f>
        <v>20202081.346745837</v>
      </c>
      <c r="D133" s="109">
        <f t="shared" ref="D133" si="110">$O132*(3/12)/12</f>
        <v>20202081.346745837</v>
      </c>
      <c r="E133" s="109">
        <f t="shared" ref="E133" si="111">$O132*(3/12)/12</f>
        <v>20202081.346745837</v>
      </c>
      <c r="F133" s="109">
        <f t="shared" ref="F133" si="112">$O132*(3/12)/12</f>
        <v>20202081.346745837</v>
      </c>
      <c r="G133" s="109">
        <f t="shared" ref="G133" si="113">$O132*(3/12)/12</f>
        <v>20202081.346745837</v>
      </c>
      <c r="H133" s="109">
        <f t="shared" ref="H133" si="114">$O132*(3/12)/12</f>
        <v>20202081.346745837</v>
      </c>
      <c r="I133" s="109">
        <f t="shared" ref="I133" si="115">$O132*(3/12)/12</f>
        <v>20202081.346745837</v>
      </c>
      <c r="J133" s="109">
        <f t="shared" ref="J133" si="116">$O132*(3/12)/12</f>
        <v>20202081.346745837</v>
      </c>
      <c r="K133" s="109">
        <f t="shared" ref="K133" si="117">$O132*(3/12)/12</f>
        <v>20202081.346745837</v>
      </c>
      <c r="L133" s="109">
        <f t="shared" ref="L133" si="118">$O132*(3/12)/12</f>
        <v>20202081.346745837</v>
      </c>
      <c r="M133" s="109">
        <f t="shared" ref="M133" si="119">$O132*(3/12)/12</f>
        <v>20202081.346745837</v>
      </c>
      <c r="N133" s="109">
        <f t="shared" ref="N133" si="120">$O132*(3/12)/12</f>
        <v>20202081.346745837</v>
      </c>
      <c r="O133" s="109">
        <f t="shared" ref="O133:O136" si="121">SUM(C133:N133)</f>
        <v>242424976.16095009</v>
      </c>
      <c r="P133" s="43"/>
      <c r="Q133" s="43"/>
      <c r="R133" s="40"/>
      <c r="S133" s="40"/>
      <c r="T133" s="40"/>
      <c r="U133" s="40"/>
      <c r="V133" s="40"/>
      <c r="W133" s="40"/>
      <c r="X133" s="40"/>
      <c r="Y133" s="40"/>
    </row>
    <row r="134" spans="1:25" s="11" customFormat="1" x14ac:dyDescent="0.25">
      <c r="A134" s="82"/>
      <c r="B134" s="108" t="s">
        <v>82</v>
      </c>
      <c r="C134" s="109">
        <f>'6. Mortgage payment'!$C$7</f>
        <v>28168245.060798287</v>
      </c>
      <c r="D134" s="109">
        <f>'6. Mortgage payment'!$C$7</f>
        <v>28168245.060798287</v>
      </c>
      <c r="E134" s="109">
        <f>'6. Mortgage payment'!$C$7</f>
        <v>28168245.060798287</v>
      </c>
      <c r="F134" s="109">
        <f>'6. Mortgage payment'!$C$7</f>
        <v>28168245.060798287</v>
      </c>
      <c r="G134" s="109">
        <f>'6. Mortgage payment'!$C$7</f>
        <v>28168245.060798287</v>
      </c>
      <c r="H134" s="109">
        <f>'6. Mortgage payment'!$C$7</f>
        <v>28168245.060798287</v>
      </c>
      <c r="I134" s="109">
        <f>'6. Mortgage payment'!$C$7</f>
        <v>28168245.060798287</v>
      </c>
      <c r="J134" s="109">
        <f>'6. Mortgage payment'!$C$7</f>
        <v>28168245.060798287</v>
      </c>
      <c r="K134" s="109">
        <f>'6. Mortgage payment'!$C$7</f>
        <v>28168245.060798287</v>
      </c>
      <c r="L134" s="109">
        <f>'6. Mortgage payment'!$C$7</f>
        <v>28168245.060798287</v>
      </c>
      <c r="M134" s="109">
        <f>'6. Mortgage payment'!$C$7</f>
        <v>28168245.060798287</v>
      </c>
      <c r="N134" s="109">
        <f>'6. Mortgage payment'!$C$7</f>
        <v>28168245.060798287</v>
      </c>
      <c r="O134" s="109">
        <f t="shared" si="121"/>
        <v>338018940.72957945</v>
      </c>
      <c r="P134" s="43"/>
      <c r="Q134" s="43"/>
      <c r="R134" s="40"/>
      <c r="S134" s="40"/>
      <c r="T134" s="40"/>
      <c r="U134" s="40"/>
      <c r="V134" s="40"/>
      <c r="W134" s="40"/>
      <c r="X134" s="40"/>
      <c r="Y134" s="40"/>
    </row>
    <row r="135" spans="1:25" s="11" customFormat="1" x14ac:dyDescent="0.25">
      <c r="A135" s="82"/>
      <c r="B135" s="108" t="s">
        <v>251</v>
      </c>
      <c r="C135" s="109">
        <f>-PMT(4%,18*12,(150000000*8)/(1+4%)^18)</f>
        <v>23699110.369091634</v>
      </c>
      <c r="D135" s="109">
        <f t="shared" ref="D135:N135" si="122">-PMT(4%,18*12,(150000000*8)/(1+4%)^18)</f>
        <v>23699110.369091634</v>
      </c>
      <c r="E135" s="109">
        <f t="shared" si="122"/>
        <v>23699110.369091634</v>
      </c>
      <c r="F135" s="109">
        <f t="shared" si="122"/>
        <v>23699110.369091634</v>
      </c>
      <c r="G135" s="109">
        <f t="shared" si="122"/>
        <v>23699110.369091634</v>
      </c>
      <c r="H135" s="109">
        <f t="shared" si="122"/>
        <v>23699110.369091634</v>
      </c>
      <c r="I135" s="109">
        <f t="shared" si="122"/>
        <v>23699110.369091634</v>
      </c>
      <c r="J135" s="109">
        <f t="shared" si="122"/>
        <v>23699110.369091634</v>
      </c>
      <c r="K135" s="109">
        <f t="shared" si="122"/>
        <v>23699110.369091634</v>
      </c>
      <c r="L135" s="109">
        <f t="shared" si="122"/>
        <v>23699110.369091634</v>
      </c>
      <c r="M135" s="109">
        <f t="shared" si="122"/>
        <v>23699110.369091634</v>
      </c>
      <c r="N135" s="109">
        <f t="shared" si="122"/>
        <v>23699110.369091634</v>
      </c>
      <c r="O135" s="109">
        <f t="shared" ref="O135" si="123">SUM(C135:N135)</f>
        <v>284389324.42909962</v>
      </c>
      <c r="P135" s="43"/>
      <c r="Q135" s="43"/>
      <c r="R135" s="40"/>
      <c r="S135" s="40"/>
      <c r="T135" s="40"/>
      <c r="U135" s="40"/>
      <c r="V135" s="40"/>
      <c r="W135" s="40"/>
      <c r="X135" s="40"/>
      <c r="Y135" s="40"/>
    </row>
    <row r="136" spans="1:25" s="11" customFormat="1" x14ac:dyDescent="0.25">
      <c r="A136" s="82"/>
      <c r="B136" s="108" t="s">
        <v>386</v>
      </c>
      <c r="C136" s="109">
        <f>C100*(1+$K$68)</f>
        <v>2497610.2609655829</v>
      </c>
      <c r="D136" s="109">
        <v>0</v>
      </c>
      <c r="E136" s="109">
        <v>0</v>
      </c>
      <c r="F136" s="109">
        <v>0</v>
      </c>
      <c r="G136" s="109">
        <v>0</v>
      </c>
      <c r="H136" s="109">
        <v>0</v>
      </c>
      <c r="I136" s="109">
        <v>0</v>
      </c>
      <c r="J136" s="109">
        <v>0</v>
      </c>
      <c r="K136" s="109">
        <v>0</v>
      </c>
      <c r="L136" s="109">
        <v>0</v>
      </c>
      <c r="M136" s="109">
        <v>0</v>
      </c>
      <c r="N136" s="109">
        <v>0</v>
      </c>
      <c r="O136" s="109">
        <f t="shared" si="121"/>
        <v>2497610.2609655829</v>
      </c>
      <c r="P136" s="43"/>
      <c r="Q136" s="43"/>
      <c r="R136" s="40"/>
      <c r="S136" s="40"/>
      <c r="T136" s="40"/>
      <c r="U136" s="40"/>
      <c r="V136" s="40"/>
      <c r="W136" s="40"/>
      <c r="X136" s="40"/>
      <c r="Y136" s="40"/>
    </row>
    <row r="137" spans="1:25" s="11" customFormat="1" x14ac:dyDescent="0.25">
      <c r="A137" s="82"/>
      <c r="B137" s="60" t="s">
        <v>206</v>
      </c>
      <c r="C137" s="61">
        <f t="shared" ref="C137:N137" si="124">C114-C132-C133-C134-C136-C135</f>
        <v>45571205.113826349</v>
      </c>
      <c r="D137" s="61">
        <f t="shared" si="124"/>
        <v>47922974.218391627</v>
      </c>
      <c r="E137" s="61">
        <f t="shared" si="124"/>
        <v>48898286.95181866</v>
      </c>
      <c r="F137" s="61">
        <f t="shared" si="124"/>
        <v>47850053.640191481</v>
      </c>
      <c r="G137" s="61">
        <f t="shared" si="124"/>
        <v>42709152.877080739</v>
      </c>
      <c r="H137" s="61">
        <f t="shared" si="124"/>
        <v>48907402.024093673</v>
      </c>
      <c r="I137" s="61">
        <f t="shared" si="124"/>
        <v>43620660.104582623</v>
      </c>
      <c r="J137" s="61">
        <f t="shared" si="124"/>
        <v>40776757.554776713</v>
      </c>
      <c r="K137" s="61">
        <f t="shared" si="124"/>
        <v>45562170.49916169</v>
      </c>
      <c r="L137" s="61">
        <f t="shared" si="124"/>
        <v>46892971.051314488</v>
      </c>
      <c r="M137" s="61">
        <f t="shared" si="124"/>
        <v>44377211.103409216</v>
      </c>
      <c r="N137" s="61">
        <f t="shared" si="124"/>
        <v>44486591.970709443</v>
      </c>
      <c r="O137" s="47">
        <f t="shared" ref="O137" si="125">SUM(C137:N137)</f>
        <v>547575437.10935664</v>
      </c>
      <c r="P137" s="43"/>
      <c r="Q137" s="43"/>
      <c r="R137" s="40"/>
      <c r="S137" s="40"/>
      <c r="T137" s="40"/>
      <c r="U137" s="40"/>
      <c r="V137" s="40"/>
      <c r="W137" s="40"/>
      <c r="X137" s="40"/>
      <c r="Y137" s="40"/>
    </row>
    <row r="138" spans="1:25" x14ac:dyDescent="0.25">
      <c r="A138" s="85"/>
      <c r="B138" s="40"/>
      <c r="C138" s="40"/>
      <c r="D138" s="40"/>
      <c r="E138" s="40"/>
      <c r="F138" s="40"/>
      <c r="G138" s="40"/>
      <c r="H138" s="40"/>
      <c r="I138" s="40"/>
      <c r="J138" s="40"/>
      <c r="K138" s="40"/>
      <c r="L138" s="353" t="s">
        <v>217</v>
      </c>
      <c r="M138" s="354"/>
      <c r="N138" s="350">
        <f>SUM(C137:N137)+N102</f>
        <v>8712192636.5997524</v>
      </c>
      <c r="O138" s="40"/>
    </row>
    <row r="139" spans="1:25" x14ac:dyDescent="0.25">
      <c r="A139" s="85"/>
      <c r="B139" s="40"/>
      <c r="C139" s="40"/>
      <c r="D139" s="40"/>
      <c r="E139" s="40"/>
      <c r="F139" s="40"/>
      <c r="G139" s="40"/>
      <c r="H139" s="40"/>
      <c r="I139" s="40"/>
      <c r="J139" s="40"/>
      <c r="K139" s="40"/>
      <c r="L139" s="320"/>
      <c r="M139" s="355"/>
      <c r="N139" s="351"/>
      <c r="O139" s="40"/>
    </row>
    <row r="140" spans="1:25" x14ac:dyDescent="0.25">
      <c r="A140" s="85"/>
      <c r="B140" s="319" t="s">
        <v>632</v>
      </c>
      <c r="C140" s="352" t="s">
        <v>173</v>
      </c>
      <c r="D140" s="352"/>
      <c r="E140" s="352"/>
      <c r="F140" s="352"/>
      <c r="G140" s="352"/>
      <c r="H140" s="352"/>
      <c r="I140" s="40"/>
      <c r="J140" s="358" t="s">
        <v>231</v>
      </c>
      <c r="K140" s="359">
        <v>0.04</v>
      </c>
      <c r="L140" s="40"/>
      <c r="M140" s="40"/>
      <c r="N140" s="40"/>
      <c r="O140" s="361"/>
    </row>
    <row r="141" spans="1:25" x14ac:dyDescent="0.25">
      <c r="A141" s="85"/>
      <c r="B141" s="319"/>
      <c r="C141" s="352"/>
      <c r="D141" s="352"/>
      <c r="E141" s="352"/>
      <c r="F141" s="352"/>
      <c r="G141" s="352"/>
      <c r="H141" s="352"/>
      <c r="I141" s="40"/>
      <c r="J141" s="358"/>
      <c r="K141" s="360"/>
      <c r="L141" s="40"/>
      <c r="M141" s="40"/>
      <c r="N141" s="40"/>
      <c r="O141" s="362"/>
    </row>
    <row r="142" spans="1:25" x14ac:dyDescent="0.25">
      <c r="A142" s="85"/>
      <c r="B142" s="319"/>
      <c r="C142" s="352"/>
      <c r="D142" s="352"/>
      <c r="E142" s="352"/>
      <c r="F142" s="352"/>
      <c r="G142" s="352"/>
      <c r="H142" s="352"/>
      <c r="I142" s="40"/>
      <c r="J142" s="40"/>
      <c r="K142" s="40"/>
      <c r="L142" s="40"/>
      <c r="M142" s="40"/>
      <c r="N142" s="40"/>
      <c r="O142" s="40"/>
    </row>
    <row r="145" spans="1:15" ht="24.6" x14ac:dyDescent="0.25">
      <c r="A145" s="96"/>
      <c r="B145" s="348" t="s">
        <v>264</v>
      </c>
      <c r="C145" s="348"/>
      <c r="D145" s="348"/>
      <c r="E145" s="348"/>
      <c r="F145" s="348"/>
      <c r="G145" s="348"/>
      <c r="H145" s="348"/>
      <c r="I145" s="348"/>
      <c r="J145" s="348"/>
      <c r="K145" s="348"/>
      <c r="L145" s="348"/>
      <c r="M145" s="348"/>
      <c r="N145" s="348"/>
      <c r="O145" s="348"/>
    </row>
    <row r="146" spans="1:15" ht="24.6" x14ac:dyDescent="0.25">
      <c r="A146" s="96"/>
      <c r="B146" s="349"/>
      <c r="C146" s="349"/>
      <c r="D146" s="349"/>
      <c r="E146" s="349"/>
      <c r="F146" s="349"/>
      <c r="G146" s="349"/>
      <c r="H146" s="349"/>
      <c r="I146" s="349"/>
      <c r="J146" s="349"/>
      <c r="K146" s="349"/>
      <c r="L146" s="349"/>
      <c r="M146" s="349"/>
      <c r="N146" s="349"/>
      <c r="O146" s="349"/>
    </row>
    <row r="147" spans="1:15" x14ac:dyDescent="0.25">
      <c r="A147" s="82"/>
      <c r="B147" s="41"/>
      <c r="C147" s="42" t="s">
        <v>66</v>
      </c>
      <c r="D147" s="42" t="s">
        <v>67</v>
      </c>
      <c r="E147" s="42" t="s">
        <v>68</v>
      </c>
      <c r="F147" s="42" t="s">
        <v>69</v>
      </c>
      <c r="G147" s="42" t="s">
        <v>70</v>
      </c>
      <c r="H147" s="42" t="s">
        <v>71</v>
      </c>
      <c r="I147" s="42" t="s">
        <v>72</v>
      </c>
      <c r="J147" s="42" t="s">
        <v>73</v>
      </c>
      <c r="K147" s="42" t="s">
        <v>74</v>
      </c>
      <c r="L147" s="42" t="s">
        <v>75</v>
      </c>
      <c r="M147" s="42" t="s">
        <v>76</v>
      </c>
      <c r="N147" s="42" t="s">
        <v>77</v>
      </c>
      <c r="O147" s="42" t="s">
        <v>236</v>
      </c>
    </row>
    <row r="148" spans="1:15" x14ac:dyDescent="0.25">
      <c r="A148" s="82"/>
      <c r="B148" s="44" t="s">
        <v>194</v>
      </c>
      <c r="C148" s="45">
        <f>'3.1. My Income Tax Calculation'!$P$24/12</f>
        <v>137660718.18716839</v>
      </c>
      <c r="D148" s="45">
        <f>'3.1. My Income Tax Calculation'!$P$24/12</f>
        <v>137660718.18716839</v>
      </c>
      <c r="E148" s="45">
        <f>'3.1. My Income Tax Calculation'!$P$24/12</f>
        <v>137660718.18716839</v>
      </c>
      <c r="F148" s="45">
        <f>'3.1. My Income Tax Calculation'!$P$24/12</f>
        <v>137660718.18716839</v>
      </c>
      <c r="G148" s="45">
        <f>'3.1. My Income Tax Calculation'!$P$24/12</f>
        <v>137660718.18716839</v>
      </c>
      <c r="H148" s="45">
        <f>'3.1. My Income Tax Calculation'!$P$24/12</f>
        <v>137660718.18716839</v>
      </c>
      <c r="I148" s="45">
        <f>'3.1. My Income Tax Calculation'!$P$24/12</f>
        <v>137660718.18716839</v>
      </c>
      <c r="J148" s="45">
        <f>'3.1. My Income Tax Calculation'!$P$24/12</f>
        <v>137660718.18716839</v>
      </c>
      <c r="K148" s="45">
        <f>'3.1. My Income Tax Calculation'!$P$24/12</f>
        <v>137660718.18716839</v>
      </c>
      <c r="L148" s="45">
        <f>'3.1. My Income Tax Calculation'!$P$24/12</f>
        <v>137660718.18716839</v>
      </c>
      <c r="M148" s="45">
        <f>'3.1. My Income Tax Calculation'!$P$24/12</f>
        <v>137660718.18716839</v>
      </c>
      <c r="N148" s="45">
        <f>'3.1. My Income Tax Calculation'!$P$24/12</f>
        <v>137660718.18716839</v>
      </c>
      <c r="O148" s="45" t="s">
        <v>173</v>
      </c>
    </row>
    <row r="149" spans="1:15" x14ac:dyDescent="0.25">
      <c r="A149" s="82"/>
      <c r="B149" s="44" t="s">
        <v>246</v>
      </c>
      <c r="C149" s="45">
        <f>'3.2. My wife''s Tax Calc'!$P$24/12</f>
        <v>61987526.146526791</v>
      </c>
      <c r="D149" s="45">
        <f>'3.2. My wife''s Tax Calc'!$P$24/12</f>
        <v>61987526.146526791</v>
      </c>
      <c r="E149" s="45">
        <f>'3.2. My wife''s Tax Calc'!$P$24/12</f>
        <v>61987526.146526791</v>
      </c>
      <c r="F149" s="45">
        <f>'3.2. My wife''s Tax Calc'!$P$24/12</f>
        <v>61987526.146526791</v>
      </c>
      <c r="G149" s="45">
        <f>'3.2. My wife''s Tax Calc'!$P$24/12</f>
        <v>61987526.146526791</v>
      </c>
      <c r="H149" s="45">
        <f>'3.2. My wife''s Tax Calc'!$P$24/12</f>
        <v>61987526.146526791</v>
      </c>
      <c r="I149" s="45">
        <f>'3.2. My wife''s Tax Calc'!$P$24/12</f>
        <v>61987526.146526791</v>
      </c>
      <c r="J149" s="45">
        <f>'3.2. My wife''s Tax Calc'!$P$24/12</f>
        <v>61987526.146526791</v>
      </c>
      <c r="K149" s="45">
        <f>'3.2. My wife''s Tax Calc'!$P$24/12</f>
        <v>61987526.146526791</v>
      </c>
      <c r="L149" s="45">
        <f>'3.2. My wife''s Tax Calc'!$P$24/12</f>
        <v>61987526.146526791</v>
      </c>
      <c r="M149" s="45">
        <f>'3.2. My wife''s Tax Calc'!$P$24/12</f>
        <v>61987526.146526791</v>
      </c>
      <c r="N149" s="45">
        <f>'3.2. My wife''s Tax Calc'!$P$24/12</f>
        <v>61987526.146526791</v>
      </c>
      <c r="O149" s="45" t="s">
        <v>173</v>
      </c>
    </row>
    <row r="150" spans="1:15" x14ac:dyDescent="0.25">
      <c r="A150" s="82"/>
      <c r="B150" s="46" t="s">
        <v>209</v>
      </c>
      <c r="C150" s="47">
        <f>SUM(C148:C149)</f>
        <v>199648244.33369517</v>
      </c>
      <c r="D150" s="47">
        <f t="shared" ref="D150" si="126">SUM(D148:D149)</f>
        <v>199648244.33369517</v>
      </c>
      <c r="E150" s="47">
        <f t="shared" ref="E150" si="127">SUM(E148:E149)</f>
        <v>199648244.33369517</v>
      </c>
      <c r="F150" s="47">
        <f t="shared" ref="F150" si="128">SUM(F148:F149)</f>
        <v>199648244.33369517</v>
      </c>
      <c r="G150" s="47">
        <f t="shared" ref="G150" si="129">SUM(G148:G149)</f>
        <v>199648244.33369517</v>
      </c>
      <c r="H150" s="47">
        <f t="shared" ref="H150" si="130">SUM(H148:H149)</f>
        <v>199648244.33369517</v>
      </c>
      <c r="I150" s="47">
        <f t="shared" ref="I150" si="131">SUM(I148:I149)</f>
        <v>199648244.33369517</v>
      </c>
      <c r="J150" s="47">
        <f t="shared" ref="J150" si="132">SUM(J148:J149)</f>
        <v>199648244.33369517</v>
      </c>
      <c r="K150" s="47">
        <f>SUM(K148:K149)</f>
        <v>199648244.33369517</v>
      </c>
      <c r="L150" s="47">
        <f t="shared" ref="L150" si="133">SUM(L148:L149)</f>
        <v>199648244.33369517</v>
      </c>
      <c r="M150" s="47">
        <f t="shared" ref="M150" si="134">SUM(M148:M149)</f>
        <v>199648244.33369517</v>
      </c>
      <c r="N150" s="47">
        <f t="shared" ref="N150" si="135">SUM(N148:N149)</f>
        <v>199648244.33369517</v>
      </c>
      <c r="O150" s="47">
        <f>SUM(C150:N150)</f>
        <v>2395778932.0043421</v>
      </c>
    </row>
    <row r="151" spans="1:15" x14ac:dyDescent="0.25">
      <c r="A151" s="82"/>
      <c r="B151" s="52" t="s">
        <v>78</v>
      </c>
      <c r="C151" s="53" t="s">
        <v>173</v>
      </c>
      <c r="D151" s="53" t="s">
        <v>173</v>
      </c>
      <c r="E151" s="53" t="s">
        <v>173</v>
      </c>
      <c r="F151" s="53" t="s">
        <v>173</v>
      </c>
      <c r="G151" s="53" t="s">
        <v>173</v>
      </c>
      <c r="H151" s="53" t="s">
        <v>173</v>
      </c>
      <c r="I151" s="53" t="s">
        <v>173</v>
      </c>
      <c r="J151" s="53" t="s">
        <v>173</v>
      </c>
      <c r="K151" s="53" t="s">
        <v>173</v>
      </c>
      <c r="L151" s="53" t="s">
        <v>173</v>
      </c>
      <c r="M151" s="53" t="s">
        <v>173</v>
      </c>
      <c r="N151" s="53" t="s">
        <v>173</v>
      </c>
      <c r="O151" s="91" t="s">
        <v>173</v>
      </c>
    </row>
    <row r="152" spans="1:15" x14ac:dyDescent="0.25">
      <c r="A152" s="82"/>
      <c r="B152" s="48" t="s">
        <v>79</v>
      </c>
      <c r="C152" s="54" t="s">
        <v>173</v>
      </c>
      <c r="D152" s="54" t="s">
        <v>173</v>
      </c>
      <c r="E152" s="54" t="s">
        <v>173</v>
      </c>
      <c r="F152" s="54" t="s">
        <v>173</v>
      </c>
      <c r="G152" s="54" t="s">
        <v>173</v>
      </c>
      <c r="H152" s="54" t="s">
        <v>173</v>
      </c>
      <c r="I152" s="54" t="s">
        <v>173</v>
      </c>
      <c r="J152" s="54" t="s">
        <v>173</v>
      </c>
      <c r="K152" s="54" t="s">
        <v>173</v>
      </c>
      <c r="L152" s="54" t="s">
        <v>173</v>
      </c>
      <c r="M152" s="54" t="s">
        <v>173</v>
      </c>
      <c r="N152" s="54" t="s">
        <v>173</v>
      </c>
      <c r="O152" s="91" t="s">
        <v>173</v>
      </c>
    </row>
    <row r="153" spans="1:15" x14ac:dyDescent="0.25">
      <c r="A153" s="83"/>
      <c r="B153" s="49" t="s">
        <v>195</v>
      </c>
      <c r="C153" s="50">
        <f>C117*(1+$K$68)</f>
        <v>312829.28047865315</v>
      </c>
      <c r="D153" s="50">
        <v>0</v>
      </c>
      <c r="E153" s="50">
        <v>0</v>
      </c>
      <c r="F153" s="50">
        <v>0</v>
      </c>
      <c r="G153" s="50">
        <v>0</v>
      </c>
      <c r="H153" s="50">
        <v>0</v>
      </c>
      <c r="I153" s="50">
        <v>0</v>
      </c>
      <c r="J153" s="50">
        <v>0</v>
      </c>
      <c r="K153" s="50">
        <v>0</v>
      </c>
      <c r="L153" s="50">
        <v>0</v>
      </c>
      <c r="M153" s="50">
        <v>0</v>
      </c>
      <c r="N153" s="50">
        <v>0</v>
      </c>
      <c r="O153" s="90">
        <f t="shared" ref="O153:O156" si="136">SUM(C153:N153)</f>
        <v>312829.28047865315</v>
      </c>
    </row>
    <row r="154" spans="1:15" x14ac:dyDescent="0.25">
      <c r="A154" s="82"/>
      <c r="B154" s="51" t="s">
        <v>178</v>
      </c>
      <c r="C154" s="50">
        <f>C118*(1+$K$68)</f>
        <v>2369918.7915049479</v>
      </c>
      <c r="D154" s="50">
        <f t="shared" ref="D154:N154" si="137">D118*(1+$K$68)</f>
        <v>2369918.7915049479</v>
      </c>
      <c r="E154" s="50">
        <f t="shared" si="137"/>
        <v>2369918.7915049479</v>
      </c>
      <c r="F154" s="50">
        <f t="shared" si="137"/>
        <v>2369918.7915049479</v>
      </c>
      <c r="G154" s="50">
        <f t="shared" si="137"/>
        <v>2369918.7915049479</v>
      </c>
      <c r="H154" s="50">
        <f t="shared" si="137"/>
        <v>2369918.7915049479</v>
      </c>
      <c r="I154" s="50">
        <f t="shared" si="137"/>
        <v>2369918.7915049479</v>
      </c>
      <c r="J154" s="50">
        <f t="shared" si="137"/>
        <v>2369918.7915049479</v>
      </c>
      <c r="K154" s="50">
        <f t="shared" si="137"/>
        <v>2369918.7915049479</v>
      </c>
      <c r="L154" s="50">
        <f t="shared" si="137"/>
        <v>2369918.7915049479</v>
      </c>
      <c r="M154" s="50">
        <f t="shared" si="137"/>
        <v>2369918.7915049479</v>
      </c>
      <c r="N154" s="50">
        <f t="shared" si="137"/>
        <v>2369918.7915049479</v>
      </c>
      <c r="O154" s="90">
        <f t="shared" si="136"/>
        <v>28439025.498059381</v>
      </c>
    </row>
    <row r="155" spans="1:15" x14ac:dyDescent="0.25">
      <c r="A155" s="84"/>
      <c r="B155" s="51" t="s">
        <v>248</v>
      </c>
      <c r="C155" s="50">
        <f>C119*(1+$K$68)</f>
        <v>284390.25498059375</v>
      </c>
      <c r="D155" s="50">
        <f t="shared" ref="D155:N155" si="138">D119*(1+$K$68)</f>
        <v>284390.25498059375</v>
      </c>
      <c r="E155" s="50">
        <f t="shared" si="138"/>
        <v>284390.25498059375</v>
      </c>
      <c r="F155" s="50">
        <f t="shared" si="138"/>
        <v>284390.25498059375</v>
      </c>
      <c r="G155" s="50">
        <f t="shared" si="138"/>
        <v>284390.25498059375</v>
      </c>
      <c r="H155" s="50">
        <f t="shared" si="138"/>
        <v>284390.25498059375</v>
      </c>
      <c r="I155" s="50">
        <f t="shared" si="138"/>
        <v>284390.25498059375</v>
      </c>
      <c r="J155" s="50">
        <f t="shared" si="138"/>
        <v>284390.25498059375</v>
      </c>
      <c r="K155" s="50">
        <f t="shared" si="138"/>
        <v>284390.25498059375</v>
      </c>
      <c r="L155" s="50">
        <f t="shared" si="138"/>
        <v>284390.25498059375</v>
      </c>
      <c r="M155" s="50">
        <f t="shared" si="138"/>
        <v>284390.25498059375</v>
      </c>
      <c r="N155" s="50">
        <f t="shared" si="138"/>
        <v>284390.25498059375</v>
      </c>
      <c r="O155" s="90">
        <f t="shared" si="136"/>
        <v>3412683.0597671256</v>
      </c>
    </row>
    <row r="156" spans="1:15" x14ac:dyDescent="0.25">
      <c r="A156" s="82"/>
      <c r="B156" s="46" t="s">
        <v>207</v>
      </c>
      <c r="C156" s="47">
        <f t="shared" ref="C156:N156" si="139">SUM(C153:C155)</f>
        <v>2967138.3269641949</v>
      </c>
      <c r="D156" s="47">
        <f t="shared" si="139"/>
        <v>2654309.0464855419</v>
      </c>
      <c r="E156" s="47">
        <f t="shared" si="139"/>
        <v>2654309.0464855419</v>
      </c>
      <c r="F156" s="47">
        <f t="shared" si="139"/>
        <v>2654309.0464855419</v>
      </c>
      <c r="G156" s="47">
        <f t="shared" si="139"/>
        <v>2654309.0464855419</v>
      </c>
      <c r="H156" s="47">
        <f t="shared" si="139"/>
        <v>2654309.0464855419</v>
      </c>
      <c r="I156" s="47">
        <f t="shared" si="139"/>
        <v>2654309.0464855419</v>
      </c>
      <c r="J156" s="47">
        <f t="shared" si="139"/>
        <v>2654309.0464855419</v>
      </c>
      <c r="K156" s="47">
        <f t="shared" si="139"/>
        <v>2654309.0464855419</v>
      </c>
      <c r="L156" s="47">
        <f t="shared" si="139"/>
        <v>2654309.0464855419</v>
      </c>
      <c r="M156" s="47">
        <f t="shared" si="139"/>
        <v>2654309.0464855419</v>
      </c>
      <c r="N156" s="47">
        <f t="shared" si="139"/>
        <v>2654309.0464855419</v>
      </c>
      <c r="O156" s="47">
        <f t="shared" si="136"/>
        <v>32164537.83830516</v>
      </c>
    </row>
    <row r="157" spans="1:15" x14ac:dyDescent="0.25">
      <c r="A157" s="82"/>
      <c r="B157" s="55" t="s">
        <v>83</v>
      </c>
      <c r="C157" s="59" t="s">
        <v>173</v>
      </c>
      <c r="D157" s="59" t="s">
        <v>173</v>
      </c>
      <c r="E157" s="59" t="s">
        <v>173</v>
      </c>
      <c r="F157" s="59" t="s">
        <v>173</v>
      </c>
      <c r="G157" s="59" t="s">
        <v>173</v>
      </c>
      <c r="H157" s="59" t="s">
        <v>173</v>
      </c>
      <c r="I157" s="59" t="s">
        <v>173</v>
      </c>
      <c r="J157" s="59" t="s">
        <v>173</v>
      </c>
      <c r="K157" s="59" t="s">
        <v>173</v>
      </c>
      <c r="L157" s="59" t="s">
        <v>173</v>
      </c>
      <c r="M157" s="59" t="s">
        <v>173</v>
      </c>
      <c r="N157" s="59" t="s">
        <v>173</v>
      </c>
      <c r="O157" s="91" t="s">
        <v>173</v>
      </c>
    </row>
    <row r="158" spans="1:15" x14ac:dyDescent="0.25">
      <c r="A158" s="82"/>
      <c r="B158" s="57" t="s">
        <v>210</v>
      </c>
      <c r="C158" s="89">
        <f t="shared" ref="C158:N158" si="140">C122*(1+$K$68)</f>
        <v>3137772.4799525514</v>
      </c>
      <c r="D158" s="89">
        <f t="shared" si="140"/>
        <v>3782390.3912418978</v>
      </c>
      <c r="E158" s="89">
        <f t="shared" si="140"/>
        <v>3488520.4610952819</v>
      </c>
      <c r="F158" s="89">
        <f t="shared" si="140"/>
        <v>3261008.2571108085</v>
      </c>
      <c r="G158" s="89">
        <f t="shared" si="140"/>
        <v>2995577.3524622545</v>
      </c>
      <c r="H158" s="89">
        <f t="shared" si="140"/>
        <v>3753951.3657438364</v>
      </c>
      <c r="I158" s="89">
        <f t="shared" si="140"/>
        <v>4379609.9267011434</v>
      </c>
      <c r="J158" s="89">
        <f t="shared" si="140"/>
        <v>4199496.0985467676</v>
      </c>
      <c r="K158" s="89">
        <f t="shared" si="140"/>
        <v>3242048.9067787682</v>
      </c>
      <c r="L158" s="89">
        <f t="shared" si="140"/>
        <v>3327365.9832729469</v>
      </c>
      <c r="M158" s="89">
        <f t="shared" si="140"/>
        <v>3166211.5054506105</v>
      </c>
      <c r="N158" s="89">
        <f t="shared" si="140"/>
        <v>3422162.7349331439</v>
      </c>
      <c r="O158" s="92">
        <f t="shared" ref="O158:O168" si="141">SUM(C158:N158)</f>
        <v>42156115.463290013</v>
      </c>
    </row>
    <row r="159" spans="1:15" x14ac:dyDescent="0.25">
      <c r="A159" s="82"/>
      <c r="B159" s="57" t="s">
        <v>203</v>
      </c>
      <c r="C159" s="89">
        <f t="shared" ref="C159:N159" si="142">C123*(1+$K$68)</f>
        <v>11328211.823393648</v>
      </c>
      <c r="D159" s="89">
        <f t="shared" si="142"/>
        <v>12200341.938667474</v>
      </c>
      <c r="E159" s="89">
        <f t="shared" si="142"/>
        <v>13679171.264566559</v>
      </c>
      <c r="F159" s="89">
        <f t="shared" si="142"/>
        <v>10370764.631625656</v>
      </c>
      <c r="G159" s="89">
        <f t="shared" si="142"/>
        <v>13802407.04172482</v>
      </c>
      <c r="H159" s="89">
        <f t="shared" si="142"/>
        <v>13006114.327779153</v>
      </c>
      <c r="I159" s="89">
        <f t="shared" si="142"/>
        <v>11934911.034018923</v>
      </c>
      <c r="J159" s="89">
        <f t="shared" si="142"/>
        <v>14191073.723531628</v>
      </c>
      <c r="K159" s="89">
        <f t="shared" si="142"/>
        <v>13868764.767886952</v>
      </c>
      <c r="L159" s="89">
        <f t="shared" si="142"/>
        <v>13868764.767886952</v>
      </c>
      <c r="M159" s="89">
        <f t="shared" si="142"/>
        <v>10778390.663764507</v>
      </c>
      <c r="N159" s="89">
        <f t="shared" si="142"/>
        <v>13290504.582759753</v>
      </c>
      <c r="O159" s="92">
        <f t="shared" si="141"/>
        <v>152319420.56760603</v>
      </c>
    </row>
    <row r="160" spans="1:15" x14ac:dyDescent="0.25">
      <c r="A160" s="82"/>
      <c r="B160" s="58" t="s">
        <v>84</v>
      </c>
      <c r="C160" s="89">
        <f t="shared" ref="C160:N160" si="143">C124*(1+$K$68)</f>
        <v>10020016.650482917</v>
      </c>
      <c r="D160" s="89">
        <f t="shared" si="143"/>
        <v>10939545.141586838</v>
      </c>
      <c r="E160" s="89">
        <f t="shared" si="143"/>
        <v>10977463.842250919</v>
      </c>
      <c r="F160" s="89">
        <f t="shared" si="143"/>
        <v>11337691.498559671</v>
      </c>
      <c r="G160" s="89">
        <f t="shared" si="143"/>
        <v>13413740.359918006</v>
      </c>
      <c r="H160" s="89">
        <f t="shared" si="143"/>
        <v>11603122.403208224</v>
      </c>
      <c r="I160" s="89">
        <f t="shared" si="143"/>
        <v>12048667.136011159</v>
      </c>
      <c r="J160" s="89">
        <f t="shared" si="143"/>
        <v>13868764.767886952</v>
      </c>
      <c r="K160" s="89">
        <f t="shared" si="143"/>
        <v>12693285.047300505</v>
      </c>
      <c r="L160" s="89">
        <f t="shared" si="143"/>
        <v>12674325.696968462</v>
      </c>
      <c r="M160" s="89">
        <f t="shared" si="143"/>
        <v>13565415.162574321</v>
      </c>
      <c r="N160" s="89">
        <f t="shared" si="143"/>
        <v>10892146.765756741</v>
      </c>
      <c r="O160" s="92">
        <f t="shared" si="141"/>
        <v>144034184.47250471</v>
      </c>
    </row>
    <row r="161" spans="1:25" x14ac:dyDescent="0.25">
      <c r="A161" s="82"/>
      <c r="B161" s="58" t="s">
        <v>81</v>
      </c>
      <c r="C161" s="89">
        <f t="shared" ref="C161:N161" si="144">C125*(1+$K$68)</f>
        <v>710975.63745148468</v>
      </c>
      <c r="D161" s="89">
        <f t="shared" si="144"/>
        <v>710975.63745148468</v>
      </c>
      <c r="E161" s="89">
        <f t="shared" si="144"/>
        <v>710975.63745148468</v>
      </c>
      <c r="F161" s="89">
        <f t="shared" si="144"/>
        <v>710975.63745148468</v>
      </c>
      <c r="G161" s="89">
        <f t="shared" si="144"/>
        <v>710975.63745148468</v>
      </c>
      <c r="H161" s="89">
        <f t="shared" si="144"/>
        <v>710975.63745148468</v>
      </c>
      <c r="I161" s="89">
        <f t="shared" si="144"/>
        <v>710975.63745148468</v>
      </c>
      <c r="J161" s="89">
        <f t="shared" si="144"/>
        <v>710975.63745148468</v>
      </c>
      <c r="K161" s="89">
        <f t="shared" si="144"/>
        <v>710975.63745148468</v>
      </c>
      <c r="L161" s="89">
        <f t="shared" si="144"/>
        <v>710975.63745148468</v>
      </c>
      <c r="M161" s="89">
        <f t="shared" si="144"/>
        <v>710975.63745148468</v>
      </c>
      <c r="N161" s="89">
        <f t="shared" si="144"/>
        <v>710975.63745148468</v>
      </c>
      <c r="O161" s="92">
        <f t="shared" si="141"/>
        <v>8531707.6494178157</v>
      </c>
    </row>
    <row r="162" spans="1:25" x14ac:dyDescent="0.25">
      <c r="A162" s="82"/>
      <c r="B162" s="57" t="s">
        <v>85</v>
      </c>
      <c r="C162" s="89">
        <f t="shared" ref="C162:N162" si="145">C126*(1+$K$68)</f>
        <v>11641041.103872307</v>
      </c>
      <c r="D162" s="89">
        <f t="shared" si="145"/>
        <v>9963138.5994868055</v>
      </c>
      <c r="E162" s="89">
        <f t="shared" si="145"/>
        <v>10313886.580629533</v>
      </c>
      <c r="F162" s="89">
        <f t="shared" si="145"/>
        <v>10475041.058451869</v>
      </c>
      <c r="G162" s="89">
        <f t="shared" si="145"/>
        <v>14086797.29670541</v>
      </c>
      <c r="H162" s="89">
        <f t="shared" si="145"/>
        <v>10342325.606127597</v>
      </c>
      <c r="I162" s="89">
        <f t="shared" si="145"/>
        <v>12001268.760181056</v>
      </c>
      <c r="J162" s="89">
        <f t="shared" si="145"/>
        <v>9498634.5163518321</v>
      </c>
      <c r="K162" s="89">
        <f t="shared" si="145"/>
        <v>12352016.741323793</v>
      </c>
      <c r="L162" s="89">
        <f t="shared" si="145"/>
        <v>9811463.7968304828</v>
      </c>
      <c r="M162" s="89">
        <f t="shared" si="145"/>
        <v>12494211.868814088</v>
      </c>
      <c r="N162" s="89">
        <f t="shared" si="145"/>
        <v>11896992.333354838</v>
      </c>
      <c r="O162" s="92">
        <f t="shared" si="141"/>
        <v>134876818.2621296</v>
      </c>
    </row>
    <row r="163" spans="1:25" x14ac:dyDescent="0.25">
      <c r="A163" s="84"/>
      <c r="B163" s="58" t="s">
        <v>249</v>
      </c>
      <c r="C163" s="89">
        <f t="shared" ref="C163:N163" si="146">C150*5%</f>
        <v>9982412.2166847587</v>
      </c>
      <c r="D163" s="89">
        <f t="shared" si="146"/>
        <v>9982412.2166847587</v>
      </c>
      <c r="E163" s="89">
        <f t="shared" si="146"/>
        <v>9982412.2166847587</v>
      </c>
      <c r="F163" s="89">
        <f t="shared" si="146"/>
        <v>9982412.2166847587</v>
      </c>
      <c r="G163" s="89">
        <f t="shared" si="146"/>
        <v>9982412.2166847587</v>
      </c>
      <c r="H163" s="89">
        <f t="shared" si="146"/>
        <v>9982412.2166847587</v>
      </c>
      <c r="I163" s="89">
        <f t="shared" si="146"/>
        <v>9982412.2166847587</v>
      </c>
      <c r="J163" s="89">
        <f t="shared" si="146"/>
        <v>9982412.2166847587</v>
      </c>
      <c r="K163" s="89">
        <f t="shared" si="146"/>
        <v>9982412.2166847587</v>
      </c>
      <c r="L163" s="89">
        <f t="shared" si="146"/>
        <v>9982412.2166847587</v>
      </c>
      <c r="M163" s="89">
        <f t="shared" si="146"/>
        <v>9982412.2166847587</v>
      </c>
      <c r="N163" s="89">
        <f t="shared" si="146"/>
        <v>9982412.2166847587</v>
      </c>
      <c r="O163" s="92">
        <f t="shared" si="141"/>
        <v>119788946.6002171</v>
      </c>
    </row>
    <row r="164" spans="1:25" x14ac:dyDescent="0.25">
      <c r="A164" s="84"/>
      <c r="B164" s="58" t="s">
        <v>180</v>
      </c>
      <c r="C164" s="89">
        <f>'7.5. Stage 5&amp;6 budget'!C128*(1+'7.5. Stage 5&amp;6 budget'!$K$68)</f>
        <v>13764488.341060733</v>
      </c>
      <c r="D164" s="89">
        <f>'7.5. Stage 5&amp;6 budget'!D128*(1+'7.5. Stage 5&amp;6 budget'!$K$68)</f>
        <v>13584374.512906358</v>
      </c>
      <c r="E164" s="89">
        <f>'7.5. Stage 5&amp;6 budget'!E128*(1+'7.5. Stage 5&amp;6 budget'!$K$68)</f>
        <v>11290293.122729575</v>
      </c>
      <c r="F164" s="89">
        <f>'7.5. Stage 5&amp;6 budget'!F128*(1+'7.5. Stage 5&amp;6 budget'!$K$68)</f>
        <v>12465772.84331603</v>
      </c>
      <c r="G164" s="89">
        <f>'7.5. Stage 5&amp;6 budget'!G128*(1+'7.5. Stage 5&amp;6 budget'!$K$68)</f>
        <v>9830423.1471625268</v>
      </c>
      <c r="H164" s="89">
        <f>'7.5. Stage 5&amp;6 budget'!H128*(1+'7.5. Stage 5&amp;6 budget'!$K$68)</f>
        <v>10930065.466420822</v>
      </c>
      <c r="I164" s="89">
        <f>'7.5. Stage 5&amp;6 budget'!I128*(1+'7.5. Stage 5&amp;6 budget'!$K$68)</f>
        <v>11309252.473061617</v>
      </c>
      <c r="J164" s="89">
        <f>'7.5. Stage 5&amp;6 budget'!J128*(1+'7.5. Stage 5&amp;6 budget'!$K$68)</f>
        <v>13404260.684751982</v>
      </c>
      <c r="K164" s="89">
        <f>'7.5. Stage 5&amp;6 budget'!K128*(1+'7.5. Stage 5&amp;6 budget'!$K$68)</f>
        <v>10494000.408783909</v>
      </c>
      <c r="L164" s="89">
        <f>'7.5. Stage 5&amp;6 budget'!L128*(1+'7.5. Stage 5&amp;6 budget'!$K$68)</f>
        <v>11233415.071733449</v>
      </c>
      <c r="M164" s="89">
        <f>'7.5. Stage 5&amp;6 budget'!M128*(1+'7.5. Stage 5&amp;6 budget'!$K$68)</f>
        <v>11252374.422065489</v>
      </c>
      <c r="N164" s="89">
        <f>'7.5. Stage 5&amp;6 budget'!N128*(1+'7.5. Stage 5&amp;6 budget'!$K$68)</f>
        <v>10967984.167084904</v>
      </c>
      <c r="O164" s="92">
        <f t="shared" si="141"/>
        <v>140526704.66107741</v>
      </c>
    </row>
    <row r="165" spans="1:25" x14ac:dyDescent="0.25">
      <c r="A165" s="84"/>
      <c r="B165" s="58" t="s">
        <v>417</v>
      </c>
      <c r="C165" s="89">
        <f>'13. Insurance package'!$H$2/12*2</f>
        <v>7499166.666666667</v>
      </c>
      <c r="D165" s="89">
        <f>'13. Insurance package'!$H$2/12*2</f>
        <v>7499166.666666667</v>
      </c>
      <c r="E165" s="89">
        <f>'13. Insurance package'!$H$2/12*2</f>
        <v>7499166.666666667</v>
      </c>
      <c r="F165" s="89">
        <f>'13. Insurance package'!$H$2/12*2</f>
        <v>7499166.666666667</v>
      </c>
      <c r="G165" s="89">
        <f>'13. Insurance package'!$H$2/12*2</f>
        <v>7499166.666666667</v>
      </c>
      <c r="H165" s="89">
        <f>'13. Insurance package'!$H$2/12*2</f>
        <v>7499166.666666667</v>
      </c>
      <c r="I165" s="89">
        <f>'13. Insurance package'!$H$2/12*2</f>
        <v>7499166.666666667</v>
      </c>
      <c r="J165" s="89">
        <f>'13. Insurance package'!$H$2/12*2</f>
        <v>7499166.666666667</v>
      </c>
      <c r="K165" s="89">
        <f>'13. Insurance package'!$H$2/12*2</f>
        <v>7499166.666666667</v>
      </c>
      <c r="L165" s="89">
        <f>'13. Insurance package'!$H$2/12*2</f>
        <v>7499166.666666667</v>
      </c>
      <c r="M165" s="89">
        <f>'13. Insurance package'!$H$2/12*2</f>
        <v>7499166.666666667</v>
      </c>
      <c r="N165" s="89">
        <f>'13. Insurance package'!$H$2/12*2</f>
        <v>7499166.666666667</v>
      </c>
      <c r="O165" s="92">
        <f t="shared" ref="O165" si="147">SUM(C165:N165)</f>
        <v>89990000.000000015</v>
      </c>
    </row>
    <row r="166" spans="1:25" x14ac:dyDescent="0.25">
      <c r="A166" s="84"/>
      <c r="B166" s="58" t="s">
        <v>86</v>
      </c>
      <c r="C166" s="89">
        <f>'7.5. Stage 5&amp;6 budget'!C130*(1+'7.5. Stage 5&amp;6 budget'!$K$68)</f>
        <v>10020016.650482917</v>
      </c>
      <c r="D166" s="89">
        <f>'7.5. Stage 5&amp;6 budget'!D130*(1+'7.5. Stage 5&amp;6 budget'!$K$68)</f>
        <v>9906260.5484906808</v>
      </c>
      <c r="E166" s="89">
        <f>'7.5. Stage 5&amp;6 budget'!E130*(1+'7.5. Stage 5&amp;6 budget'!$K$68)</f>
        <v>9612390.6183440723</v>
      </c>
      <c r="F166" s="89">
        <f>'7.5. Stage 5&amp;6 budget'!F130*(1+'7.5. Stage 5&amp;6 budget'!$K$68)</f>
        <v>12541610.244644184</v>
      </c>
      <c r="G166" s="89">
        <f>'7.5. Stage 5&amp;6 budget'!G130*(1+'7.5. Stage 5&amp;6 budget'!$K$68)</f>
        <v>11669480.129370363</v>
      </c>
      <c r="H166" s="89">
        <f>'7.5. Stage 5&amp;6 budget'!H130*(1+'7.5. Stage 5&amp;6 budget'!$K$68)</f>
        <v>9716667.0451702867</v>
      </c>
      <c r="I166" s="89">
        <f>'7.5. Stage 5&amp;6 budget'!I130*(1+'7.5. Stage 5&amp;6 budget'!$K$68)</f>
        <v>13176748.480767511</v>
      </c>
      <c r="J166" s="89">
        <f>'7.5. Stage 5&amp;6 budget'!J130*(1+'7.5. Stage 5&amp;6 budget'!$K$68)</f>
        <v>12645886.671470404</v>
      </c>
      <c r="K166" s="89">
        <f>'7.5. Stage 5&amp;6 budget'!K130*(1+'7.5. Stage 5&amp;6 budget'!$K$68)</f>
        <v>10181171.128305258</v>
      </c>
      <c r="L166" s="89">
        <f>'7.5. Stage 5&amp;6 budget'!L130*(1+'7.5. Stage 5&amp;6 budget'!$K$68)</f>
        <v>10531919.10944799</v>
      </c>
      <c r="M166" s="89">
        <f>'7.5. Stage 5&amp;6 budget'!M130*(1+'7.5. Stage 5&amp;6 budget'!$K$68)</f>
        <v>12807041.149292737</v>
      </c>
      <c r="N166" s="89">
        <f>'7.5. Stage 5&amp;6 budget'!N130*(1+'7.5. Stage 5&amp;6 budget'!$K$68)</f>
        <v>13480098.086080149</v>
      </c>
      <c r="O166" s="92">
        <f t="shared" si="141"/>
        <v>136289289.86186653</v>
      </c>
    </row>
    <row r="167" spans="1:25" x14ac:dyDescent="0.25">
      <c r="A167" s="82"/>
      <c r="B167" s="46" t="s">
        <v>208</v>
      </c>
      <c r="C167" s="47">
        <f t="shared" ref="C167:N167" si="148">SUM(C158:C166)</f>
        <v>78104101.570047989</v>
      </c>
      <c r="D167" s="47">
        <f t="shared" si="148"/>
        <v>78568605.653182954</v>
      </c>
      <c r="E167" s="47">
        <f t="shared" si="148"/>
        <v>77554280.410418853</v>
      </c>
      <c r="F167" s="47">
        <f t="shared" si="148"/>
        <v>78644443.05451113</v>
      </c>
      <c r="G167" s="47">
        <f t="shared" si="148"/>
        <v>83990979.84814629</v>
      </c>
      <c r="H167" s="47">
        <f t="shared" si="148"/>
        <v>77544800.735252842</v>
      </c>
      <c r="I167" s="47">
        <f t="shared" si="148"/>
        <v>83043012.33154431</v>
      </c>
      <c r="J167" s="47">
        <f t="shared" si="148"/>
        <v>86000670.983342469</v>
      </c>
      <c r="K167" s="47">
        <f t="shared" si="148"/>
        <v>81023841.52118209</v>
      </c>
      <c r="L167" s="47">
        <f t="shared" si="148"/>
        <v>79639808.946943194</v>
      </c>
      <c r="M167" s="47">
        <f t="shared" si="148"/>
        <v>82256199.292764664</v>
      </c>
      <c r="N167" s="47">
        <f t="shared" si="148"/>
        <v>82142443.190772444</v>
      </c>
      <c r="O167" s="47">
        <f t="shared" si="141"/>
        <v>968513187.53810906</v>
      </c>
    </row>
    <row r="168" spans="1:25" x14ac:dyDescent="0.25">
      <c r="A168" s="82"/>
      <c r="B168" s="60" t="s">
        <v>87</v>
      </c>
      <c r="C168" s="47">
        <f t="shared" ref="C168:N168" si="149">C156+C167</f>
        <v>81071239.897012189</v>
      </c>
      <c r="D168" s="47">
        <f t="shared" si="149"/>
        <v>81222914.699668497</v>
      </c>
      <c r="E168" s="47">
        <f t="shared" si="149"/>
        <v>80208589.456904396</v>
      </c>
      <c r="F168" s="47">
        <f t="shared" si="149"/>
        <v>81298752.100996673</v>
      </c>
      <c r="G168" s="47">
        <f t="shared" si="149"/>
        <v>86645288.894631833</v>
      </c>
      <c r="H168" s="47">
        <f t="shared" si="149"/>
        <v>80199109.781738386</v>
      </c>
      <c r="I168" s="47">
        <f t="shared" si="149"/>
        <v>85697321.378029853</v>
      </c>
      <c r="J168" s="47">
        <f t="shared" si="149"/>
        <v>88654980.029828012</v>
      </c>
      <c r="K168" s="47">
        <f t="shared" si="149"/>
        <v>83678150.567667633</v>
      </c>
      <c r="L168" s="47">
        <f t="shared" si="149"/>
        <v>82294117.993428737</v>
      </c>
      <c r="M168" s="47">
        <f t="shared" si="149"/>
        <v>84910508.339250207</v>
      </c>
      <c r="N168" s="47">
        <f t="shared" si="149"/>
        <v>84796752.237257987</v>
      </c>
      <c r="O168" s="47">
        <f t="shared" si="141"/>
        <v>1000677725.3764143</v>
      </c>
    </row>
    <row r="169" spans="1:25" s="11" customFormat="1" x14ac:dyDescent="0.25">
      <c r="A169" s="82"/>
      <c r="B169" s="108" t="s">
        <v>204</v>
      </c>
      <c r="C169" s="109">
        <f>$O168*(3/12)/12</f>
        <v>20847452.612008631</v>
      </c>
      <c r="D169" s="109">
        <f t="shared" ref="D169" si="150">$O168*(3/12)/12</f>
        <v>20847452.612008631</v>
      </c>
      <c r="E169" s="109">
        <f t="shared" ref="E169" si="151">$O168*(3/12)/12</f>
        <v>20847452.612008631</v>
      </c>
      <c r="F169" s="109">
        <f t="shared" ref="F169" si="152">$O168*(3/12)/12</f>
        <v>20847452.612008631</v>
      </c>
      <c r="G169" s="109">
        <f t="shared" ref="G169" si="153">$O168*(3/12)/12</f>
        <v>20847452.612008631</v>
      </c>
      <c r="H169" s="109">
        <f t="shared" ref="H169" si="154">$O168*(3/12)/12</f>
        <v>20847452.612008631</v>
      </c>
      <c r="I169" s="109">
        <f t="shared" ref="I169" si="155">$O168*(3/12)/12</f>
        <v>20847452.612008631</v>
      </c>
      <c r="J169" s="109">
        <f t="shared" ref="J169" si="156">$O168*(3/12)/12</f>
        <v>20847452.612008631</v>
      </c>
      <c r="K169" s="109">
        <f t="shared" ref="K169" si="157">$O168*(3/12)/12</f>
        <v>20847452.612008631</v>
      </c>
      <c r="L169" s="109">
        <f t="shared" ref="L169" si="158">$O168*(3/12)/12</f>
        <v>20847452.612008631</v>
      </c>
      <c r="M169" s="109">
        <f t="shared" ref="M169" si="159">$O168*(3/12)/12</f>
        <v>20847452.612008631</v>
      </c>
      <c r="N169" s="109">
        <f t="shared" ref="N169" si="160">$O168*(3/12)/12</f>
        <v>20847452.612008631</v>
      </c>
      <c r="O169" s="109">
        <f t="shared" ref="O169:O173" si="161">SUM(C169:N169)</f>
        <v>250169431.34410357</v>
      </c>
      <c r="P169" s="43"/>
      <c r="Q169" s="43"/>
      <c r="R169" s="40"/>
      <c r="S169" s="40"/>
      <c r="T169" s="40"/>
      <c r="U169" s="40"/>
      <c r="V169" s="40"/>
      <c r="W169" s="40"/>
      <c r="X169" s="40"/>
      <c r="Y169" s="40"/>
    </row>
    <row r="170" spans="1:25" s="11" customFormat="1" x14ac:dyDescent="0.25">
      <c r="A170" s="82"/>
      <c r="B170" s="108" t="s">
        <v>82</v>
      </c>
      <c r="C170" s="109">
        <f>'6. Mortgage payment'!$C$7</f>
        <v>28168245.060798287</v>
      </c>
      <c r="D170" s="109">
        <f>'6. Mortgage payment'!$C$7</f>
        <v>28168245.060798287</v>
      </c>
      <c r="E170" s="109">
        <f>'6. Mortgage payment'!$C$7</f>
        <v>28168245.060798287</v>
      </c>
      <c r="F170" s="109">
        <f>'6. Mortgage payment'!$C$7</f>
        <v>28168245.060798287</v>
      </c>
      <c r="G170" s="109">
        <f>'6. Mortgage payment'!$C$7</f>
        <v>28168245.060798287</v>
      </c>
      <c r="H170" s="109">
        <f>'6. Mortgage payment'!$C$7</f>
        <v>28168245.060798287</v>
      </c>
      <c r="I170" s="109">
        <f>'6. Mortgage payment'!$C$7</f>
        <v>28168245.060798287</v>
      </c>
      <c r="J170" s="109">
        <f>'6. Mortgage payment'!$C$7</f>
        <v>28168245.060798287</v>
      </c>
      <c r="K170" s="109">
        <f>'6. Mortgage payment'!$C$7</f>
        <v>28168245.060798287</v>
      </c>
      <c r="L170" s="109">
        <f>'6. Mortgage payment'!$C$7</f>
        <v>28168245.060798287</v>
      </c>
      <c r="M170" s="109">
        <f>'6. Mortgage payment'!$C$7</f>
        <v>28168245.060798287</v>
      </c>
      <c r="N170" s="109">
        <f>'6. Mortgage payment'!$C$7</f>
        <v>28168245.060798287</v>
      </c>
      <c r="O170" s="109">
        <f t="shared" si="161"/>
        <v>338018940.72957945</v>
      </c>
      <c r="P170" s="43"/>
      <c r="Q170" s="43"/>
      <c r="R170" s="40"/>
      <c r="S170" s="40"/>
      <c r="T170" s="40"/>
      <c r="U170" s="40"/>
      <c r="V170" s="40"/>
      <c r="W170" s="40"/>
      <c r="X170" s="40"/>
      <c r="Y170" s="40"/>
    </row>
    <row r="171" spans="1:25" s="11" customFormat="1" x14ac:dyDescent="0.25">
      <c r="A171" s="82"/>
      <c r="B171" s="108" t="s">
        <v>251</v>
      </c>
      <c r="C171" s="109">
        <f>-PMT(4%,18*12,(150000000*8)/(1+4%)^18)</f>
        <v>23699110.369091634</v>
      </c>
      <c r="D171" s="109">
        <f t="shared" ref="D171:N171" si="162">-PMT(4%,18*12,(150000000*8)/(1+4%)^18)</f>
        <v>23699110.369091634</v>
      </c>
      <c r="E171" s="109">
        <f t="shared" si="162"/>
        <v>23699110.369091634</v>
      </c>
      <c r="F171" s="109">
        <f t="shared" si="162"/>
        <v>23699110.369091634</v>
      </c>
      <c r="G171" s="109">
        <f t="shared" si="162"/>
        <v>23699110.369091634</v>
      </c>
      <c r="H171" s="109">
        <f t="shared" si="162"/>
        <v>23699110.369091634</v>
      </c>
      <c r="I171" s="109">
        <f t="shared" si="162"/>
        <v>23699110.369091634</v>
      </c>
      <c r="J171" s="109">
        <f t="shared" si="162"/>
        <v>23699110.369091634</v>
      </c>
      <c r="K171" s="109">
        <f t="shared" si="162"/>
        <v>23699110.369091634</v>
      </c>
      <c r="L171" s="109">
        <f t="shared" si="162"/>
        <v>23699110.369091634</v>
      </c>
      <c r="M171" s="109">
        <f t="shared" si="162"/>
        <v>23699110.369091634</v>
      </c>
      <c r="N171" s="109">
        <f t="shared" si="162"/>
        <v>23699110.369091634</v>
      </c>
      <c r="O171" s="109">
        <f>SUM(C171:N171)</f>
        <v>284389324.42909962</v>
      </c>
      <c r="P171" s="43"/>
      <c r="Q171" s="43"/>
      <c r="R171" s="40"/>
      <c r="S171" s="40"/>
      <c r="T171" s="40"/>
      <c r="U171" s="40"/>
      <c r="V171" s="40"/>
      <c r="W171" s="40"/>
      <c r="X171" s="40"/>
      <c r="Y171" s="40"/>
    </row>
    <row r="172" spans="1:25" s="11" customFormat="1" x14ac:dyDescent="0.25">
      <c r="A172" s="82"/>
      <c r="B172" s="108" t="s">
        <v>386</v>
      </c>
      <c r="C172" s="109">
        <f>C136*(1+$K$68)</f>
        <v>2597514.6714042062</v>
      </c>
      <c r="D172" s="109">
        <v>0</v>
      </c>
      <c r="E172" s="109">
        <v>0</v>
      </c>
      <c r="F172" s="109">
        <v>0</v>
      </c>
      <c r="G172" s="109">
        <v>0</v>
      </c>
      <c r="H172" s="109">
        <v>0</v>
      </c>
      <c r="I172" s="109">
        <v>0</v>
      </c>
      <c r="J172" s="109">
        <v>0</v>
      </c>
      <c r="K172" s="109">
        <v>0</v>
      </c>
      <c r="L172" s="109">
        <v>0</v>
      </c>
      <c r="M172" s="109">
        <v>0</v>
      </c>
      <c r="N172" s="109">
        <v>0</v>
      </c>
      <c r="O172" s="109">
        <f t="shared" si="161"/>
        <v>2597514.6714042062</v>
      </c>
      <c r="P172" s="43"/>
      <c r="Q172" s="43"/>
      <c r="R172" s="40"/>
      <c r="S172" s="40"/>
      <c r="T172" s="40"/>
      <c r="U172" s="40"/>
      <c r="V172" s="40"/>
      <c r="W172" s="40"/>
      <c r="X172" s="40"/>
      <c r="Y172" s="40"/>
    </row>
    <row r="173" spans="1:25" s="11" customFormat="1" x14ac:dyDescent="0.25">
      <c r="A173" s="82"/>
      <c r="B173" s="60" t="s">
        <v>206</v>
      </c>
      <c r="C173" s="61">
        <f>C150-C168-C169-C170-C172-C171</f>
        <v>43264681.723380223</v>
      </c>
      <c r="D173" s="61">
        <f t="shared" ref="D173:N173" si="163">D150-D168-D169-D170-D172-D171</f>
        <v>45710521.592128128</v>
      </c>
      <c r="E173" s="61">
        <f t="shared" si="163"/>
        <v>46724846.834892228</v>
      </c>
      <c r="F173" s="61">
        <f t="shared" si="163"/>
        <v>45634684.190799952</v>
      </c>
      <c r="G173" s="61">
        <f t="shared" si="163"/>
        <v>40288147.397164792</v>
      </c>
      <c r="H173" s="61">
        <f t="shared" si="163"/>
        <v>46734326.510058239</v>
      </c>
      <c r="I173" s="61">
        <f t="shared" si="163"/>
        <v>41236114.913766772</v>
      </c>
      <c r="J173" s="61">
        <f t="shared" si="163"/>
        <v>38278456.261968613</v>
      </c>
      <c r="K173" s="61">
        <f t="shared" si="163"/>
        <v>43255285.724128991</v>
      </c>
      <c r="L173" s="61">
        <f t="shared" si="163"/>
        <v>44639318.298367888</v>
      </c>
      <c r="M173" s="61">
        <f t="shared" si="163"/>
        <v>42022927.952546418</v>
      </c>
      <c r="N173" s="61">
        <f t="shared" si="163"/>
        <v>42136684.054538637</v>
      </c>
      <c r="O173" s="47">
        <f t="shared" si="161"/>
        <v>519925995.45374084</v>
      </c>
      <c r="P173" s="43"/>
      <c r="Q173" s="43"/>
      <c r="R173" s="40"/>
      <c r="S173" s="40"/>
      <c r="T173" s="40"/>
      <c r="U173" s="40"/>
      <c r="V173" s="40"/>
      <c r="W173" s="40"/>
      <c r="X173" s="40"/>
      <c r="Y173" s="40"/>
    </row>
    <row r="174" spans="1:25" x14ac:dyDescent="0.25">
      <c r="A174" s="85"/>
      <c r="B174" s="40"/>
      <c r="C174" s="40"/>
      <c r="D174" s="40"/>
      <c r="E174" s="40"/>
      <c r="F174" s="40"/>
      <c r="G174" s="40"/>
      <c r="H174" s="40"/>
      <c r="I174" s="40"/>
      <c r="J174" s="40"/>
      <c r="K174" s="40"/>
      <c r="L174" s="353" t="s">
        <v>217</v>
      </c>
      <c r="M174" s="354"/>
      <c r="N174" s="350">
        <f>SUM(C173:N173)+N138</f>
        <v>9232118632.0534935</v>
      </c>
      <c r="O174" s="40"/>
    </row>
    <row r="175" spans="1:25" x14ac:dyDescent="0.25">
      <c r="A175" s="85"/>
      <c r="B175" s="40"/>
      <c r="C175" s="40"/>
      <c r="D175" s="40"/>
      <c r="E175" s="40"/>
      <c r="F175" s="40"/>
      <c r="G175" s="40"/>
      <c r="H175" s="40"/>
      <c r="I175" s="40"/>
      <c r="J175" s="40"/>
      <c r="K175" s="40"/>
      <c r="L175" s="320"/>
      <c r="M175" s="355"/>
      <c r="N175" s="351"/>
      <c r="O175" s="40"/>
    </row>
    <row r="176" spans="1:25" x14ac:dyDescent="0.25">
      <c r="A176" s="85"/>
      <c r="B176" s="319" t="s">
        <v>632</v>
      </c>
      <c r="C176" s="352" t="s">
        <v>173</v>
      </c>
      <c r="D176" s="352"/>
      <c r="E176" s="352"/>
      <c r="F176" s="352"/>
      <c r="G176" s="352"/>
      <c r="H176" s="352"/>
      <c r="I176" s="40"/>
      <c r="J176" s="358" t="s">
        <v>231</v>
      </c>
      <c r="K176" s="359">
        <v>0.04</v>
      </c>
      <c r="L176" s="40"/>
      <c r="M176" s="40"/>
      <c r="N176" s="40"/>
      <c r="O176" s="361"/>
    </row>
    <row r="177" spans="1:15" x14ac:dyDescent="0.25">
      <c r="A177" s="85"/>
      <c r="B177" s="319"/>
      <c r="C177" s="352"/>
      <c r="D177" s="352"/>
      <c r="E177" s="352"/>
      <c r="F177" s="352"/>
      <c r="G177" s="352"/>
      <c r="H177" s="352"/>
      <c r="I177" s="40"/>
      <c r="J177" s="358"/>
      <c r="K177" s="360"/>
      <c r="L177" s="40"/>
      <c r="M177" s="40"/>
      <c r="N177" s="40"/>
      <c r="O177" s="362"/>
    </row>
    <row r="178" spans="1:15" x14ac:dyDescent="0.25">
      <c r="A178" s="85"/>
      <c r="B178" s="319"/>
      <c r="C178" s="352"/>
      <c r="D178" s="352"/>
      <c r="E178" s="352"/>
      <c r="F178" s="352"/>
      <c r="G178" s="352"/>
      <c r="H178" s="352"/>
      <c r="I178" s="40"/>
      <c r="J178" s="40"/>
      <c r="K178" s="40"/>
      <c r="L178" s="40"/>
      <c r="M178" s="40"/>
      <c r="N178" s="40"/>
      <c r="O178" s="40"/>
    </row>
    <row r="181" spans="1:15" ht="24.6" x14ac:dyDescent="0.25">
      <c r="A181" s="96"/>
      <c r="B181" s="348" t="s">
        <v>265</v>
      </c>
      <c r="C181" s="348"/>
      <c r="D181" s="348"/>
      <c r="E181" s="348"/>
      <c r="F181" s="348"/>
      <c r="G181" s="348"/>
      <c r="H181" s="348"/>
      <c r="I181" s="348"/>
      <c r="J181" s="348"/>
      <c r="K181" s="348"/>
      <c r="L181" s="348"/>
      <c r="M181" s="348"/>
      <c r="N181" s="348"/>
      <c r="O181" s="348"/>
    </row>
    <row r="182" spans="1:15" ht="24.6" x14ac:dyDescent="0.25">
      <c r="A182" s="96"/>
      <c r="B182" s="349"/>
      <c r="C182" s="349"/>
      <c r="D182" s="349"/>
      <c r="E182" s="349"/>
      <c r="F182" s="349"/>
      <c r="G182" s="349"/>
      <c r="H182" s="349"/>
      <c r="I182" s="349"/>
      <c r="J182" s="349"/>
      <c r="K182" s="349"/>
      <c r="L182" s="349"/>
      <c r="M182" s="349"/>
      <c r="N182" s="349"/>
      <c r="O182" s="349"/>
    </row>
    <row r="183" spans="1:15" x14ac:dyDescent="0.25">
      <c r="A183" s="82"/>
      <c r="B183" s="41"/>
      <c r="C183" s="42" t="s">
        <v>66</v>
      </c>
      <c r="D183" s="42" t="s">
        <v>67</v>
      </c>
      <c r="E183" s="42" t="s">
        <v>68</v>
      </c>
      <c r="F183" s="42" t="s">
        <v>69</v>
      </c>
      <c r="G183" s="42" t="s">
        <v>70</v>
      </c>
      <c r="H183" s="42" t="s">
        <v>71</v>
      </c>
      <c r="I183" s="42" t="s">
        <v>72</v>
      </c>
      <c r="J183" s="42" t="s">
        <v>73</v>
      </c>
      <c r="K183" s="42" t="s">
        <v>74</v>
      </c>
      <c r="L183" s="42" t="s">
        <v>75</v>
      </c>
      <c r="M183" s="42" t="s">
        <v>76</v>
      </c>
      <c r="N183" s="42" t="s">
        <v>77</v>
      </c>
      <c r="O183" s="42" t="s">
        <v>236</v>
      </c>
    </row>
    <row r="184" spans="1:15" x14ac:dyDescent="0.25">
      <c r="A184" s="82"/>
      <c r="B184" s="44" t="s">
        <v>194</v>
      </c>
      <c r="C184" s="45">
        <f>'3.1. My Income Tax Calculation'!$P$25/12</f>
        <v>138316980.8128652</v>
      </c>
      <c r="D184" s="45">
        <f>'3.1. My Income Tax Calculation'!$P$25/12</f>
        <v>138316980.8128652</v>
      </c>
      <c r="E184" s="45">
        <f>'3.1. My Income Tax Calculation'!$P$25/12</f>
        <v>138316980.8128652</v>
      </c>
      <c r="F184" s="45">
        <f>'3.1. My Income Tax Calculation'!$P$25/12</f>
        <v>138316980.8128652</v>
      </c>
      <c r="G184" s="45">
        <f>'3.1. My Income Tax Calculation'!$P$25/12</f>
        <v>138316980.8128652</v>
      </c>
      <c r="H184" s="45">
        <f>'3.1. My Income Tax Calculation'!$P$25/12</f>
        <v>138316980.8128652</v>
      </c>
      <c r="I184" s="45">
        <f>'3.1. My Income Tax Calculation'!$P$25/12</f>
        <v>138316980.8128652</v>
      </c>
      <c r="J184" s="45">
        <f>'3.1. My Income Tax Calculation'!$P$25/12</f>
        <v>138316980.8128652</v>
      </c>
      <c r="K184" s="45">
        <f>'3.1. My Income Tax Calculation'!$P$25/12</f>
        <v>138316980.8128652</v>
      </c>
      <c r="L184" s="45">
        <f>'3.1. My Income Tax Calculation'!$P$25/12</f>
        <v>138316980.8128652</v>
      </c>
      <c r="M184" s="45">
        <f>'3.1. My Income Tax Calculation'!$P$25/12</f>
        <v>138316980.8128652</v>
      </c>
      <c r="N184" s="45">
        <f>'3.1. My Income Tax Calculation'!$P$25/12</f>
        <v>138316980.8128652</v>
      </c>
      <c r="O184" s="45" t="s">
        <v>173</v>
      </c>
    </row>
    <row r="185" spans="1:15" x14ac:dyDescent="0.25">
      <c r="A185" s="82"/>
      <c r="B185" s="44" t="s">
        <v>246</v>
      </c>
      <c r="C185" s="45">
        <f>'3.2. My wife''s Tax Calc'!$P$25/12</f>
        <v>62267254.226126052</v>
      </c>
      <c r="D185" s="45">
        <f>'3.2. My wife''s Tax Calc'!$P$25/12</f>
        <v>62267254.226126052</v>
      </c>
      <c r="E185" s="45">
        <f>'3.2. My wife''s Tax Calc'!$P$25/12</f>
        <v>62267254.226126052</v>
      </c>
      <c r="F185" s="45">
        <f>'3.2. My wife''s Tax Calc'!$P$25/12</f>
        <v>62267254.226126052</v>
      </c>
      <c r="G185" s="45">
        <f>'3.2. My wife''s Tax Calc'!$P$25/12</f>
        <v>62267254.226126052</v>
      </c>
      <c r="H185" s="45">
        <f>'3.2. My wife''s Tax Calc'!$P$25/12</f>
        <v>62267254.226126052</v>
      </c>
      <c r="I185" s="45">
        <f>'3.2. My wife''s Tax Calc'!$P$25/12</f>
        <v>62267254.226126052</v>
      </c>
      <c r="J185" s="45">
        <f>'3.2. My wife''s Tax Calc'!$P$25/12</f>
        <v>62267254.226126052</v>
      </c>
      <c r="K185" s="45">
        <f>'3.2. My wife''s Tax Calc'!$P$25/12</f>
        <v>62267254.226126052</v>
      </c>
      <c r="L185" s="45">
        <f>'3.2. My wife''s Tax Calc'!$P$25/12</f>
        <v>62267254.226126052</v>
      </c>
      <c r="M185" s="45">
        <f>'3.2. My wife''s Tax Calc'!$P$25/12</f>
        <v>62267254.226126052</v>
      </c>
      <c r="N185" s="45">
        <f>'3.2. My wife''s Tax Calc'!$P$25/12</f>
        <v>62267254.226126052</v>
      </c>
      <c r="O185" s="45" t="s">
        <v>173</v>
      </c>
    </row>
    <row r="186" spans="1:15" x14ac:dyDescent="0.25">
      <c r="A186" s="82"/>
      <c r="B186" s="46" t="s">
        <v>209</v>
      </c>
      <c r="C186" s="47">
        <f>SUM(C184:C185)</f>
        <v>200584235.03899124</v>
      </c>
      <c r="D186" s="47">
        <f t="shared" ref="D186" si="164">SUM(D184:D185)</f>
        <v>200584235.03899124</v>
      </c>
      <c r="E186" s="47">
        <f t="shared" ref="E186" si="165">SUM(E184:E185)</f>
        <v>200584235.03899124</v>
      </c>
      <c r="F186" s="47">
        <f t="shared" ref="F186" si="166">SUM(F184:F185)</f>
        <v>200584235.03899124</v>
      </c>
      <c r="G186" s="47">
        <f t="shared" ref="G186" si="167">SUM(G184:G185)</f>
        <v>200584235.03899124</v>
      </c>
      <c r="H186" s="47">
        <f t="shared" ref="H186" si="168">SUM(H184:H185)</f>
        <v>200584235.03899124</v>
      </c>
      <c r="I186" s="47">
        <f t="shared" ref="I186" si="169">SUM(I184:I185)</f>
        <v>200584235.03899124</v>
      </c>
      <c r="J186" s="47">
        <f t="shared" ref="J186" si="170">SUM(J184:J185)</f>
        <v>200584235.03899124</v>
      </c>
      <c r="K186" s="47">
        <f>SUM(K184:K185)</f>
        <v>200584235.03899124</v>
      </c>
      <c r="L186" s="47">
        <f t="shared" ref="L186" si="171">SUM(L184:L185)</f>
        <v>200584235.03899124</v>
      </c>
      <c r="M186" s="47">
        <f t="shared" ref="M186" si="172">SUM(M184:M185)</f>
        <v>200584235.03899124</v>
      </c>
      <c r="N186" s="47">
        <f t="shared" ref="N186" si="173">SUM(N184:N185)</f>
        <v>200584235.03899124</v>
      </c>
      <c r="O186" s="47">
        <f>SUM(C186:N186)</f>
        <v>2407010820.467895</v>
      </c>
    </row>
    <row r="187" spans="1:15" x14ac:dyDescent="0.25">
      <c r="A187" s="82"/>
      <c r="B187" s="52" t="s">
        <v>78</v>
      </c>
      <c r="C187" s="53" t="s">
        <v>173</v>
      </c>
      <c r="D187" s="53" t="s">
        <v>173</v>
      </c>
      <c r="E187" s="53" t="s">
        <v>173</v>
      </c>
      <c r="F187" s="53" t="s">
        <v>173</v>
      </c>
      <c r="G187" s="53" t="s">
        <v>173</v>
      </c>
      <c r="H187" s="53" t="s">
        <v>173</v>
      </c>
      <c r="I187" s="53" t="s">
        <v>173</v>
      </c>
      <c r="J187" s="53" t="s">
        <v>173</v>
      </c>
      <c r="K187" s="53" t="s">
        <v>173</v>
      </c>
      <c r="L187" s="53" t="s">
        <v>173</v>
      </c>
      <c r="M187" s="53" t="s">
        <v>173</v>
      </c>
      <c r="N187" s="53" t="s">
        <v>173</v>
      </c>
      <c r="O187" s="91" t="s">
        <v>173</v>
      </c>
    </row>
    <row r="188" spans="1:15" x14ac:dyDescent="0.25">
      <c r="A188" s="82"/>
      <c r="B188" s="48" t="s">
        <v>79</v>
      </c>
      <c r="C188" s="54" t="s">
        <v>173</v>
      </c>
      <c r="D188" s="54" t="s">
        <v>173</v>
      </c>
      <c r="E188" s="54" t="s">
        <v>173</v>
      </c>
      <c r="F188" s="54" t="s">
        <v>173</v>
      </c>
      <c r="G188" s="54" t="s">
        <v>173</v>
      </c>
      <c r="H188" s="54" t="s">
        <v>173</v>
      </c>
      <c r="I188" s="54" t="s">
        <v>173</v>
      </c>
      <c r="J188" s="54" t="s">
        <v>173</v>
      </c>
      <c r="K188" s="54" t="s">
        <v>173</v>
      </c>
      <c r="L188" s="54" t="s">
        <v>173</v>
      </c>
      <c r="M188" s="54" t="s">
        <v>173</v>
      </c>
      <c r="N188" s="54" t="s">
        <v>173</v>
      </c>
      <c r="O188" s="91" t="s">
        <v>173</v>
      </c>
    </row>
    <row r="189" spans="1:15" x14ac:dyDescent="0.25">
      <c r="A189" s="83"/>
      <c r="B189" s="49" t="s">
        <v>195</v>
      </c>
      <c r="C189" s="50">
        <f>C153*(1+$K$68)</f>
        <v>325342.45169779926</v>
      </c>
      <c r="D189" s="50">
        <v>0</v>
      </c>
      <c r="E189" s="50">
        <v>0</v>
      </c>
      <c r="F189" s="50">
        <v>0</v>
      </c>
      <c r="G189" s="50">
        <v>0</v>
      </c>
      <c r="H189" s="50">
        <v>0</v>
      </c>
      <c r="I189" s="50">
        <v>0</v>
      </c>
      <c r="J189" s="50">
        <v>0</v>
      </c>
      <c r="K189" s="50">
        <v>0</v>
      </c>
      <c r="L189" s="50">
        <v>0</v>
      </c>
      <c r="M189" s="50">
        <v>0</v>
      </c>
      <c r="N189" s="50">
        <v>0</v>
      </c>
      <c r="O189" s="90">
        <f t="shared" ref="O189:O192" si="174">SUM(C189:N189)</f>
        <v>325342.45169779926</v>
      </c>
    </row>
    <row r="190" spans="1:15" x14ac:dyDescent="0.25">
      <c r="A190" s="82"/>
      <c r="B190" s="51" t="s">
        <v>178</v>
      </c>
      <c r="C190" s="50">
        <f>C154*(1+$K$68)</f>
        <v>2464715.5431651459</v>
      </c>
      <c r="D190" s="50">
        <f t="shared" ref="D190:N190" si="175">D154*(1+$K$68)</f>
        <v>2464715.5431651459</v>
      </c>
      <c r="E190" s="50">
        <f t="shared" si="175"/>
        <v>2464715.5431651459</v>
      </c>
      <c r="F190" s="50">
        <f t="shared" si="175"/>
        <v>2464715.5431651459</v>
      </c>
      <c r="G190" s="50">
        <f t="shared" si="175"/>
        <v>2464715.5431651459</v>
      </c>
      <c r="H190" s="50">
        <f t="shared" si="175"/>
        <v>2464715.5431651459</v>
      </c>
      <c r="I190" s="50">
        <f t="shared" si="175"/>
        <v>2464715.5431651459</v>
      </c>
      <c r="J190" s="50">
        <f t="shared" si="175"/>
        <v>2464715.5431651459</v>
      </c>
      <c r="K190" s="50">
        <f t="shared" si="175"/>
        <v>2464715.5431651459</v>
      </c>
      <c r="L190" s="50">
        <f t="shared" si="175"/>
        <v>2464715.5431651459</v>
      </c>
      <c r="M190" s="50">
        <f t="shared" si="175"/>
        <v>2464715.5431651459</v>
      </c>
      <c r="N190" s="50">
        <f t="shared" si="175"/>
        <v>2464715.5431651459</v>
      </c>
      <c r="O190" s="90">
        <f t="shared" si="174"/>
        <v>29576586.517981756</v>
      </c>
    </row>
    <row r="191" spans="1:15" x14ac:dyDescent="0.25">
      <c r="A191" s="84"/>
      <c r="B191" s="51" t="s">
        <v>248</v>
      </c>
      <c r="C191" s="50">
        <f>C155*(1+$K$68)</f>
        <v>295765.86517981748</v>
      </c>
      <c r="D191" s="50">
        <f t="shared" ref="D191:N191" si="176">D155*(1+$K$68)</f>
        <v>295765.86517981748</v>
      </c>
      <c r="E191" s="50">
        <f t="shared" si="176"/>
        <v>295765.86517981748</v>
      </c>
      <c r="F191" s="50">
        <f t="shared" si="176"/>
        <v>295765.86517981748</v>
      </c>
      <c r="G191" s="50">
        <f t="shared" si="176"/>
        <v>295765.86517981748</v>
      </c>
      <c r="H191" s="50">
        <f t="shared" si="176"/>
        <v>295765.86517981748</v>
      </c>
      <c r="I191" s="50">
        <f t="shared" si="176"/>
        <v>295765.86517981748</v>
      </c>
      <c r="J191" s="50">
        <f t="shared" si="176"/>
        <v>295765.86517981748</v>
      </c>
      <c r="K191" s="50">
        <f t="shared" si="176"/>
        <v>295765.86517981748</v>
      </c>
      <c r="L191" s="50">
        <f t="shared" si="176"/>
        <v>295765.86517981748</v>
      </c>
      <c r="M191" s="50">
        <f t="shared" si="176"/>
        <v>295765.86517981748</v>
      </c>
      <c r="N191" s="50">
        <f t="shared" si="176"/>
        <v>295765.86517981748</v>
      </c>
      <c r="O191" s="90">
        <f t="shared" si="174"/>
        <v>3549190.3821578105</v>
      </c>
    </row>
    <row r="192" spans="1:15" x14ac:dyDescent="0.25">
      <c r="A192" s="82"/>
      <c r="B192" s="46" t="s">
        <v>207</v>
      </c>
      <c r="C192" s="47">
        <f t="shared" ref="C192:N192" si="177">SUM(C189:C191)</f>
        <v>3085823.8600427629</v>
      </c>
      <c r="D192" s="47">
        <f t="shared" si="177"/>
        <v>2760481.4083449636</v>
      </c>
      <c r="E192" s="47">
        <f t="shared" si="177"/>
        <v>2760481.4083449636</v>
      </c>
      <c r="F192" s="47">
        <f t="shared" si="177"/>
        <v>2760481.4083449636</v>
      </c>
      <c r="G192" s="47">
        <f t="shared" si="177"/>
        <v>2760481.4083449636</v>
      </c>
      <c r="H192" s="47">
        <f t="shared" si="177"/>
        <v>2760481.4083449636</v>
      </c>
      <c r="I192" s="47">
        <f t="shared" si="177"/>
        <v>2760481.4083449636</v>
      </c>
      <c r="J192" s="47">
        <f t="shared" si="177"/>
        <v>2760481.4083449636</v>
      </c>
      <c r="K192" s="47">
        <f t="shared" si="177"/>
        <v>2760481.4083449636</v>
      </c>
      <c r="L192" s="47">
        <f t="shared" si="177"/>
        <v>2760481.4083449636</v>
      </c>
      <c r="M192" s="47">
        <f t="shared" si="177"/>
        <v>2760481.4083449636</v>
      </c>
      <c r="N192" s="47">
        <f t="shared" si="177"/>
        <v>2760481.4083449636</v>
      </c>
      <c r="O192" s="47">
        <f t="shared" si="174"/>
        <v>33451119.351837352</v>
      </c>
    </row>
    <row r="193" spans="1:25" x14ac:dyDescent="0.25">
      <c r="A193" s="82"/>
      <c r="B193" s="55" t="s">
        <v>83</v>
      </c>
      <c r="C193" s="59" t="s">
        <v>173</v>
      </c>
      <c r="D193" s="59" t="s">
        <v>173</v>
      </c>
      <c r="E193" s="59" t="s">
        <v>173</v>
      </c>
      <c r="F193" s="59" t="s">
        <v>173</v>
      </c>
      <c r="G193" s="59" t="s">
        <v>173</v>
      </c>
      <c r="H193" s="59" t="s">
        <v>173</v>
      </c>
      <c r="I193" s="59" t="s">
        <v>173</v>
      </c>
      <c r="J193" s="59" t="s">
        <v>173</v>
      </c>
      <c r="K193" s="59" t="s">
        <v>173</v>
      </c>
      <c r="L193" s="59" t="s">
        <v>173</v>
      </c>
      <c r="M193" s="59" t="s">
        <v>173</v>
      </c>
      <c r="N193" s="59" t="s">
        <v>173</v>
      </c>
      <c r="O193" s="91" t="s">
        <v>173</v>
      </c>
    </row>
    <row r="194" spans="1:25" x14ac:dyDescent="0.25">
      <c r="A194" s="82"/>
      <c r="B194" s="57" t="s">
        <v>210</v>
      </c>
      <c r="C194" s="89">
        <f t="shared" ref="C194:N194" si="178">C158*(1+$K$68)</f>
        <v>3263283.3791506537</v>
      </c>
      <c r="D194" s="89">
        <f t="shared" si="178"/>
        <v>3933686.0068915738</v>
      </c>
      <c r="E194" s="89">
        <f t="shared" si="178"/>
        <v>3628061.2795390934</v>
      </c>
      <c r="F194" s="89">
        <f t="shared" si="178"/>
        <v>3391448.587395241</v>
      </c>
      <c r="G194" s="89">
        <f t="shared" si="178"/>
        <v>3115400.4465607447</v>
      </c>
      <c r="H194" s="89">
        <f t="shared" si="178"/>
        <v>3904109.4203735902</v>
      </c>
      <c r="I194" s="89">
        <f t="shared" si="178"/>
        <v>4554794.3237691894</v>
      </c>
      <c r="J194" s="89">
        <f t="shared" si="178"/>
        <v>4367475.9424886387</v>
      </c>
      <c r="K194" s="89">
        <f t="shared" si="178"/>
        <v>3371730.8630499188</v>
      </c>
      <c r="L194" s="89">
        <f t="shared" si="178"/>
        <v>3460460.6226038649</v>
      </c>
      <c r="M194" s="89">
        <f t="shared" si="178"/>
        <v>3292859.965668635</v>
      </c>
      <c r="N194" s="89">
        <f t="shared" si="178"/>
        <v>3559049.24433047</v>
      </c>
      <c r="O194" s="92">
        <f t="shared" ref="O194:O204" si="179">SUM(C194:N194)</f>
        <v>43842360.081821613</v>
      </c>
    </row>
    <row r="195" spans="1:25" x14ac:dyDescent="0.25">
      <c r="A195" s="82"/>
      <c r="B195" s="57" t="s">
        <v>203</v>
      </c>
      <c r="C195" s="89">
        <f t="shared" ref="C195:N195" si="180">C159*(1+$K$68)</f>
        <v>11781340.296329394</v>
      </c>
      <c r="D195" s="89">
        <f t="shared" si="180"/>
        <v>12688355.616214173</v>
      </c>
      <c r="E195" s="89">
        <f t="shared" si="180"/>
        <v>14226338.115149222</v>
      </c>
      <c r="F195" s="89">
        <f t="shared" si="180"/>
        <v>10785595.216890683</v>
      </c>
      <c r="G195" s="89">
        <f t="shared" si="180"/>
        <v>14354503.323393812</v>
      </c>
      <c r="H195" s="89">
        <f t="shared" si="180"/>
        <v>13526358.900890321</v>
      </c>
      <c r="I195" s="89">
        <f t="shared" si="180"/>
        <v>12412307.475379679</v>
      </c>
      <c r="J195" s="89">
        <f t="shared" si="180"/>
        <v>14758716.672472894</v>
      </c>
      <c r="K195" s="89">
        <f t="shared" si="180"/>
        <v>14423515.358602431</v>
      </c>
      <c r="L195" s="89">
        <f t="shared" si="180"/>
        <v>14423515.358602431</v>
      </c>
      <c r="M195" s="89">
        <f t="shared" si="180"/>
        <v>11209526.290315088</v>
      </c>
      <c r="N195" s="89">
        <f t="shared" si="180"/>
        <v>13822124.766070144</v>
      </c>
      <c r="O195" s="92">
        <f t="shared" si="179"/>
        <v>158412197.39031029</v>
      </c>
    </row>
    <row r="196" spans="1:25" x14ac:dyDescent="0.25">
      <c r="A196" s="82"/>
      <c r="B196" s="58" t="s">
        <v>84</v>
      </c>
      <c r="C196" s="89">
        <f t="shared" ref="C196:N196" si="181">C160*(1+$K$68)</f>
        <v>10420817.316502234</v>
      </c>
      <c r="D196" s="89">
        <f t="shared" si="181"/>
        <v>11377126.947250312</v>
      </c>
      <c r="E196" s="89">
        <f t="shared" si="181"/>
        <v>11416562.395940956</v>
      </c>
      <c r="F196" s="89">
        <f t="shared" si="181"/>
        <v>11791199.158502057</v>
      </c>
      <c r="G196" s="89">
        <f t="shared" si="181"/>
        <v>13950289.974314727</v>
      </c>
      <c r="H196" s="89">
        <f t="shared" si="181"/>
        <v>12067247.299336553</v>
      </c>
      <c r="I196" s="89">
        <f t="shared" si="181"/>
        <v>12530613.821451606</v>
      </c>
      <c r="J196" s="89">
        <f t="shared" si="181"/>
        <v>14423515.358602431</v>
      </c>
      <c r="K196" s="89">
        <f t="shared" si="181"/>
        <v>13201016.449192526</v>
      </c>
      <c r="L196" s="89">
        <f t="shared" si="181"/>
        <v>13181298.724847201</v>
      </c>
      <c r="M196" s="89">
        <f t="shared" si="181"/>
        <v>14108031.769077294</v>
      </c>
      <c r="N196" s="89">
        <f t="shared" si="181"/>
        <v>11327832.636387011</v>
      </c>
      <c r="O196" s="92">
        <f t="shared" si="179"/>
        <v>149795551.85140491</v>
      </c>
    </row>
    <row r="197" spans="1:25" x14ac:dyDescent="0.25">
      <c r="A197" s="82"/>
      <c r="B197" s="58" t="s">
        <v>81</v>
      </c>
      <c r="C197" s="89">
        <f t="shared" ref="C197:N197" si="182">C161*(1+$K$68)</f>
        <v>739414.66294954414</v>
      </c>
      <c r="D197" s="89">
        <f t="shared" si="182"/>
        <v>739414.66294954414</v>
      </c>
      <c r="E197" s="89">
        <f t="shared" si="182"/>
        <v>739414.66294954414</v>
      </c>
      <c r="F197" s="89">
        <f t="shared" si="182"/>
        <v>739414.66294954414</v>
      </c>
      <c r="G197" s="89">
        <f t="shared" si="182"/>
        <v>739414.66294954414</v>
      </c>
      <c r="H197" s="89">
        <f t="shared" si="182"/>
        <v>739414.66294954414</v>
      </c>
      <c r="I197" s="89">
        <f t="shared" si="182"/>
        <v>739414.66294954414</v>
      </c>
      <c r="J197" s="89">
        <f t="shared" si="182"/>
        <v>739414.66294954414</v>
      </c>
      <c r="K197" s="89">
        <f t="shared" si="182"/>
        <v>739414.66294954414</v>
      </c>
      <c r="L197" s="89">
        <f t="shared" si="182"/>
        <v>739414.66294954414</v>
      </c>
      <c r="M197" s="89">
        <f t="shared" si="182"/>
        <v>739414.66294954414</v>
      </c>
      <c r="N197" s="89">
        <f t="shared" si="182"/>
        <v>739414.66294954414</v>
      </c>
      <c r="O197" s="92">
        <f t="shared" si="179"/>
        <v>8872975.9553945307</v>
      </c>
    </row>
    <row r="198" spans="1:25" x14ac:dyDescent="0.25">
      <c r="A198" s="82"/>
      <c r="B198" s="57" t="s">
        <v>85</v>
      </c>
      <c r="C198" s="89">
        <f t="shared" ref="C198:N198" si="183">C162*(1+$K$68)</f>
        <v>12106682.7480272</v>
      </c>
      <c r="D198" s="89">
        <f t="shared" si="183"/>
        <v>10361664.143466279</v>
      </c>
      <c r="E198" s="89">
        <f t="shared" si="183"/>
        <v>10726442.043854715</v>
      </c>
      <c r="F198" s="89">
        <f t="shared" si="183"/>
        <v>10894042.700789943</v>
      </c>
      <c r="G198" s="89">
        <f t="shared" si="183"/>
        <v>14650269.188573627</v>
      </c>
      <c r="H198" s="89">
        <f t="shared" si="183"/>
        <v>10756018.630372701</v>
      </c>
      <c r="I198" s="89">
        <f t="shared" si="183"/>
        <v>12481319.510588299</v>
      </c>
      <c r="J198" s="89">
        <f t="shared" si="183"/>
        <v>9878579.8970059063</v>
      </c>
      <c r="K198" s="89">
        <f t="shared" si="183"/>
        <v>12846097.410976745</v>
      </c>
      <c r="L198" s="89">
        <f t="shared" si="183"/>
        <v>10203922.348703703</v>
      </c>
      <c r="M198" s="89">
        <f t="shared" si="183"/>
        <v>12993980.343566652</v>
      </c>
      <c r="N198" s="89">
        <f t="shared" si="183"/>
        <v>12372872.026689032</v>
      </c>
      <c r="O198" s="92">
        <f t="shared" si="179"/>
        <v>140271890.99261481</v>
      </c>
    </row>
    <row r="199" spans="1:25" x14ac:dyDescent="0.25">
      <c r="A199" s="84"/>
      <c r="B199" s="58" t="s">
        <v>249</v>
      </c>
      <c r="C199" s="89">
        <f t="shared" ref="C199:N199" si="184">C186*5%</f>
        <v>10029211.751949562</v>
      </c>
      <c r="D199" s="89">
        <f t="shared" si="184"/>
        <v>10029211.751949562</v>
      </c>
      <c r="E199" s="89">
        <f t="shared" si="184"/>
        <v>10029211.751949562</v>
      </c>
      <c r="F199" s="89">
        <f t="shared" si="184"/>
        <v>10029211.751949562</v>
      </c>
      <c r="G199" s="89">
        <f t="shared" si="184"/>
        <v>10029211.751949562</v>
      </c>
      <c r="H199" s="89">
        <f t="shared" si="184"/>
        <v>10029211.751949562</v>
      </c>
      <c r="I199" s="89">
        <f t="shared" si="184"/>
        <v>10029211.751949562</v>
      </c>
      <c r="J199" s="89">
        <f t="shared" si="184"/>
        <v>10029211.751949562</v>
      </c>
      <c r="K199" s="89">
        <f t="shared" si="184"/>
        <v>10029211.751949562</v>
      </c>
      <c r="L199" s="89">
        <f t="shared" si="184"/>
        <v>10029211.751949562</v>
      </c>
      <c r="M199" s="89">
        <f t="shared" si="184"/>
        <v>10029211.751949562</v>
      </c>
      <c r="N199" s="89">
        <f t="shared" si="184"/>
        <v>10029211.751949562</v>
      </c>
      <c r="O199" s="92">
        <f t="shared" si="179"/>
        <v>120350541.02339475</v>
      </c>
    </row>
    <row r="200" spans="1:25" x14ac:dyDescent="0.25">
      <c r="A200" s="84"/>
      <c r="B200" s="58" t="s">
        <v>180</v>
      </c>
      <c r="C200" s="89">
        <f>'7.5. Stage 5&amp;6 budget'!C164*(1+'7.5. Stage 5&amp;6 budget'!$K$68)</f>
        <v>14315067.874703163</v>
      </c>
      <c r="D200" s="89">
        <f>'7.5. Stage 5&amp;6 budget'!D164*(1+'7.5. Stage 5&amp;6 budget'!$K$68)</f>
        <v>14127749.493422613</v>
      </c>
      <c r="E200" s="89">
        <f>'7.5. Stage 5&amp;6 budget'!E164*(1+'7.5. Stage 5&amp;6 budget'!$K$68)</f>
        <v>11741904.847638758</v>
      </c>
      <c r="F200" s="89">
        <f>'7.5. Stage 5&amp;6 budget'!F164*(1+'7.5. Stage 5&amp;6 budget'!$K$68)</f>
        <v>12964403.757048672</v>
      </c>
      <c r="G200" s="89">
        <f>'7.5. Stage 5&amp;6 budget'!G164*(1+'7.5. Stage 5&amp;6 budget'!$K$68)</f>
        <v>10223640.073049027</v>
      </c>
      <c r="H200" s="89">
        <f>'7.5. Stage 5&amp;6 budget'!H164*(1+'7.5. Stage 5&amp;6 budget'!$K$68)</f>
        <v>11367268.085077655</v>
      </c>
      <c r="I200" s="89">
        <f>'7.5. Stage 5&amp;6 budget'!I164*(1+'7.5. Stage 5&amp;6 budget'!$K$68)</f>
        <v>11761622.571984082</v>
      </c>
      <c r="J200" s="89">
        <f>'7.5. Stage 5&amp;6 budget'!J164*(1+'7.5. Stage 5&amp;6 budget'!$K$68)</f>
        <v>13940431.112142062</v>
      </c>
      <c r="K200" s="89">
        <f>'7.5. Stage 5&amp;6 budget'!K164*(1+'7.5. Stage 5&amp;6 budget'!$K$68)</f>
        <v>10913760.425135266</v>
      </c>
      <c r="L200" s="89">
        <f>'7.5. Stage 5&amp;6 budget'!L164*(1+'7.5. Stage 5&amp;6 budget'!$K$68)</f>
        <v>11682751.674602786</v>
      </c>
      <c r="M200" s="89">
        <f>'7.5. Stage 5&amp;6 budget'!M164*(1+'7.5. Stage 5&amp;6 budget'!$K$68)</f>
        <v>11702469.398948109</v>
      </c>
      <c r="N200" s="89">
        <f>'7.5. Stage 5&amp;6 budget'!N164*(1+'7.5. Stage 5&amp;6 budget'!$K$68)</f>
        <v>11406703.533768302</v>
      </c>
      <c r="O200" s="92">
        <f t="shared" si="179"/>
        <v>146147772.8475205</v>
      </c>
    </row>
    <row r="201" spans="1:25" x14ac:dyDescent="0.25">
      <c r="A201" s="84"/>
      <c r="B201" s="58" t="s">
        <v>417</v>
      </c>
      <c r="C201" s="89">
        <f>'13. Insurance package'!$H$2/12*2</f>
        <v>7499166.666666667</v>
      </c>
      <c r="D201" s="89">
        <f>'13. Insurance package'!$H$2/12*2</f>
        <v>7499166.666666667</v>
      </c>
      <c r="E201" s="89">
        <f>'13. Insurance package'!$H$2/12*2</f>
        <v>7499166.666666667</v>
      </c>
      <c r="F201" s="89">
        <f>'13. Insurance package'!$H$2/12*2</f>
        <v>7499166.666666667</v>
      </c>
      <c r="G201" s="89">
        <f>'13. Insurance package'!$H$2/12*2</f>
        <v>7499166.666666667</v>
      </c>
      <c r="H201" s="89">
        <f>'13. Insurance package'!$H$2/12*2</f>
        <v>7499166.666666667</v>
      </c>
      <c r="I201" s="89">
        <f>'13. Insurance package'!$H$2/12*2</f>
        <v>7499166.666666667</v>
      </c>
      <c r="J201" s="89">
        <f>'13. Insurance package'!$H$2/12*2</f>
        <v>7499166.666666667</v>
      </c>
      <c r="K201" s="89">
        <f>'13. Insurance package'!$H$2/12*2</f>
        <v>7499166.666666667</v>
      </c>
      <c r="L201" s="89">
        <f>'13. Insurance package'!$H$2/12*2</f>
        <v>7499166.666666667</v>
      </c>
      <c r="M201" s="89">
        <f>'13. Insurance package'!$H$2/12*2</f>
        <v>7499166.666666667</v>
      </c>
      <c r="N201" s="89">
        <f>'13. Insurance package'!$H$2/12*2</f>
        <v>7499166.666666667</v>
      </c>
      <c r="O201" s="92">
        <f t="shared" ref="O201" si="185">SUM(C201:N201)</f>
        <v>89990000.000000015</v>
      </c>
    </row>
    <row r="202" spans="1:25" x14ac:dyDescent="0.25">
      <c r="A202" s="84"/>
      <c r="B202" s="58" t="s">
        <v>86</v>
      </c>
      <c r="C202" s="89">
        <f>'7.5. Stage 5&amp;6 budget'!C166*(1+'7.5. Stage 5&amp;6 budget'!$K$68)</f>
        <v>10420817.316502234</v>
      </c>
      <c r="D202" s="89">
        <f>'7.5. Stage 5&amp;6 budget'!D166*(1+'7.5. Stage 5&amp;6 budget'!$K$68)</f>
        <v>10302510.970430309</v>
      </c>
      <c r="E202" s="89">
        <f>'7.5. Stage 5&amp;6 budget'!E166*(1+'7.5. Stage 5&amp;6 budget'!$K$68)</f>
        <v>9996886.2430778351</v>
      </c>
      <c r="F202" s="89">
        <f>'7.5. Stage 5&amp;6 budget'!F166*(1+'7.5. Stage 5&amp;6 budget'!$K$68)</f>
        <v>13043274.654429952</v>
      </c>
      <c r="G202" s="89">
        <f>'7.5. Stage 5&amp;6 budget'!G166*(1+'7.5. Stage 5&amp;6 budget'!$K$68)</f>
        <v>12136259.334545178</v>
      </c>
      <c r="H202" s="89">
        <f>'7.5. Stage 5&amp;6 budget'!H166*(1+'7.5. Stage 5&amp;6 budget'!$K$68)</f>
        <v>10105333.726977099</v>
      </c>
      <c r="I202" s="89">
        <f>'7.5. Stage 5&amp;6 budget'!I166*(1+'7.5. Stage 5&amp;6 budget'!$K$68)</f>
        <v>13703818.419998212</v>
      </c>
      <c r="J202" s="89">
        <f>'7.5. Stage 5&amp;6 budget'!J166*(1+'7.5. Stage 5&amp;6 budget'!$K$68)</f>
        <v>13151722.138329221</v>
      </c>
      <c r="K202" s="89">
        <f>'7.5. Stage 5&amp;6 budget'!K166*(1+'7.5. Stage 5&amp;6 budget'!$K$68)</f>
        <v>10588417.973437469</v>
      </c>
      <c r="L202" s="89">
        <f>'7.5. Stage 5&amp;6 budget'!L166*(1+'7.5. Stage 5&amp;6 budget'!$K$68)</f>
        <v>10953195.87382591</v>
      </c>
      <c r="M202" s="89">
        <f>'7.5. Stage 5&amp;6 budget'!M166*(1+'7.5. Stage 5&amp;6 budget'!$K$68)</f>
        <v>13319322.795264447</v>
      </c>
      <c r="N202" s="89">
        <f>'7.5. Stage 5&amp;6 budget'!N166*(1+'7.5. Stage 5&amp;6 budget'!$K$68)</f>
        <v>14019302.009523354</v>
      </c>
      <c r="O202" s="92">
        <f t="shared" si="179"/>
        <v>141740861.45634124</v>
      </c>
    </row>
    <row r="203" spans="1:25" x14ac:dyDescent="0.25">
      <c r="A203" s="82"/>
      <c r="B203" s="46" t="s">
        <v>208</v>
      </c>
      <c r="C203" s="47">
        <f t="shared" ref="C203:N203" si="186">SUM(C194:C202)</f>
        <v>80575802.012780651</v>
      </c>
      <c r="D203" s="47">
        <f t="shared" si="186"/>
        <v>81058886.259241045</v>
      </c>
      <c r="E203" s="47">
        <f t="shared" si="186"/>
        <v>80003988.006766349</v>
      </c>
      <c r="F203" s="47">
        <f t="shared" si="186"/>
        <v>81137757.156622335</v>
      </c>
      <c r="G203" s="47">
        <f t="shared" si="186"/>
        <v>86698155.422002897</v>
      </c>
      <c r="H203" s="47">
        <f t="shared" si="186"/>
        <v>79994129.144593686</v>
      </c>
      <c r="I203" s="47">
        <f t="shared" si="186"/>
        <v>85712269.204736844</v>
      </c>
      <c r="J203" s="47">
        <f t="shared" si="186"/>
        <v>88788234.202606931</v>
      </c>
      <c r="K203" s="47">
        <f t="shared" si="186"/>
        <v>83612331.561960146</v>
      </c>
      <c r="L203" s="47">
        <f t="shared" si="186"/>
        <v>82172937.68475166</v>
      </c>
      <c r="M203" s="47">
        <f t="shared" si="186"/>
        <v>84893983.644406006</v>
      </c>
      <c r="N203" s="47">
        <f t="shared" si="186"/>
        <v>84775677.298334092</v>
      </c>
      <c r="O203" s="47">
        <f t="shared" si="179"/>
        <v>999424151.59880257</v>
      </c>
    </row>
    <row r="204" spans="1:25" x14ac:dyDescent="0.25">
      <c r="A204" s="82"/>
      <c r="B204" s="60" t="s">
        <v>87</v>
      </c>
      <c r="C204" s="47">
        <f t="shared" ref="C204:N204" si="187">C192+C203</f>
        <v>83661625.872823417</v>
      </c>
      <c r="D204" s="47">
        <f t="shared" si="187"/>
        <v>83819367.667586014</v>
      </c>
      <c r="E204" s="47">
        <f t="shared" si="187"/>
        <v>82764469.415111318</v>
      </c>
      <c r="F204" s="47">
        <f t="shared" si="187"/>
        <v>83898238.564967304</v>
      </c>
      <c r="G204" s="47">
        <f t="shared" si="187"/>
        <v>89458636.830347866</v>
      </c>
      <c r="H204" s="47">
        <f t="shared" si="187"/>
        <v>82754610.552938655</v>
      </c>
      <c r="I204" s="47">
        <f t="shared" si="187"/>
        <v>88472750.613081813</v>
      </c>
      <c r="J204" s="47">
        <f t="shared" si="187"/>
        <v>91548715.6109519</v>
      </c>
      <c r="K204" s="47">
        <f t="shared" si="187"/>
        <v>86372812.970305115</v>
      </c>
      <c r="L204" s="47">
        <f t="shared" si="187"/>
        <v>84933419.093096629</v>
      </c>
      <c r="M204" s="47">
        <f t="shared" si="187"/>
        <v>87654465.052750975</v>
      </c>
      <c r="N204" s="47">
        <f t="shared" si="187"/>
        <v>87536158.706679061</v>
      </c>
      <c r="O204" s="47">
        <f t="shared" si="179"/>
        <v>1032875270.9506401</v>
      </c>
    </row>
    <row r="205" spans="1:25" s="11" customFormat="1" x14ac:dyDescent="0.25">
      <c r="A205" s="82"/>
      <c r="B205" s="108" t="s">
        <v>204</v>
      </c>
      <c r="C205" s="109">
        <f>$O204*(3/12)/12</f>
        <v>21518234.811471667</v>
      </c>
      <c r="D205" s="109">
        <f t="shared" ref="D205" si="188">$O204*(3/12)/12</f>
        <v>21518234.811471667</v>
      </c>
      <c r="E205" s="109">
        <f t="shared" ref="E205" si="189">$O204*(3/12)/12</f>
        <v>21518234.811471667</v>
      </c>
      <c r="F205" s="109">
        <f t="shared" ref="F205" si="190">$O204*(3/12)/12</f>
        <v>21518234.811471667</v>
      </c>
      <c r="G205" s="109">
        <f t="shared" ref="G205" si="191">$O204*(3/12)/12</f>
        <v>21518234.811471667</v>
      </c>
      <c r="H205" s="109">
        <f t="shared" ref="H205" si="192">$O204*(3/12)/12</f>
        <v>21518234.811471667</v>
      </c>
      <c r="I205" s="109">
        <f t="shared" ref="I205" si="193">$O204*(3/12)/12</f>
        <v>21518234.811471667</v>
      </c>
      <c r="J205" s="109">
        <f t="shared" ref="J205" si="194">$O204*(3/12)/12</f>
        <v>21518234.811471667</v>
      </c>
      <c r="K205" s="109">
        <f t="shared" ref="K205" si="195">$O204*(3/12)/12</f>
        <v>21518234.811471667</v>
      </c>
      <c r="L205" s="109">
        <f t="shared" ref="L205" si="196">$O204*(3/12)/12</f>
        <v>21518234.811471667</v>
      </c>
      <c r="M205" s="109">
        <f t="shared" ref="M205" si="197">$O204*(3/12)/12</f>
        <v>21518234.811471667</v>
      </c>
      <c r="N205" s="109">
        <f t="shared" ref="N205" si="198">$O204*(3/12)/12</f>
        <v>21518234.811471667</v>
      </c>
      <c r="O205" s="109">
        <f t="shared" ref="O205:O209" si="199">SUM(C205:N205)</f>
        <v>258218817.73766002</v>
      </c>
      <c r="P205" s="43"/>
      <c r="Q205" s="43"/>
      <c r="R205" s="40"/>
      <c r="S205" s="40"/>
      <c r="T205" s="40"/>
      <c r="U205" s="40"/>
      <c r="V205" s="40"/>
      <c r="W205" s="40"/>
      <c r="X205" s="40"/>
      <c r="Y205" s="40"/>
    </row>
    <row r="206" spans="1:25" s="11" customFormat="1" x14ac:dyDescent="0.25">
      <c r="A206" s="82"/>
      <c r="B206" s="108" t="s">
        <v>82</v>
      </c>
      <c r="C206" s="109">
        <f>'6. Mortgage payment'!$C$7</f>
        <v>28168245.060798287</v>
      </c>
      <c r="D206" s="109">
        <f>'6. Mortgage payment'!$C$7</f>
        <v>28168245.060798287</v>
      </c>
      <c r="E206" s="109">
        <f>'6. Mortgage payment'!$C$7</f>
        <v>28168245.060798287</v>
      </c>
      <c r="F206" s="109">
        <f>'6. Mortgage payment'!$C$7</f>
        <v>28168245.060798287</v>
      </c>
      <c r="G206" s="109">
        <f>'6. Mortgage payment'!$C$7</f>
        <v>28168245.060798287</v>
      </c>
      <c r="H206" s="109">
        <f>'6. Mortgage payment'!$C$7</f>
        <v>28168245.060798287</v>
      </c>
      <c r="I206" s="109">
        <f>'6. Mortgage payment'!$C$7</f>
        <v>28168245.060798287</v>
      </c>
      <c r="J206" s="109">
        <f>'6. Mortgage payment'!$C$7</f>
        <v>28168245.060798287</v>
      </c>
      <c r="K206" s="109">
        <f>'6. Mortgage payment'!$C$7</f>
        <v>28168245.060798287</v>
      </c>
      <c r="L206" s="109">
        <f>'6. Mortgage payment'!$C$7</f>
        <v>28168245.060798287</v>
      </c>
      <c r="M206" s="109">
        <f>'6. Mortgage payment'!$C$7</f>
        <v>28168245.060798287</v>
      </c>
      <c r="N206" s="109">
        <f>'6. Mortgage payment'!$C$7</f>
        <v>28168245.060798287</v>
      </c>
      <c r="O206" s="109">
        <f t="shared" si="199"/>
        <v>338018940.72957945</v>
      </c>
      <c r="P206" s="43"/>
      <c r="Q206" s="43"/>
      <c r="R206" s="40"/>
      <c r="S206" s="40"/>
      <c r="T206" s="40"/>
      <c r="U206" s="40"/>
      <c r="V206" s="40"/>
      <c r="W206" s="40"/>
      <c r="X206" s="40"/>
      <c r="Y206" s="40"/>
    </row>
    <row r="207" spans="1:25" s="11" customFormat="1" x14ac:dyDescent="0.25">
      <c r="A207" s="82"/>
      <c r="B207" s="108" t="s">
        <v>251</v>
      </c>
      <c r="C207" s="109">
        <f>-PMT(4%,18*12,(150000000*8)/(1+4%)^18)</f>
        <v>23699110.369091634</v>
      </c>
      <c r="D207" s="109">
        <f t="shared" ref="D207:N207" si="200">-PMT(4%,18*12,(150000000*8)/(1+4%)^18)</f>
        <v>23699110.369091634</v>
      </c>
      <c r="E207" s="109">
        <f t="shared" si="200"/>
        <v>23699110.369091634</v>
      </c>
      <c r="F207" s="109">
        <f t="shared" si="200"/>
        <v>23699110.369091634</v>
      </c>
      <c r="G207" s="109">
        <f t="shared" si="200"/>
        <v>23699110.369091634</v>
      </c>
      <c r="H207" s="109">
        <f t="shared" si="200"/>
        <v>23699110.369091634</v>
      </c>
      <c r="I207" s="109">
        <f t="shared" si="200"/>
        <v>23699110.369091634</v>
      </c>
      <c r="J207" s="109">
        <f t="shared" si="200"/>
        <v>23699110.369091634</v>
      </c>
      <c r="K207" s="109">
        <f t="shared" si="200"/>
        <v>23699110.369091634</v>
      </c>
      <c r="L207" s="109">
        <f t="shared" si="200"/>
        <v>23699110.369091634</v>
      </c>
      <c r="M207" s="109">
        <f t="shared" si="200"/>
        <v>23699110.369091634</v>
      </c>
      <c r="N207" s="109">
        <f t="shared" si="200"/>
        <v>23699110.369091634</v>
      </c>
      <c r="O207" s="109">
        <f>SUM(C207:N207)</f>
        <v>284389324.42909962</v>
      </c>
      <c r="P207" s="43"/>
      <c r="Q207" s="43"/>
      <c r="R207" s="40"/>
      <c r="S207" s="40"/>
      <c r="T207" s="40"/>
      <c r="U207" s="40"/>
      <c r="V207" s="40"/>
      <c r="W207" s="40"/>
      <c r="X207" s="40"/>
      <c r="Y207" s="40"/>
    </row>
    <row r="208" spans="1:25" s="11" customFormat="1" x14ac:dyDescent="0.25">
      <c r="A208" s="82"/>
      <c r="B208" s="108" t="s">
        <v>386</v>
      </c>
      <c r="C208" s="109">
        <f>C172*(1+$K$68)</f>
        <v>2701415.2582603744</v>
      </c>
      <c r="D208" s="109">
        <v>0</v>
      </c>
      <c r="E208" s="109">
        <v>0</v>
      </c>
      <c r="F208" s="109">
        <v>0</v>
      </c>
      <c r="G208" s="109">
        <v>0</v>
      </c>
      <c r="H208" s="109">
        <v>0</v>
      </c>
      <c r="I208" s="109">
        <v>0</v>
      </c>
      <c r="J208" s="109">
        <v>0</v>
      </c>
      <c r="K208" s="109">
        <v>0</v>
      </c>
      <c r="L208" s="109">
        <v>0</v>
      </c>
      <c r="M208" s="109">
        <v>0</v>
      </c>
      <c r="N208" s="109">
        <v>0</v>
      </c>
      <c r="O208" s="109">
        <f t="shared" si="199"/>
        <v>2701415.2582603744</v>
      </c>
      <c r="P208" s="43"/>
      <c r="Q208" s="43"/>
      <c r="R208" s="40"/>
      <c r="S208" s="40"/>
      <c r="T208" s="40"/>
      <c r="U208" s="40"/>
      <c r="V208" s="40"/>
      <c r="W208" s="40"/>
      <c r="X208" s="40"/>
      <c r="Y208" s="40"/>
    </row>
    <row r="209" spans="1:25" s="11" customFormat="1" x14ac:dyDescent="0.25">
      <c r="A209" s="82"/>
      <c r="B209" s="60" t="s">
        <v>206</v>
      </c>
      <c r="C209" s="61">
        <f>C186-C204-C205-C206-C208-C207</f>
        <v>40835603.666545853</v>
      </c>
      <c r="D209" s="61">
        <f t="shared" ref="D209:N209" si="201">D186-D204-D205-D206-D208-D207</f>
        <v>43379277.130043641</v>
      </c>
      <c r="E209" s="61">
        <f t="shared" si="201"/>
        <v>44434175.382518336</v>
      </c>
      <c r="F209" s="61">
        <f t="shared" si="201"/>
        <v>43300406.23266235</v>
      </c>
      <c r="G209" s="61">
        <f t="shared" si="201"/>
        <v>37740007.967281789</v>
      </c>
      <c r="H209" s="61">
        <f t="shared" si="201"/>
        <v>44444034.244690999</v>
      </c>
      <c r="I209" s="61">
        <f t="shared" si="201"/>
        <v>38725894.184547842</v>
      </c>
      <c r="J209" s="61">
        <f t="shared" si="201"/>
        <v>35649929.186677754</v>
      </c>
      <c r="K209" s="61">
        <f t="shared" si="201"/>
        <v>40825831.827324539</v>
      </c>
      <c r="L209" s="61">
        <f t="shared" si="201"/>
        <v>42265225.704533026</v>
      </c>
      <c r="M209" s="61">
        <f t="shared" si="201"/>
        <v>39544179.74487868</v>
      </c>
      <c r="N209" s="61">
        <f t="shared" si="201"/>
        <v>39662486.090950593</v>
      </c>
      <c r="O209" s="47">
        <f t="shared" si="199"/>
        <v>490807051.3626554</v>
      </c>
      <c r="P209" s="43"/>
      <c r="Q209" s="43"/>
      <c r="R209" s="40"/>
      <c r="S209" s="40"/>
      <c r="T209" s="40"/>
      <c r="U209" s="40"/>
      <c r="V209" s="40"/>
      <c r="W209" s="40"/>
      <c r="X209" s="40"/>
      <c r="Y209" s="40"/>
    </row>
    <row r="210" spans="1:25" x14ac:dyDescent="0.25">
      <c r="A210" s="85"/>
      <c r="B210" s="40"/>
      <c r="C210" s="40"/>
      <c r="D210" s="40"/>
      <c r="E210" s="40"/>
      <c r="F210" s="40"/>
      <c r="G210" s="40"/>
      <c r="H210" s="40"/>
      <c r="I210" s="40"/>
      <c r="J210" s="40"/>
      <c r="K210" s="40"/>
      <c r="L210" s="353" t="s">
        <v>217</v>
      </c>
      <c r="M210" s="354"/>
      <c r="N210" s="350">
        <f>SUM(C209:N209)+N174</f>
        <v>9722925683.4161491</v>
      </c>
      <c r="O210" s="40"/>
    </row>
    <row r="211" spans="1:25" x14ac:dyDescent="0.25">
      <c r="A211" s="85"/>
      <c r="B211" s="40"/>
      <c r="C211" s="40"/>
      <c r="D211" s="40"/>
      <c r="E211" s="40"/>
      <c r="F211" s="40"/>
      <c r="G211" s="40"/>
      <c r="H211" s="40"/>
      <c r="I211" s="40"/>
      <c r="J211" s="40"/>
      <c r="K211" s="40"/>
      <c r="L211" s="320"/>
      <c r="M211" s="355"/>
      <c r="N211" s="351"/>
      <c r="O211" s="40"/>
    </row>
    <row r="212" spans="1:25" x14ac:dyDescent="0.25">
      <c r="A212" s="85"/>
      <c r="B212" s="319" t="s">
        <v>632</v>
      </c>
      <c r="C212" s="352" t="s">
        <v>173</v>
      </c>
      <c r="D212" s="352"/>
      <c r="E212" s="352"/>
      <c r="F212" s="352"/>
      <c r="G212" s="352"/>
      <c r="H212" s="352"/>
      <c r="I212" s="40"/>
      <c r="J212" s="358" t="s">
        <v>231</v>
      </c>
      <c r="K212" s="359">
        <v>0.04</v>
      </c>
      <c r="L212" s="40"/>
      <c r="M212" s="40"/>
      <c r="N212" s="40"/>
      <c r="O212" s="361"/>
    </row>
    <row r="213" spans="1:25" x14ac:dyDescent="0.25">
      <c r="A213" s="85"/>
      <c r="B213" s="319"/>
      <c r="C213" s="352"/>
      <c r="D213" s="352"/>
      <c r="E213" s="352"/>
      <c r="F213" s="352"/>
      <c r="G213" s="352"/>
      <c r="H213" s="352"/>
      <c r="I213" s="40"/>
      <c r="J213" s="358"/>
      <c r="K213" s="360"/>
      <c r="L213" s="40"/>
      <c r="M213" s="40"/>
      <c r="N213" s="40"/>
      <c r="O213" s="362"/>
    </row>
    <row r="214" spans="1:25" x14ac:dyDescent="0.25">
      <c r="A214" s="85"/>
      <c r="B214" s="319"/>
      <c r="C214" s="352"/>
      <c r="D214" s="352"/>
      <c r="E214" s="352"/>
      <c r="F214" s="352"/>
      <c r="G214" s="352"/>
      <c r="H214" s="352"/>
      <c r="I214" s="40"/>
      <c r="J214" s="40"/>
      <c r="K214" s="40"/>
      <c r="L214" s="40"/>
      <c r="M214" s="40"/>
      <c r="N214" s="40"/>
      <c r="O214" s="40"/>
    </row>
    <row r="217" spans="1:25" ht="24.6" x14ac:dyDescent="0.25">
      <c r="A217" s="96"/>
      <c r="B217" s="348" t="s">
        <v>266</v>
      </c>
      <c r="C217" s="348"/>
      <c r="D217" s="348"/>
      <c r="E217" s="348"/>
      <c r="F217" s="348"/>
      <c r="G217" s="348"/>
      <c r="H217" s="348"/>
      <c r="I217" s="348"/>
      <c r="J217" s="348"/>
      <c r="K217" s="348"/>
      <c r="L217" s="348"/>
      <c r="M217" s="348"/>
      <c r="N217" s="348"/>
      <c r="O217" s="348"/>
    </row>
    <row r="218" spans="1:25" ht="24.6" x14ac:dyDescent="0.25">
      <c r="A218" s="96"/>
      <c r="B218" s="349"/>
      <c r="C218" s="349"/>
      <c r="D218" s="349"/>
      <c r="E218" s="349"/>
      <c r="F218" s="349"/>
      <c r="G218" s="349"/>
      <c r="H218" s="349"/>
      <c r="I218" s="349"/>
      <c r="J218" s="349"/>
      <c r="K218" s="349"/>
      <c r="L218" s="349"/>
      <c r="M218" s="349"/>
      <c r="N218" s="349"/>
      <c r="O218" s="349"/>
    </row>
    <row r="219" spans="1:25" x14ac:dyDescent="0.25">
      <c r="A219" s="82"/>
      <c r="B219" s="41"/>
      <c r="C219" s="42" t="s">
        <v>66</v>
      </c>
      <c r="D219" s="42" t="s">
        <v>67</v>
      </c>
      <c r="E219" s="42" t="s">
        <v>68</v>
      </c>
      <c r="F219" s="42" t="s">
        <v>69</v>
      </c>
      <c r="G219" s="42" t="s">
        <v>70</v>
      </c>
      <c r="H219" s="42" t="s">
        <v>71</v>
      </c>
      <c r="I219" s="42" t="s">
        <v>72</v>
      </c>
      <c r="J219" s="42" t="s">
        <v>73</v>
      </c>
      <c r="K219" s="42" t="s">
        <v>74</v>
      </c>
      <c r="L219" s="42" t="s">
        <v>75</v>
      </c>
      <c r="M219" s="42" t="s">
        <v>76</v>
      </c>
      <c r="N219" s="42" t="s">
        <v>77</v>
      </c>
      <c r="O219" s="42" t="s">
        <v>236</v>
      </c>
    </row>
    <row r="220" spans="1:25" x14ac:dyDescent="0.25">
      <c r="A220" s="82"/>
      <c r="B220" s="44" t="s">
        <v>194</v>
      </c>
      <c r="C220" s="45">
        <f>'3.1. My Income Tax Calculation'!$P$26/12</f>
        <v>138976717.77010977</v>
      </c>
      <c r="D220" s="45">
        <f>'3.1. My Income Tax Calculation'!$P$26/12</f>
        <v>138976717.77010977</v>
      </c>
      <c r="E220" s="45">
        <f>'3.1. My Income Tax Calculation'!$P$26/12</f>
        <v>138976717.77010977</v>
      </c>
      <c r="F220" s="45">
        <f>'3.1. My Income Tax Calculation'!$P$26/12</f>
        <v>138976717.77010977</v>
      </c>
      <c r="G220" s="45">
        <f>'3.1. My Income Tax Calculation'!$P$26/12</f>
        <v>138976717.77010977</v>
      </c>
      <c r="H220" s="45">
        <f>'3.1. My Income Tax Calculation'!$P$26/12</f>
        <v>138976717.77010977</v>
      </c>
      <c r="I220" s="45">
        <f>'3.1. My Income Tax Calculation'!$P$26/12</f>
        <v>138976717.77010977</v>
      </c>
      <c r="J220" s="45">
        <f>'3.1. My Income Tax Calculation'!$P$26/12</f>
        <v>138976717.77010977</v>
      </c>
      <c r="K220" s="45">
        <f>'3.1. My Income Tax Calculation'!$P$26/12</f>
        <v>138976717.77010977</v>
      </c>
      <c r="L220" s="45">
        <f>'3.1. My Income Tax Calculation'!$P$26/12</f>
        <v>138976717.77010977</v>
      </c>
      <c r="M220" s="45">
        <f>'3.1. My Income Tax Calculation'!$P$26/12</f>
        <v>138976717.77010977</v>
      </c>
      <c r="N220" s="45">
        <f>'3.1. My Income Tax Calculation'!$P$26/12</f>
        <v>138976717.77010977</v>
      </c>
      <c r="O220" s="45" t="s">
        <v>173</v>
      </c>
    </row>
    <row r="221" spans="1:25" x14ac:dyDescent="0.25">
      <c r="A221" s="82"/>
      <c r="B221" s="44" t="s">
        <v>246</v>
      </c>
      <c r="C221" s="45">
        <f>'3.2. My wife''s Tax Calc'!$P$26/12</f>
        <v>62548463.219087906</v>
      </c>
      <c r="D221" s="45">
        <f>'3.2. My wife''s Tax Calc'!$P$26/12</f>
        <v>62548463.219087906</v>
      </c>
      <c r="E221" s="45">
        <f>'3.2. My wife''s Tax Calc'!$P$26/12</f>
        <v>62548463.219087906</v>
      </c>
      <c r="F221" s="45">
        <f>'3.2. My wife''s Tax Calc'!$P$26/12</f>
        <v>62548463.219087906</v>
      </c>
      <c r="G221" s="45">
        <f>'3.2. My wife''s Tax Calc'!$P$26/12</f>
        <v>62548463.219087906</v>
      </c>
      <c r="H221" s="45">
        <f>'3.2. My wife''s Tax Calc'!$P$26/12</f>
        <v>62548463.219087906</v>
      </c>
      <c r="I221" s="45">
        <f>'3.2. My wife''s Tax Calc'!$P$26/12</f>
        <v>62548463.219087906</v>
      </c>
      <c r="J221" s="45">
        <f>'3.2. My wife''s Tax Calc'!$P$26/12</f>
        <v>62548463.219087906</v>
      </c>
      <c r="K221" s="45">
        <f>'3.2. My wife''s Tax Calc'!$P$26/12</f>
        <v>62548463.219087906</v>
      </c>
      <c r="L221" s="45">
        <f>'3.2. My wife''s Tax Calc'!$P$26/12</f>
        <v>62548463.219087906</v>
      </c>
      <c r="M221" s="45">
        <f>'3.2. My wife''s Tax Calc'!$P$26/12</f>
        <v>62548463.219087906</v>
      </c>
      <c r="N221" s="45">
        <f>'3.2. My wife''s Tax Calc'!$P$26/12</f>
        <v>62548463.219087906</v>
      </c>
      <c r="O221" s="45" t="s">
        <v>173</v>
      </c>
    </row>
    <row r="222" spans="1:25" x14ac:dyDescent="0.25">
      <c r="A222" s="82"/>
      <c r="B222" s="46" t="s">
        <v>209</v>
      </c>
      <c r="C222" s="47">
        <f>SUM(C220:C221)</f>
        <v>201525180.98919767</v>
      </c>
      <c r="D222" s="47">
        <f t="shared" ref="D222" si="202">SUM(D220:D221)</f>
        <v>201525180.98919767</v>
      </c>
      <c r="E222" s="47">
        <f t="shared" ref="E222" si="203">SUM(E220:E221)</f>
        <v>201525180.98919767</v>
      </c>
      <c r="F222" s="47">
        <f t="shared" ref="F222" si="204">SUM(F220:F221)</f>
        <v>201525180.98919767</v>
      </c>
      <c r="G222" s="47">
        <f t="shared" ref="G222" si="205">SUM(G220:G221)</f>
        <v>201525180.98919767</v>
      </c>
      <c r="H222" s="47">
        <f t="shared" ref="H222" si="206">SUM(H220:H221)</f>
        <v>201525180.98919767</v>
      </c>
      <c r="I222" s="47">
        <f t="shared" ref="I222" si="207">SUM(I220:I221)</f>
        <v>201525180.98919767</v>
      </c>
      <c r="J222" s="47">
        <f t="shared" ref="J222" si="208">SUM(J220:J221)</f>
        <v>201525180.98919767</v>
      </c>
      <c r="K222" s="47">
        <f>SUM(K220:K221)</f>
        <v>201525180.98919767</v>
      </c>
      <c r="L222" s="47">
        <f t="shared" ref="L222" si="209">SUM(L220:L221)</f>
        <v>201525180.98919767</v>
      </c>
      <c r="M222" s="47">
        <f t="shared" ref="M222" si="210">SUM(M220:M221)</f>
        <v>201525180.98919767</v>
      </c>
      <c r="N222" s="47">
        <f t="shared" ref="N222" si="211">SUM(N220:N221)</f>
        <v>201525180.98919767</v>
      </c>
      <c r="O222" s="47">
        <f>SUM(C222:N222)</f>
        <v>2418302171.8703723</v>
      </c>
    </row>
    <row r="223" spans="1:25" x14ac:dyDescent="0.25">
      <c r="A223" s="82"/>
      <c r="B223" s="52" t="s">
        <v>78</v>
      </c>
      <c r="C223" s="53" t="s">
        <v>173</v>
      </c>
      <c r="D223" s="53" t="s">
        <v>173</v>
      </c>
      <c r="E223" s="53" t="s">
        <v>173</v>
      </c>
      <c r="F223" s="53" t="s">
        <v>173</v>
      </c>
      <c r="G223" s="53" t="s">
        <v>173</v>
      </c>
      <c r="H223" s="53" t="s">
        <v>173</v>
      </c>
      <c r="I223" s="53" t="s">
        <v>173</v>
      </c>
      <c r="J223" s="53" t="s">
        <v>173</v>
      </c>
      <c r="K223" s="53" t="s">
        <v>173</v>
      </c>
      <c r="L223" s="53" t="s">
        <v>173</v>
      </c>
      <c r="M223" s="53" t="s">
        <v>173</v>
      </c>
      <c r="N223" s="53" t="s">
        <v>173</v>
      </c>
      <c r="O223" s="91" t="s">
        <v>173</v>
      </c>
    </row>
    <row r="224" spans="1:25" x14ac:dyDescent="0.25">
      <c r="A224" s="82"/>
      <c r="B224" s="48" t="s">
        <v>79</v>
      </c>
      <c r="C224" s="54" t="s">
        <v>173</v>
      </c>
      <c r="D224" s="54" t="s">
        <v>173</v>
      </c>
      <c r="E224" s="54" t="s">
        <v>173</v>
      </c>
      <c r="F224" s="54" t="s">
        <v>173</v>
      </c>
      <c r="G224" s="54" t="s">
        <v>173</v>
      </c>
      <c r="H224" s="54" t="s">
        <v>173</v>
      </c>
      <c r="I224" s="54" t="s">
        <v>173</v>
      </c>
      <c r="J224" s="54" t="s">
        <v>173</v>
      </c>
      <c r="K224" s="54" t="s">
        <v>173</v>
      </c>
      <c r="L224" s="54" t="s">
        <v>173</v>
      </c>
      <c r="M224" s="54" t="s">
        <v>173</v>
      </c>
      <c r="N224" s="54" t="s">
        <v>173</v>
      </c>
      <c r="O224" s="91" t="s">
        <v>173</v>
      </c>
    </row>
    <row r="225" spans="1:15" x14ac:dyDescent="0.25">
      <c r="A225" s="83"/>
      <c r="B225" s="49" t="s">
        <v>195</v>
      </c>
      <c r="C225" s="50">
        <f>C189*(1+$K$68)</f>
        <v>338356.14976571122</v>
      </c>
      <c r="D225" s="50">
        <v>0</v>
      </c>
      <c r="E225" s="50">
        <v>0</v>
      </c>
      <c r="F225" s="50">
        <v>0</v>
      </c>
      <c r="G225" s="50">
        <v>0</v>
      </c>
      <c r="H225" s="50">
        <v>0</v>
      </c>
      <c r="I225" s="50">
        <v>0</v>
      </c>
      <c r="J225" s="50">
        <v>0</v>
      </c>
      <c r="K225" s="50">
        <v>0</v>
      </c>
      <c r="L225" s="50">
        <v>0</v>
      </c>
      <c r="M225" s="50">
        <v>0</v>
      </c>
      <c r="N225" s="50">
        <v>0</v>
      </c>
      <c r="O225" s="90">
        <f t="shared" ref="O225:O228" si="212">SUM(C225:N225)</f>
        <v>338356.14976571122</v>
      </c>
    </row>
    <row r="226" spans="1:15" x14ac:dyDescent="0.25">
      <c r="A226" s="82"/>
      <c r="B226" s="51" t="s">
        <v>178</v>
      </c>
      <c r="C226" s="50">
        <f>C190*(1+$K$68)</f>
        <v>2563304.1648917519</v>
      </c>
      <c r="D226" s="50">
        <f t="shared" ref="D226:N226" si="213">D190*(1+$K$68)</f>
        <v>2563304.1648917519</v>
      </c>
      <c r="E226" s="50">
        <f t="shared" si="213"/>
        <v>2563304.1648917519</v>
      </c>
      <c r="F226" s="50">
        <f t="shared" si="213"/>
        <v>2563304.1648917519</v>
      </c>
      <c r="G226" s="50">
        <f t="shared" si="213"/>
        <v>2563304.1648917519</v>
      </c>
      <c r="H226" s="50">
        <f t="shared" si="213"/>
        <v>2563304.1648917519</v>
      </c>
      <c r="I226" s="50">
        <f t="shared" si="213"/>
        <v>2563304.1648917519</v>
      </c>
      <c r="J226" s="50">
        <f t="shared" si="213"/>
        <v>2563304.1648917519</v>
      </c>
      <c r="K226" s="50">
        <f t="shared" si="213"/>
        <v>2563304.1648917519</v>
      </c>
      <c r="L226" s="50">
        <f t="shared" si="213"/>
        <v>2563304.1648917519</v>
      </c>
      <c r="M226" s="50">
        <f t="shared" si="213"/>
        <v>2563304.1648917519</v>
      </c>
      <c r="N226" s="50">
        <f t="shared" si="213"/>
        <v>2563304.1648917519</v>
      </c>
      <c r="O226" s="90">
        <f t="shared" si="212"/>
        <v>30759649.978701029</v>
      </c>
    </row>
    <row r="227" spans="1:15" x14ac:dyDescent="0.25">
      <c r="A227" s="84"/>
      <c r="B227" s="51" t="s">
        <v>248</v>
      </c>
      <c r="C227" s="50">
        <f>C191*(1+$K$68)</f>
        <v>307596.49978701019</v>
      </c>
      <c r="D227" s="50">
        <f t="shared" ref="D227:N227" si="214">D191*(1+$K$68)</f>
        <v>307596.49978701019</v>
      </c>
      <c r="E227" s="50">
        <f t="shared" si="214"/>
        <v>307596.49978701019</v>
      </c>
      <c r="F227" s="50">
        <f t="shared" si="214"/>
        <v>307596.49978701019</v>
      </c>
      <c r="G227" s="50">
        <f t="shared" si="214"/>
        <v>307596.49978701019</v>
      </c>
      <c r="H227" s="50">
        <f t="shared" si="214"/>
        <v>307596.49978701019</v>
      </c>
      <c r="I227" s="50">
        <f t="shared" si="214"/>
        <v>307596.49978701019</v>
      </c>
      <c r="J227" s="50">
        <f t="shared" si="214"/>
        <v>307596.49978701019</v>
      </c>
      <c r="K227" s="50">
        <f t="shared" si="214"/>
        <v>307596.49978701019</v>
      </c>
      <c r="L227" s="50">
        <f t="shared" si="214"/>
        <v>307596.49978701019</v>
      </c>
      <c r="M227" s="50">
        <f t="shared" si="214"/>
        <v>307596.49978701019</v>
      </c>
      <c r="N227" s="50">
        <f t="shared" si="214"/>
        <v>307596.49978701019</v>
      </c>
      <c r="O227" s="90">
        <f t="shared" si="212"/>
        <v>3691157.9974441226</v>
      </c>
    </row>
    <row r="228" spans="1:15" x14ac:dyDescent="0.25">
      <c r="A228" s="82"/>
      <c r="B228" s="46" t="s">
        <v>207</v>
      </c>
      <c r="C228" s="47">
        <f t="shared" ref="C228:N228" si="215">SUM(C225:C227)</f>
        <v>3209256.8144444735</v>
      </c>
      <c r="D228" s="47">
        <f t="shared" si="215"/>
        <v>2870900.6646787622</v>
      </c>
      <c r="E228" s="47">
        <f t="shared" si="215"/>
        <v>2870900.6646787622</v>
      </c>
      <c r="F228" s="47">
        <f t="shared" si="215"/>
        <v>2870900.6646787622</v>
      </c>
      <c r="G228" s="47">
        <f t="shared" si="215"/>
        <v>2870900.6646787622</v>
      </c>
      <c r="H228" s="47">
        <f t="shared" si="215"/>
        <v>2870900.6646787622</v>
      </c>
      <c r="I228" s="47">
        <f t="shared" si="215"/>
        <v>2870900.6646787622</v>
      </c>
      <c r="J228" s="47">
        <f t="shared" si="215"/>
        <v>2870900.6646787622</v>
      </c>
      <c r="K228" s="47">
        <f t="shared" si="215"/>
        <v>2870900.6646787622</v>
      </c>
      <c r="L228" s="47">
        <f t="shared" si="215"/>
        <v>2870900.6646787622</v>
      </c>
      <c r="M228" s="47">
        <f t="shared" si="215"/>
        <v>2870900.6646787622</v>
      </c>
      <c r="N228" s="47">
        <f t="shared" si="215"/>
        <v>2870900.6646787622</v>
      </c>
      <c r="O228" s="47">
        <f t="shared" si="212"/>
        <v>34789164.125910863</v>
      </c>
    </row>
    <row r="229" spans="1:15" x14ac:dyDescent="0.25">
      <c r="A229" s="82"/>
      <c r="B229" s="55" t="s">
        <v>83</v>
      </c>
      <c r="C229" s="59" t="s">
        <v>173</v>
      </c>
      <c r="D229" s="59" t="s">
        <v>173</v>
      </c>
      <c r="E229" s="59" t="s">
        <v>173</v>
      </c>
      <c r="F229" s="59" t="s">
        <v>173</v>
      </c>
      <c r="G229" s="59" t="s">
        <v>173</v>
      </c>
      <c r="H229" s="59" t="s">
        <v>173</v>
      </c>
      <c r="I229" s="59" t="s">
        <v>173</v>
      </c>
      <c r="J229" s="59" t="s">
        <v>173</v>
      </c>
      <c r="K229" s="59" t="s">
        <v>173</v>
      </c>
      <c r="L229" s="59" t="s">
        <v>173</v>
      </c>
      <c r="M229" s="59" t="s">
        <v>173</v>
      </c>
      <c r="N229" s="59" t="s">
        <v>173</v>
      </c>
      <c r="O229" s="91" t="s">
        <v>173</v>
      </c>
    </row>
    <row r="230" spans="1:15" x14ac:dyDescent="0.25">
      <c r="A230" s="82"/>
      <c r="B230" s="57" t="s">
        <v>210</v>
      </c>
      <c r="C230" s="89">
        <f t="shared" ref="C230:N230" si="216">C194*(1+$K$68)</f>
        <v>3393814.7143166801</v>
      </c>
      <c r="D230" s="89">
        <f t="shared" si="216"/>
        <v>4091033.4471672368</v>
      </c>
      <c r="E230" s="89">
        <f t="shared" si="216"/>
        <v>3773183.7307206574</v>
      </c>
      <c r="F230" s="89">
        <f t="shared" si="216"/>
        <v>3527106.5308910506</v>
      </c>
      <c r="G230" s="89">
        <f t="shared" si="216"/>
        <v>3240016.4644231745</v>
      </c>
      <c r="H230" s="89">
        <f t="shared" si="216"/>
        <v>4060273.7971885339</v>
      </c>
      <c r="I230" s="89">
        <f t="shared" si="216"/>
        <v>4736986.096719957</v>
      </c>
      <c r="J230" s="89">
        <f t="shared" si="216"/>
        <v>4542174.9801881844</v>
      </c>
      <c r="K230" s="89">
        <f t="shared" si="216"/>
        <v>3506600.0975719155</v>
      </c>
      <c r="L230" s="89">
        <f t="shared" si="216"/>
        <v>3598879.0475080195</v>
      </c>
      <c r="M230" s="89">
        <f t="shared" si="216"/>
        <v>3424574.3642953807</v>
      </c>
      <c r="N230" s="89">
        <f t="shared" si="216"/>
        <v>3701411.214103689</v>
      </c>
      <c r="O230" s="92">
        <f t="shared" ref="O230:O240" si="217">SUM(C230:N230)</f>
        <v>45596054.48509448</v>
      </c>
    </row>
    <row r="231" spans="1:15" x14ac:dyDescent="0.25">
      <c r="A231" s="82"/>
      <c r="B231" s="57" t="s">
        <v>203</v>
      </c>
      <c r="C231" s="89">
        <f t="shared" ref="C231:N231" si="218">C195*(1+$K$68)</f>
        <v>12252593.908182571</v>
      </c>
      <c r="D231" s="89">
        <f t="shared" si="218"/>
        <v>13195889.84086274</v>
      </c>
      <c r="E231" s="89">
        <f t="shared" si="218"/>
        <v>14795391.639755191</v>
      </c>
      <c r="F231" s="89">
        <f t="shared" si="218"/>
        <v>11217019.025566312</v>
      </c>
      <c r="G231" s="89">
        <f t="shared" si="218"/>
        <v>14928683.456329565</v>
      </c>
      <c r="H231" s="89">
        <f t="shared" si="218"/>
        <v>14067413.256925933</v>
      </c>
      <c r="I231" s="89">
        <f t="shared" si="218"/>
        <v>12908799.774394866</v>
      </c>
      <c r="J231" s="89">
        <f t="shared" si="218"/>
        <v>15349065.33937181</v>
      </c>
      <c r="K231" s="89">
        <f t="shared" si="218"/>
        <v>15000455.972946528</v>
      </c>
      <c r="L231" s="89">
        <f t="shared" si="218"/>
        <v>15000455.972946528</v>
      </c>
      <c r="M231" s="89">
        <f t="shared" si="218"/>
        <v>11657907.341927692</v>
      </c>
      <c r="N231" s="89">
        <f t="shared" si="218"/>
        <v>14375009.756712951</v>
      </c>
      <c r="O231" s="92">
        <f t="shared" si="217"/>
        <v>164748685.28592268</v>
      </c>
    </row>
    <row r="232" spans="1:15" x14ac:dyDescent="0.25">
      <c r="A232" s="82"/>
      <c r="B232" s="58" t="s">
        <v>84</v>
      </c>
      <c r="C232" s="89">
        <f t="shared" ref="C232:N232" si="219">C196*(1+$K$68)</f>
        <v>10837650.009162324</v>
      </c>
      <c r="D232" s="89">
        <f t="shared" si="219"/>
        <v>11832212.025140325</v>
      </c>
      <c r="E232" s="89">
        <f t="shared" si="219"/>
        <v>11873224.891778594</v>
      </c>
      <c r="F232" s="89">
        <f t="shared" si="219"/>
        <v>12262847.124842141</v>
      </c>
      <c r="G232" s="89">
        <f t="shared" si="219"/>
        <v>14508301.573287316</v>
      </c>
      <c r="H232" s="89">
        <f t="shared" si="219"/>
        <v>12549937.191310015</v>
      </c>
      <c r="I232" s="89">
        <f t="shared" si="219"/>
        <v>13031838.37430967</v>
      </c>
      <c r="J232" s="89">
        <f t="shared" si="219"/>
        <v>15000455.972946528</v>
      </c>
      <c r="K232" s="89">
        <f t="shared" si="219"/>
        <v>13729057.107160227</v>
      </c>
      <c r="L232" s="89">
        <f t="shared" si="219"/>
        <v>13708550.673841089</v>
      </c>
      <c r="M232" s="89">
        <f t="shared" si="219"/>
        <v>14672353.039840385</v>
      </c>
      <c r="N232" s="89">
        <f t="shared" si="219"/>
        <v>11780945.941842493</v>
      </c>
      <c r="O232" s="92">
        <f t="shared" si="217"/>
        <v>155787373.92546111</v>
      </c>
    </row>
    <row r="233" spans="1:15" x14ac:dyDescent="0.25">
      <c r="A233" s="82"/>
      <c r="B233" s="58" t="s">
        <v>81</v>
      </c>
      <c r="C233" s="89">
        <f t="shared" ref="C233:N233" si="220">(C197*(1+$K$68))*2</f>
        <v>1537982.498935052</v>
      </c>
      <c r="D233" s="89">
        <f t="shared" si="220"/>
        <v>1537982.498935052</v>
      </c>
      <c r="E233" s="89">
        <f t="shared" si="220"/>
        <v>1537982.498935052</v>
      </c>
      <c r="F233" s="89">
        <f t="shared" si="220"/>
        <v>1537982.498935052</v>
      </c>
      <c r="G233" s="89">
        <f t="shared" si="220"/>
        <v>1537982.498935052</v>
      </c>
      <c r="H233" s="89">
        <f t="shared" si="220"/>
        <v>1537982.498935052</v>
      </c>
      <c r="I233" s="89">
        <f t="shared" si="220"/>
        <v>1537982.498935052</v>
      </c>
      <c r="J233" s="89">
        <f t="shared" si="220"/>
        <v>1537982.498935052</v>
      </c>
      <c r="K233" s="89">
        <f t="shared" si="220"/>
        <v>1537982.498935052</v>
      </c>
      <c r="L233" s="89">
        <f t="shared" si="220"/>
        <v>1537982.498935052</v>
      </c>
      <c r="M233" s="89">
        <f t="shared" si="220"/>
        <v>1537982.498935052</v>
      </c>
      <c r="N233" s="89">
        <f t="shared" si="220"/>
        <v>1537982.498935052</v>
      </c>
      <c r="O233" s="92">
        <f t="shared" si="217"/>
        <v>18455789.987220619</v>
      </c>
    </row>
    <row r="234" spans="1:15" x14ac:dyDescent="0.25">
      <c r="A234" s="82"/>
      <c r="B234" s="57" t="s">
        <v>85</v>
      </c>
      <c r="C234" s="89">
        <f t="shared" ref="C234:N234" si="221">C198*(1+$K$68)</f>
        <v>12590950.057948288</v>
      </c>
      <c r="D234" s="89">
        <f t="shared" si="221"/>
        <v>10776130.709204931</v>
      </c>
      <c r="E234" s="89">
        <f t="shared" si="221"/>
        <v>11155499.725608904</v>
      </c>
      <c r="F234" s="89">
        <f t="shared" si="221"/>
        <v>11329804.408821542</v>
      </c>
      <c r="G234" s="89">
        <f t="shared" si="221"/>
        <v>15236279.956116572</v>
      </c>
      <c r="H234" s="89">
        <f t="shared" si="221"/>
        <v>11186259.375587611</v>
      </c>
      <c r="I234" s="89">
        <f t="shared" si="221"/>
        <v>12980572.291011833</v>
      </c>
      <c r="J234" s="89">
        <f t="shared" si="221"/>
        <v>10273723.092886142</v>
      </c>
      <c r="K234" s="89">
        <f t="shared" si="221"/>
        <v>13359941.307415815</v>
      </c>
      <c r="L234" s="89">
        <f t="shared" si="221"/>
        <v>10612079.242651852</v>
      </c>
      <c r="M234" s="89">
        <f t="shared" si="221"/>
        <v>13513739.557309318</v>
      </c>
      <c r="N234" s="89">
        <f t="shared" si="221"/>
        <v>12867786.907756593</v>
      </c>
      <c r="O234" s="92">
        <f t="shared" si="217"/>
        <v>145882766.63231939</v>
      </c>
    </row>
    <row r="235" spans="1:15" x14ac:dyDescent="0.25">
      <c r="A235" s="84"/>
      <c r="B235" s="58" t="s">
        <v>249</v>
      </c>
      <c r="C235" s="89">
        <f t="shared" ref="C235:N235" si="222">C222*5%</f>
        <v>10076259.049459884</v>
      </c>
      <c r="D235" s="89">
        <f t="shared" si="222"/>
        <v>10076259.049459884</v>
      </c>
      <c r="E235" s="89">
        <f t="shared" si="222"/>
        <v>10076259.049459884</v>
      </c>
      <c r="F235" s="89">
        <f t="shared" si="222"/>
        <v>10076259.049459884</v>
      </c>
      <c r="G235" s="89">
        <f t="shared" si="222"/>
        <v>10076259.049459884</v>
      </c>
      <c r="H235" s="89">
        <f t="shared" si="222"/>
        <v>10076259.049459884</v>
      </c>
      <c r="I235" s="89">
        <f t="shared" si="222"/>
        <v>10076259.049459884</v>
      </c>
      <c r="J235" s="89">
        <f t="shared" si="222"/>
        <v>10076259.049459884</v>
      </c>
      <c r="K235" s="89">
        <f t="shared" si="222"/>
        <v>10076259.049459884</v>
      </c>
      <c r="L235" s="89">
        <f t="shared" si="222"/>
        <v>10076259.049459884</v>
      </c>
      <c r="M235" s="89">
        <f t="shared" si="222"/>
        <v>10076259.049459884</v>
      </c>
      <c r="N235" s="89">
        <f t="shared" si="222"/>
        <v>10076259.049459884</v>
      </c>
      <c r="O235" s="92">
        <f t="shared" si="217"/>
        <v>120915108.59351863</v>
      </c>
    </row>
    <row r="236" spans="1:15" x14ac:dyDescent="0.25">
      <c r="A236" s="84"/>
      <c r="B236" s="58" t="s">
        <v>180</v>
      </c>
      <c r="C236" s="89">
        <f>'7.5. Stage 5&amp;6 budget'!C200*(1+'7.5. Stage 5&amp;6 budget'!$K$68)</f>
        <v>14887670.589691291</v>
      </c>
      <c r="D236" s="89">
        <f>'7.5. Stage 5&amp;6 budget'!D200*(1+'7.5. Stage 5&amp;6 budget'!$K$68)</f>
        <v>14692859.473159518</v>
      </c>
      <c r="E236" s="89">
        <f>'7.5. Stage 5&amp;6 budget'!E200*(1+'7.5. Stage 5&amp;6 budget'!$K$68)</f>
        <v>12211581.041544309</v>
      </c>
      <c r="F236" s="89">
        <f>'7.5. Stage 5&amp;6 budget'!F200*(1+'7.5. Stage 5&amp;6 budget'!$K$68)</f>
        <v>13482979.907330619</v>
      </c>
      <c r="G236" s="89">
        <f>'7.5. Stage 5&amp;6 budget'!G200*(1+'7.5. Stage 5&amp;6 budget'!$K$68)</f>
        <v>10632585.675970988</v>
      </c>
      <c r="H236" s="89">
        <f>'7.5. Stage 5&amp;6 budget'!H200*(1+'7.5. Stage 5&amp;6 budget'!$K$68)</f>
        <v>11821958.808480762</v>
      </c>
      <c r="I236" s="89">
        <f>'7.5. Stage 5&amp;6 budget'!I200*(1+'7.5. Stage 5&amp;6 budget'!$K$68)</f>
        <v>12232087.474863445</v>
      </c>
      <c r="J236" s="89">
        <f>'7.5. Stage 5&amp;6 budget'!J200*(1+'7.5. Stage 5&amp;6 budget'!$K$68)</f>
        <v>14498048.356627746</v>
      </c>
      <c r="K236" s="89">
        <f>'7.5. Stage 5&amp;6 budget'!K200*(1+'7.5. Stage 5&amp;6 budget'!$K$68)</f>
        <v>11350310.842140676</v>
      </c>
      <c r="L236" s="89">
        <f>'7.5. Stage 5&amp;6 budget'!L200*(1+'7.5. Stage 5&amp;6 budget'!$K$68)</f>
        <v>12150061.741586898</v>
      </c>
      <c r="M236" s="89">
        <f>'7.5. Stage 5&amp;6 budget'!M200*(1+'7.5. Stage 5&amp;6 budget'!$K$68)</f>
        <v>12170568.174906034</v>
      </c>
      <c r="N236" s="89">
        <f>'7.5. Stage 5&amp;6 budget'!N200*(1+'7.5. Stage 5&amp;6 budget'!$K$68)</f>
        <v>11862971.675119035</v>
      </c>
      <c r="O236" s="92">
        <f t="shared" si="217"/>
        <v>151993683.76142132</v>
      </c>
    </row>
    <row r="237" spans="1:15" x14ac:dyDescent="0.25">
      <c r="A237" s="84"/>
      <c r="B237" s="58" t="s">
        <v>417</v>
      </c>
      <c r="C237" s="89">
        <f>'13. Insurance package'!$H$2/12*2</f>
        <v>7499166.666666667</v>
      </c>
      <c r="D237" s="89">
        <f>'13. Insurance package'!$H$2/12*2</f>
        <v>7499166.666666667</v>
      </c>
      <c r="E237" s="89">
        <f>'13. Insurance package'!$H$2/12*2</f>
        <v>7499166.666666667</v>
      </c>
      <c r="F237" s="89">
        <f>'13. Insurance package'!$H$2/12*2</f>
        <v>7499166.666666667</v>
      </c>
      <c r="G237" s="89">
        <f>'13. Insurance package'!$H$2/12*2</f>
        <v>7499166.666666667</v>
      </c>
      <c r="H237" s="89">
        <f>'13. Insurance package'!$H$2/12*2</f>
        <v>7499166.666666667</v>
      </c>
      <c r="I237" s="89">
        <f>'13. Insurance package'!$H$2/12*2</f>
        <v>7499166.666666667</v>
      </c>
      <c r="J237" s="89">
        <f>'13. Insurance package'!$H$2/12*2</f>
        <v>7499166.666666667</v>
      </c>
      <c r="K237" s="89">
        <f>'13. Insurance package'!$H$2/12*2</f>
        <v>7499166.666666667</v>
      </c>
      <c r="L237" s="89">
        <f>'13. Insurance package'!$H$2/12*2</f>
        <v>7499166.666666667</v>
      </c>
      <c r="M237" s="89">
        <f>'13. Insurance package'!$H$2/12*2</f>
        <v>7499166.666666667</v>
      </c>
      <c r="N237" s="89">
        <f>'13. Insurance package'!$H$2/12*2</f>
        <v>7499166.666666667</v>
      </c>
      <c r="O237" s="92">
        <f t="shared" ref="O237" si="223">SUM(C237:N237)</f>
        <v>89990000.000000015</v>
      </c>
    </row>
    <row r="238" spans="1:15" x14ac:dyDescent="0.25">
      <c r="A238" s="84"/>
      <c r="B238" s="58" t="s">
        <v>86</v>
      </c>
      <c r="C238" s="89">
        <f>'7.5. Stage 5&amp;6 budget'!C202*(1+'7.5. Stage 5&amp;6 budget'!$K$68)</f>
        <v>10837650.009162324</v>
      </c>
      <c r="D238" s="89">
        <f>'7.5. Stage 5&amp;6 budget'!D202*(1+'7.5. Stage 5&amp;6 budget'!$K$68)</f>
        <v>10714611.409247521</v>
      </c>
      <c r="E238" s="89">
        <f>'7.5. Stage 5&amp;6 budget'!E202*(1+'7.5. Stage 5&amp;6 budget'!$K$68)</f>
        <v>10396761.692800948</v>
      </c>
      <c r="F238" s="89">
        <f>'7.5. Stage 5&amp;6 budget'!F202*(1+'7.5. Stage 5&amp;6 budget'!$K$68)</f>
        <v>13565005.64060715</v>
      </c>
      <c r="G238" s="89">
        <f>'7.5. Stage 5&amp;6 budget'!G202*(1+'7.5. Stage 5&amp;6 budget'!$K$68)</f>
        <v>12621709.707926987</v>
      </c>
      <c r="H238" s="89">
        <f>'7.5. Stage 5&amp;6 budget'!H202*(1+'7.5. Stage 5&amp;6 budget'!$K$68)</f>
        <v>10509547.076056182</v>
      </c>
      <c r="I238" s="89">
        <f>'7.5. Stage 5&amp;6 budget'!I202*(1+'7.5. Stage 5&amp;6 budget'!$K$68)</f>
        <v>14251971.156798141</v>
      </c>
      <c r="J238" s="89">
        <f>'7.5. Stage 5&amp;6 budget'!J202*(1+'7.5. Stage 5&amp;6 budget'!$K$68)</f>
        <v>13677791.02386239</v>
      </c>
      <c r="K238" s="89">
        <f>'7.5. Stage 5&amp;6 budget'!K202*(1+'7.5. Stage 5&amp;6 budget'!$K$68)</f>
        <v>11011954.692374969</v>
      </c>
      <c r="L238" s="89">
        <f>'7.5. Stage 5&amp;6 budget'!L202*(1+'7.5. Stage 5&amp;6 budget'!$K$68)</f>
        <v>11391323.708778946</v>
      </c>
      <c r="M238" s="89">
        <f>'7.5. Stage 5&amp;6 budget'!M202*(1+'7.5. Stage 5&amp;6 budget'!$K$68)</f>
        <v>13852095.707075026</v>
      </c>
      <c r="N238" s="89">
        <f>'7.5. Stage 5&amp;6 budget'!N202*(1+'7.5. Stage 5&amp;6 budget'!$K$68)</f>
        <v>14580074.08990429</v>
      </c>
      <c r="O238" s="92">
        <f t="shared" si="217"/>
        <v>147410495.91459489</v>
      </c>
    </row>
    <row r="239" spans="1:15" x14ac:dyDescent="0.25">
      <c r="A239" s="82"/>
      <c r="B239" s="46" t="s">
        <v>208</v>
      </c>
      <c r="C239" s="47">
        <f t="shared" ref="C239:N239" si="224">SUM(C230:C238)</f>
        <v>83913737.503525078</v>
      </c>
      <c r="D239" s="47">
        <f t="shared" si="224"/>
        <v>84416145.11984387</v>
      </c>
      <c r="E239" s="47">
        <f t="shared" si="224"/>
        <v>83319050.937270209</v>
      </c>
      <c r="F239" s="47">
        <f t="shared" si="224"/>
        <v>84498170.853120416</v>
      </c>
      <c r="G239" s="47">
        <f t="shared" si="224"/>
        <v>90280985.049116209</v>
      </c>
      <c r="H239" s="47">
        <f t="shared" si="224"/>
        <v>83308797.720610633</v>
      </c>
      <c r="I239" s="47">
        <f t="shared" si="224"/>
        <v>89255663.383159518</v>
      </c>
      <c r="J239" s="47">
        <f t="shared" si="224"/>
        <v>92454666.98094441</v>
      </c>
      <c r="K239" s="47">
        <f t="shared" si="224"/>
        <v>87071728.234671742</v>
      </c>
      <c r="L239" s="47">
        <f t="shared" si="224"/>
        <v>85574758.602374941</v>
      </c>
      <c r="M239" s="47">
        <f t="shared" si="224"/>
        <v>88404646.40041545</v>
      </c>
      <c r="N239" s="47">
        <f t="shared" si="224"/>
        <v>88281607.800500661</v>
      </c>
      <c r="O239" s="47">
        <f t="shared" si="217"/>
        <v>1040779958.5855529</v>
      </c>
    </row>
    <row r="240" spans="1:15" x14ac:dyDescent="0.25">
      <c r="A240" s="82"/>
      <c r="B240" s="60" t="s">
        <v>87</v>
      </c>
      <c r="C240" s="47">
        <f t="shared" ref="C240:N240" si="225">C228+C239</f>
        <v>87122994.317969546</v>
      </c>
      <c r="D240" s="47">
        <f t="shared" si="225"/>
        <v>87287045.784522638</v>
      </c>
      <c r="E240" s="47">
        <f t="shared" si="225"/>
        <v>86189951.601948977</v>
      </c>
      <c r="F240" s="47">
        <f t="shared" si="225"/>
        <v>87369071.517799184</v>
      </c>
      <c r="G240" s="47">
        <f t="shared" si="225"/>
        <v>93151885.713794976</v>
      </c>
      <c r="H240" s="47">
        <f t="shared" si="225"/>
        <v>86179698.385289401</v>
      </c>
      <c r="I240" s="47">
        <f t="shared" si="225"/>
        <v>92126564.047838286</v>
      </c>
      <c r="J240" s="47">
        <f t="shared" si="225"/>
        <v>95325567.645623177</v>
      </c>
      <c r="K240" s="47">
        <f t="shared" si="225"/>
        <v>89942628.899350509</v>
      </c>
      <c r="L240" s="47">
        <f t="shared" si="225"/>
        <v>88445659.267053708</v>
      </c>
      <c r="M240" s="47">
        <f t="shared" si="225"/>
        <v>91275547.065094218</v>
      </c>
      <c r="N240" s="47">
        <f t="shared" si="225"/>
        <v>91152508.465179428</v>
      </c>
      <c r="O240" s="47">
        <f t="shared" si="217"/>
        <v>1075569122.7114642</v>
      </c>
    </row>
    <row r="241" spans="1:25" s="11" customFormat="1" x14ac:dyDescent="0.25">
      <c r="A241" s="82"/>
      <c r="B241" s="108" t="s">
        <v>204</v>
      </c>
      <c r="C241" s="109">
        <f>$O240*(3/12)/12</f>
        <v>22407690.056488838</v>
      </c>
      <c r="D241" s="109">
        <f t="shared" ref="D241" si="226">$O240*(3/12)/12</f>
        <v>22407690.056488838</v>
      </c>
      <c r="E241" s="109">
        <f t="shared" ref="E241" si="227">$O240*(3/12)/12</f>
        <v>22407690.056488838</v>
      </c>
      <c r="F241" s="109">
        <f t="shared" ref="F241" si="228">$O240*(3/12)/12</f>
        <v>22407690.056488838</v>
      </c>
      <c r="G241" s="109">
        <f t="shared" ref="G241" si="229">$O240*(3/12)/12</f>
        <v>22407690.056488838</v>
      </c>
      <c r="H241" s="109">
        <f t="shared" ref="H241" si="230">$O240*(3/12)/12</f>
        <v>22407690.056488838</v>
      </c>
      <c r="I241" s="109">
        <f t="shared" ref="I241" si="231">$O240*(3/12)/12</f>
        <v>22407690.056488838</v>
      </c>
      <c r="J241" s="109">
        <f t="shared" ref="J241" si="232">$O240*(3/12)/12</f>
        <v>22407690.056488838</v>
      </c>
      <c r="K241" s="109">
        <f t="shared" ref="K241" si="233">$O240*(3/12)/12</f>
        <v>22407690.056488838</v>
      </c>
      <c r="L241" s="109">
        <f t="shared" ref="L241" si="234">$O240*(3/12)/12</f>
        <v>22407690.056488838</v>
      </c>
      <c r="M241" s="109">
        <f t="shared" ref="M241" si="235">$O240*(3/12)/12</f>
        <v>22407690.056488838</v>
      </c>
      <c r="N241" s="109">
        <f t="shared" ref="N241" si="236">$O240*(3/12)/12</f>
        <v>22407690.056488838</v>
      </c>
      <c r="O241" s="109">
        <f t="shared" ref="O241:O245" si="237">SUM(C241:N241)</f>
        <v>268892280.67786604</v>
      </c>
      <c r="P241" s="43"/>
      <c r="Q241" s="43"/>
      <c r="R241" s="40"/>
      <c r="S241" s="40"/>
      <c r="T241" s="40"/>
      <c r="U241" s="40"/>
      <c r="V241" s="40"/>
      <c r="W241" s="40"/>
      <c r="X241" s="40"/>
      <c r="Y241" s="40"/>
    </row>
    <row r="242" spans="1:25" s="11" customFormat="1" x14ac:dyDescent="0.25">
      <c r="A242" s="82"/>
      <c r="B242" s="108" t="s">
        <v>82</v>
      </c>
      <c r="C242" s="109">
        <f>'6. Mortgage payment'!$C$7</f>
        <v>28168245.060798287</v>
      </c>
      <c r="D242" s="109">
        <f>'6. Mortgage payment'!$C$7</f>
        <v>28168245.060798287</v>
      </c>
      <c r="E242" s="109">
        <f>'6. Mortgage payment'!$C$7</f>
        <v>28168245.060798287</v>
      </c>
      <c r="F242" s="109">
        <f>'6. Mortgage payment'!$C$7</f>
        <v>28168245.060798287</v>
      </c>
      <c r="G242" s="109">
        <f>'6. Mortgage payment'!$C$7</f>
        <v>28168245.060798287</v>
      </c>
      <c r="H242" s="109">
        <f>'6. Mortgage payment'!$C$7</f>
        <v>28168245.060798287</v>
      </c>
      <c r="I242" s="109">
        <f>'6. Mortgage payment'!$C$7</f>
        <v>28168245.060798287</v>
      </c>
      <c r="J242" s="109">
        <f>'6. Mortgage payment'!$C$7</f>
        <v>28168245.060798287</v>
      </c>
      <c r="K242" s="109">
        <f>'6. Mortgage payment'!$C$7</f>
        <v>28168245.060798287</v>
      </c>
      <c r="L242" s="109">
        <f>'6. Mortgage payment'!$C$7</f>
        <v>28168245.060798287</v>
      </c>
      <c r="M242" s="109">
        <f>'6. Mortgage payment'!$C$7</f>
        <v>28168245.060798287</v>
      </c>
      <c r="N242" s="109">
        <f>'6. Mortgage payment'!$C$7</f>
        <v>28168245.060798287</v>
      </c>
      <c r="O242" s="109">
        <f t="shared" si="237"/>
        <v>338018940.72957945</v>
      </c>
      <c r="P242" s="43"/>
      <c r="Q242" s="43"/>
      <c r="R242" s="40"/>
      <c r="S242" s="40"/>
      <c r="T242" s="40"/>
      <c r="U242" s="40"/>
      <c r="V242" s="40"/>
      <c r="W242" s="40"/>
      <c r="X242" s="40"/>
      <c r="Y242" s="40"/>
    </row>
    <row r="243" spans="1:25" s="11" customFormat="1" x14ac:dyDescent="0.25">
      <c r="A243" s="82"/>
      <c r="B243" s="108" t="s">
        <v>251</v>
      </c>
      <c r="C243" s="109">
        <f>-PMT(4%,18*12,(150000000*8)/(1+4%)^18)</f>
        <v>23699110.369091634</v>
      </c>
      <c r="D243" s="109">
        <f t="shared" ref="D243:N243" si="238">-PMT(4%,18*12,(150000000*8)/(1+4%)^18)</f>
        <v>23699110.369091634</v>
      </c>
      <c r="E243" s="109">
        <f t="shared" si="238"/>
        <v>23699110.369091634</v>
      </c>
      <c r="F243" s="109">
        <f t="shared" si="238"/>
        <v>23699110.369091634</v>
      </c>
      <c r="G243" s="109">
        <f t="shared" si="238"/>
        <v>23699110.369091634</v>
      </c>
      <c r="H243" s="109">
        <f t="shared" si="238"/>
        <v>23699110.369091634</v>
      </c>
      <c r="I243" s="109">
        <f t="shared" si="238"/>
        <v>23699110.369091634</v>
      </c>
      <c r="J243" s="109">
        <f t="shared" si="238"/>
        <v>23699110.369091634</v>
      </c>
      <c r="K243" s="109">
        <f t="shared" si="238"/>
        <v>23699110.369091634</v>
      </c>
      <c r="L243" s="109">
        <f t="shared" si="238"/>
        <v>23699110.369091634</v>
      </c>
      <c r="M243" s="109">
        <f t="shared" si="238"/>
        <v>23699110.369091634</v>
      </c>
      <c r="N243" s="109">
        <f t="shared" si="238"/>
        <v>23699110.369091634</v>
      </c>
      <c r="O243" s="109">
        <f>SUM(C243:N243)</f>
        <v>284389324.42909962</v>
      </c>
      <c r="P243" s="43"/>
      <c r="Q243" s="43"/>
      <c r="R243" s="40"/>
      <c r="S243" s="40"/>
      <c r="T243" s="40"/>
      <c r="U243" s="40"/>
      <c r="V243" s="40"/>
      <c r="W243" s="40"/>
      <c r="X243" s="40"/>
      <c r="Y243" s="40"/>
    </row>
    <row r="244" spans="1:25" s="11" customFormat="1" x14ac:dyDescent="0.25">
      <c r="A244" s="82"/>
      <c r="B244" s="108" t="s">
        <v>386</v>
      </c>
      <c r="C244" s="109">
        <f>C208*(1+$K$68)</f>
        <v>2809471.8685907894</v>
      </c>
      <c r="D244" s="109">
        <v>0</v>
      </c>
      <c r="E244" s="109">
        <v>0</v>
      </c>
      <c r="F244" s="109">
        <v>0</v>
      </c>
      <c r="G244" s="109">
        <v>0</v>
      </c>
      <c r="H244" s="109">
        <v>0</v>
      </c>
      <c r="I244" s="109">
        <v>0</v>
      </c>
      <c r="J244" s="109">
        <v>0</v>
      </c>
      <c r="K244" s="109">
        <v>0</v>
      </c>
      <c r="L244" s="109">
        <v>0</v>
      </c>
      <c r="M244" s="109">
        <v>0</v>
      </c>
      <c r="N244" s="109">
        <v>0</v>
      </c>
      <c r="O244" s="109">
        <f t="shared" si="237"/>
        <v>2809471.8685907894</v>
      </c>
      <c r="P244" s="43"/>
      <c r="Q244" s="43"/>
      <c r="R244" s="40"/>
      <c r="S244" s="40"/>
      <c r="T244" s="40"/>
      <c r="U244" s="40"/>
      <c r="V244" s="40"/>
      <c r="W244" s="40"/>
      <c r="X244" s="40"/>
      <c r="Y244" s="40"/>
    </row>
    <row r="245" spans="1:25" s="11" customFormat="1" x14ac:dyDescent="0.25">
      <c r="A245" s="82"/>
      <c r="B245" s="60" t="s">
        <v>206</v>
      </c>
      <c r="C245" s="61">
        <f>C222-C240-C241-C242-C244-C243</f>
        <v>37317669.316258579</v>
      </c>
      <c r="D245" s="61">
        <f t="shared" ref="D245:N245" si="239">D222-D240-D241-D242-D244-D243</f>
        <v>39963089.718296275</v>
      </c>
      <c r="E245" s="61">
        <f t="shared" si="239"/>
        <v>41060183.900869936</v>
      </c>
      <c r="F245" s="61">
        <f t="shared" si="239"/>
        <v>39881063.985019729</v>
      </c>
      <c r="G245" s="61">
        <f t="shared" si="239"/>
        <v>34098249.789023936</v>
      </c>
      <c r="H245" s="61">
        <f t="shared" si="239"/>
        <v>41070437.117529511</v>
      </c>
      <c r="I245" s="61">
        <f t="shared" si="239"/>
        <v>35123571.454980627</v>
      </c>
      <c r="J245" s="61">
        <f t="shared" si="239"/>
        <v>31924567.857195731</v>
      </c>
      <c r="K245" s="61">
        <f t="shared" si="239"/>
        <v>37307506.603468403</v>
      </c>
      <c r="L245" s="61">
        <f t="shared" si="239"/>
        <v>38804476.235765204</v>
      </c>
      <c r="M245" s="61">
        <f t="shared" si="239"/>
        <v>35974588.437724695</v>
      </c>
      <c r="N245" s="61">
        <f t="shared" si="239"/>
        <v>36097627.037639484</v>
      </c>
      <c r="O245" s="47">
        <f t="shared" si="237"/>
        <v>448623031.45377219</v>
      </c>
      <c r="P245" s="43"/>
      <c r="Q245" s="43"/>
      <c r="R245" s="40"/>
      <c r="S245" s="40"/>
      <c r="T245" s="40"/>
      <c r="U245" s="40"/>
      <c r="V245" s="40"/>
      <c r="W245" s="40"/>
      <c r="X245" s="40"/>
      <c r="Y245" s="40"/>
    </row>
    <row r="246" spans="1:25" x14ac:dyDescent="0.25">
      <c r="A246" s="85"/>
      <c r="B246" s="40"/>
      <c r="C246" s="40"/>
      <c r="D246" s="40"/>
      <c r="E246" s="40"/>
      <c r="F246" s="40"/>
      <c r="G246" s="40"/>
      <c r="H246" s="40"/>
      <c r="I246" s="40"/>
      <c r="J246" s="40"/>
      <c r="K246" s="40"/>
      <c r="L246" s="353" t="s">
        <v>217</v>
      </c>
      <c r="M246" s="354"/>
      <c r="N246" s="350">
        <f>SUM(C245:N245)+N210</f>
        <v>10171548714.869921</v>
      </c>
      <c r="O246" s="40"/>
    </row>
    <row r="247" spans="1:25" x14ac:dyDescent="0.25">
      <c r="A247" s="85"/>
      <c r="B247" s="40"/>
      <c r="C247" s="40"/>
      <c r="D247" s="40"/>
      <c r="E247" s="40"/>
      <c r="F247" s="40"/>
      <c r="G247" s="40"/>
      <c r="H247" s="40"/>
      <c r="I247" s="40"/>
      <c r="J247" s="40"/>
      <c r="K247" s="40"/>
      <c r="L247" s="320"/>
      <c r="M247" s="355"/>
      <c r="N247" s="351"/>
      <c r="O247" s="40"/>
    </row>
    <row r="248" spans="1:25" x14ac:dyDescent="0.25">
      <c r="A248" s="85"/>
      <c r="B248" s="319" t="s">
        <v>632</v>
      </c>
      <c r="C248" s="352" t="s">
        <v>173</v>
      </c>
      <c r="D248" s="352"/>
      <c r="E248" s="352"/>
      <c r="F248" s="352"/>
      <c r="G248" s="352"/>
      <c r="H248" s="352"/>
      <c r="I248" s="40"/>
      <c r="J248" s="358" t="s">
        <v>231</v>
      </c>
      <c r="K248" s="359">
        <v>0.04</v>
      </c>
      <c r="L248" s="40"/>
      <c r="M248" s="40"/>
      <c r="N248" s="40"/>
      <c r="O248" s="361"/>
    </row>
    <row r="249" spans="1:25" x14ac:dyDescent="0.25">
      <c r="A249" s="85"/>
      <c r="B249" s="319"/>
      <c r="C249" s="352"/>
      <c r="D249" s="352"/>
      <c r="E249" s="352"/>
      <c r="F249" s="352"/>
      <c r="G249" s="352"/>
      <c r="H249" s="352"/>
      <c r="I249" s="40"/>
      <c r="J249" s="358"/>
      <c r="K249" s="360"/>
      <c r="L249" s="40"/>
      <c r="M249" s="40"/>
      <c r="N249" s="40"/>
      <c r="O249" s="362"/>
    </row>
    <row r="250" spans="1:25" x14ac:dyDescent="0.25">
      <c r="A250" s="85"/>
      <c r="B250" s="319"/>
      <c r="C250" s="352"/>
      <c r="D250" s="352"/>
      <c r="E250" s="352"/>
      <c r="F250" s="352"/>
      <c r="G250" s="352"/>
      <c r="H250" s="352"/>
      <c r="I250" s="40"/>
      <c r="J250" s="40"/>
      <c r="K250" s="40"/>
      <c r="L250" s="40"/>
      <c r="M250" s="40"/>
      <c r="N250" s="40"/>
      <c r="O250" s="40"/>
    </row>
    <row r="253" spans="1:25" ht="24.6" x14ac:dyDescent="0.25">
      <c r="A253" s="96"/>
      <c r="B253" s="348" t="s">
        <v>267</v>
      </c>
      <c r="C253" s="348"/>
      <c r="D253" s="348"/>
      <c r="E253" s="348"/>
      <c r="F253" s="348"/>
      <c r="G253" s="348"/>
      <c r="H253" s="348"/>
      <c r="I253" s="348"/>
      <c r="J253" s="348"/>
      <c r="K253" s="348"/>
      <c r="L253" s="348"/>
      <c r="M253" s="348"/>
      <c r="N253" s="348"/>
      <c r="O253" s="348"/>
    </row>
    <row r="254" spans="1:25" ht="24.6" x14ac:dyDescent="0.25">
      <c r="A254" s="96"/>
      <c r="B254" s="349"/>
      <c r="C254" s="349"/>
      <c r="D254" s="349"/>
      <c r="E254" s="349"/>
      <c r="F254" s="349"/>
      <c r="G254" s="349"/>
      <c r="H254" s="349"/>
      <c r="I254" s="349"/>
      <c r="J254" s="349"/>
      <c r="K254" s="349"/>
      <c r="L254" s="349"/>
      <c r="M254" s="349"/>
      <c r="N254" s="349"/>
      <c r="O254" s="349"/>
    </row>
    <row r="255" spans="1:25" x14ac:dyDescent="0.25">
      <c r="A255" s="82"/>
      <c r="B255" s="41"/>
      <c r="C255" s="42" t="s">
        <v>66</v>
      </c>
      <c r="D255" s="42" t="s">
        <v>67</v>
      </c>
      <c r="E255" s="42" t="s">
        <v>68</v>
      </c>
      <c r="F255" s="42" t="s">
        <v>69</v>
      </c>
      <c r="G255" s="42" t="s">
        <v>70</v>
      </c>
      <c r="H255" s="42" t="s">
        <v>71</v>
      </c>
      <c r="I255" s="42" t="s">
        <v>72</v>
      </c>
      <c r="J255" s="42" t="s">
        <v>73</v>
      </c>
      <c r="K255" s="42" t="s">
        <v>74</v>
      </c>
      <c r="L255" s="42" t="s">
        <v>75</v>
      </c>
      <c r="M255" s="42" t="s">
        <v>76</v>
      </c>
      <c r="N255" s="42" t="s">
        <v>77</v>
      </c>
      <c r="O255" s="42" t="s">
        <v>236</v>
      </c>
    </row>
    <row r="256" spans="1:25" x14ac:dyDescent="0.25">
      <c r="A256" s="82"/>
      <c r="B256" s="44" t="s">
        <v>194</v>
      </c>
      <c r="C256" s="45">
        <f>'3.1. My Income Tax Calculation'!$P$27/12</f>
        <v>139639947.45242211</v>
      </c>
      <c r="D256" s="45">
        <f>'3.1. My Income Tax Calculation'!$P$27/12</f>
        <v>139639947.45242211</v>
      </c>
      <c r="E256" s="45">
        <f>'3.1. My Income Tax Calculation'!$P$27/12</f>
        <v>139639947.45242211</v>
      </c>
      <c r="F256" s="45">
        <f>'3.1. My Income Tax Calculation'!$P$27/12</f>
        <v>139639947.45242211</v>
      </c>
      <c r="G256" s="45">
        <f>'3.1. My Income Tax Calculation'!$P$27/12</f>
        <v>139639947.45242211</v>
      </c>
      <c r="H256" s="45">
        <f>'3.1. My Income Tax Calculation'!$P$27/12</f>
        <v>139639947.45242211</v>
      </c>
      <c r="I256" s="45">
        <f>'3.1. My Income Tax Calculation'!$P$27/12</f>
        <v>139639947.45242211</v>
      </c>
      <c r="J256" s="45">
        <f>'3.1. My Income Tax Calculation'!$P$27/12</f>
        <v>139639947.45242211</v>
      </c>
      <c r="K256" s="45">
        <f>'3.1. My Income Tax Calculation'!$P$27/12</f>
        <v>139639947.45242211</v>
      </c>
      <c r="L256" s="45">
        <f>'3.1. My Income Tax Calculation'!$P$27/12</f>
        <v>139639947.45242211</v>
      </c>
      <c r="M256" s="45">
        <f>'3.1. My Income Tax Calculation'!$P$27/12</f>
        <v>139639947.45242211</v>
      </c>
      <c r="N256" s="45">
        <f>'3.1. My Income Tax Calculation'!$P$27/12</f>
        <v>139639947.45242211</v>
      </c>
      <c r="O256" s="45" t="s">
        <v>173</v>
      </c>
    </row>
    <row r="257" spans="1:15" x14ac:dyDescent="0.25">
      <c r="A257" s="82"/>
      <c r="B257" s="44" t="s">
        <v>246</v>
      </c>
      <c r="C257" s="45">
        <f>'3.2. My wife''s Tax Calc'!$P$27/12</f>
        <v>62831160.965541899</v>
      </c>
      <c r="D257" s="45">
        <f>'3.2. My wife''s Tax Calc'!$P$27/12</f>
        <v>62831160.965541899</v>
      </c>
      <c r="E257" s="45">
        <f>'3.2. My wife''s Tax Calc'!$P$27/12</f>
        <v>62831160.965541899</v>
      </c>
      <c r="F257" s="45">
        <f>'3.2. My wife''s Tax Calc'!$P$27/12</f>
        <v>62831160.965541899</v>
      </c>
      <c r="G257" s="45">
        <f>'3.2. My wife''s Tax Calc'!$P$27/12</f>
        <v>62831160.965541899</v>
      </c>
      <c r="H257" s="45">
        <f>'3.2. My wife''s Tax Calc'!$P$27/12</f>
        <v>62831160.965541899</v>
      </c>
      <c r="I257" s="45">
        <f>'3.2. My wife''s Tax Calc'!$P$27/12</f>
        <v>62831160.965541899</v>
      </c>
      <c r="J257" s="45">
        <f>'3.2. My wife''s Tax Calc'!$P$27/12</f>
        <v>62831160.965541899</v>
      </c>
      <c r="K257" s="45">
        <f>'3.2. My wife''s Tax Calc'!$P$27/12</f>
        <v>62831160.965541899</v>
      </c>
      <c r="L257" s="45">
        <f>'3.2. My wife''s Tax Calc'!$P$27/12</f>
        <v>62831160.965541899</v>
      </c>
      <c r="M257" s="45">
        <f>'3.2. My wife''s Tax Calc'!$P$27/12</f>
        <v>62831160.965541899</v>
      </c>
      <c r="N257" s="45">
        <f>'3.2. My wife''s Tax Calc'!$P$27/12</f>
        <v>62831160.965541899</v>
      </c>
      <c r="O257" s="45" t="s">
        <v>173</v>
      </c>
    </row>
    <row r="258" spans="1:15" x14ac:dyDescent="0.25">
      <c r="A258" s="82"/>
      <c r="B258" s="46" t="s">
        <v>209</v>
      </c>
      <c r="C258" s="47">
        <f>SUM(C256:C257)</f>
        <v>202471108.41796401</v>
      </c>
      <c r="D258" s="47">
        <f t="shared" ref="D258" si="240">SUM(D256:D257)</f>
        <v>202471108.41796401</v>
      </c>
      <c r="E258" s="47">
        <f t="shared" ref="E258" si="241">SUM(E256:E257)</f>
        <v>202471108.41796401</v>
      </c>
      <c r="F258" s="47">
        <f t="shared" ref="F258" si="242">SUM(F256:F257)</f>
        <v>202471108.41796401</v>
      </c>
      <c r="G258" s="47">
        <f t="shared" ref="G258" si="243">SUM(G256:G257)</f>
        <v>202471108.41796401</v>
      </c>
      <c r="H258" s="47">
        <f t="shared" ref="H258" si="244">SUM(H256:H257)</f>
        <v>202471108.41796401</v>
      </c>
      <c r="I258" s="47">
        <f t="shared" ref="I258" si="245">SUM(I256:I257)</f>
        <v>202471108.41796401</v>
      </c>
      <c r="J258" s="47">
        <f t="shared" ref="J258" si="246">SUM(J256:J257)</f>
        <v>202471108.41796401</v>
      </c>
      <c r="K258" s="47">
        <f>SUM(K256:K257)</f>
        <v>202471108.41796401</v>
      </c>
      <c r="L258" s="47">
        <f t="shared" ref="L258" si="247">SUM(L256:L257)</f>
        <v>202471108.41796401</v>
      </c>
      <c r="M258" s="47">
        <f t="shared" ref="M258" si="248">SUM(M256:M257)</f>
        <v>202471108.41796401</v>
      </c>
      <c r="N258" s="47">
        <f t="shared" ref="N258" si="249">SUM(N256:N257)</f>
        <v>202471108.41796401</v>
      </c>
      <c r="O258" s="47">
        <f>SUM(C258:N258)</f>
        <v>2429653301.0155683</v>
      </c>
    </row>
    <row r="259" spans="1:15" x14ac:dyDescent="0.25">
      <c r="A259" s="82"/>
      <c r="B259" s="52" t="s">
        <v>78</v>
      </c>
      <c r="C259" s="53" t="s">
        <v>173</v>
      </c>
      <c r="D259" s="53" t="s">
        <v>173</v>
      </c>
      <c r="E259" s="53" t="s">
        <v>173</v>
      </c>
      <c r="F259" s="53" t="s">
        <v>173</v>
      </c>
      <c r="G259" s="53" t="s">
        <v>173</v>
      </c>
      <c r="H259" s="53" t="s">
        <v>173</v>
      </c>
      <c r="I259" s="53" t="s">
        <v>173</v>
      </c>
      <c r="J259" s="53" t="s">
        <v>173</v>
      </c>
      <c r="K259" s="53" t="s">
        <v>173</v>
      </c>
      <c r="L259" s="53" t="s">
        <v>173</v>
      </c>
      <c r="M259" s="53" t="s">
        <v>173</v>
      </c>
      <c r="N259" s="53" t="s">
        <v>173</v>
      </c>
      <c r="O259" s="91" t="s">
        <v>173</v>
      </c>
    </row>
    <row r="260" spans="1:15" x14ac:dyDescent="0.25">
      <c r="A260" s="82"/>
      <c r="B260" s="48" t="s">
        <v>79</v>
      </c>
      <c r="C260" s="54" t="s">
        <v>173</v>
      </c>
      <c r="D260" s="54" t="s">
        <v>173</v>
      </c>
      <c r="E260" s="54" t="s">
        <v>173</v>
      </c>
      <c r="F260" s="54" t="s">
        <v>173</v>
      </c>
      <c r="G260" s="54" t="s">
        <v>173</v>
      </c>
      <c r="H260" s="54" t="s">
        <v>173</v>
      </c>
      <c r="I260" s="54" t="s">
        <v>173</v>
      </c>
      <c r="J260" s="54" t="s">
        <v>173</v>
      </c>
      <c r="K260" s="54" t="s">
        <v>173</v>
      </c>
      <c r="L260" s="54" t="s">
        <v>173</v>
      </c>
      <c r="M260" s="54" t="s">
        <v>173</v>
      </c>
      <c r="N260" s="54" t="s">
        <v>173</v>
      </c>
      <c r="O260" s="91" t="s">
        <v>173</v>
      </c>
    </row>
    <row r="261" spans="1:15" x14ac:dyDescent="0.25">
      <c r="A261" s="83"/>
      <c r="B261" s="49" t="s">
        <v>195</v>
      </c>
      <c r="C261" s="50">
        <f>C225*(1+$K$68)</f>
        <v>351890.39575633965</v>
      </c>
      <c r="D261" s="50">
        <v>0</v>
      </c>
      <c r="E261" s="50">
        <v>0</v>
      </c>
      <c r="F261" s="50">
        <v>0</v>
      </c>
      <c r="G261" s="50">
        <v>0</v>
      </c>
      <c r="H261" s="50">
        <v>0</v>
      </c>
      <c r="I261" s="50">
        <v>0</v>
      </c>
      <c r="J261" s="50">
        <v>0</v>
      </c>
      <c r="K261" s="50">
        <v>0</v>
      </c>
      <c r="L261" s="50">
        <v>0</v>
      </c>
      <c r="M261" s="50">
        <v>0</v>
      </c>
      <c r="N261" s="50">
        <v>0</v>
      </c>
      <c r="O261" s="90">
        <f t="shared" ref="O261:O264" si="250">SUM(C261:N261)</f>
        <v>351890.39575633965</v>
      </c>
    </row>
    <row r="262" spans="1:15" x14ac:dyDescent="0.25">
      <c r="A262" s="82"/>
      <c r="B262" s="51" t="s">
        <v>178</v>
      </c>
      <c r="C262" s="50">
        <f>C226*(1+$K$68)</f>
        <v>2665836.3314874223</v>
      </c>
      <c r="D262" s="50">
        <f t="shared" ref="D262:N262" si="251">D226*(1+$K$68)</f>
        <v>2665836.3314874223</v>
      </c>
      <c r="E262" s="50">
        <f t="shared" si="251"/>
        <v>2665836.3314874223</v>
      </c>
      <c r="F262" s="50">
        <f t="shared" si="251"/>
        <v>2665836.3314874223</v>
      </c>
      <c r="G262" s="50">
        <f t="shared" si="251"/>
        <v>2665836.3314874223</v>
      </c>
      <c r="H262" s="50">
        <f t="shared" si="251"/>
        <v>2665836.3314874223</v>
      </c>
      <c r="I262" s="50">
        <f t="shared" si="251"/>
        <v>2665836.3314874223</v>
      </c>
      <c r="J262" s="50">
        <f t="shared" si="251"/>
        <v>2665836.3314874223</v>
      </c>
      <c r="K262" s="50">
        <f t="shared" si="251"/>
        <v>2665836.3314874223</v>
      </c>
      <c r="L262" s="50">
        <f t="shared" si="251"/>
        <v>2665836.3314874223</v>
      </c>
      <c r="M262" s="50">
        <f t="shared" si="251"/>
        <v>2665836.3314874223</v>
      </c>
      <c r="N262" s="50">
        <f t="shared" si="251"/>
        <v>2665836.3314874223</v>
      </c>
      <c r="O262" s="90">
        <f t="shared" si="250"/>
        <v>31990035.977849063</v>
      </c>
    </row>
    <row r="263" spans="1:15" x14ac:dyDescent="0.25">
      <c r="A263" s="84"/>
      <c r="B263" s="51" t="s">
        <v>248</v>
      </c>
      <c r="C263" s="50">
        <f>C227*(1+$K$68)</f>
        <v>319900.35977849062</v>
      </c>
      <c r="D263" s="50">
        <f t="shared" ref="D263:N263" si="252">D227*(1+$K$68)</f>
        <v>319900.35977849062</v>
      </c>
      <c r="E263" s="50">
        <f t="shared" si="252"/>
        <v>319900.35977849062</v>
      </c>
      <c r="F263" s="50">
        <f t="shared" si="252"/>
        <v>319900.35977849062</v>
      </c>
      <c r="G263" s="50">
        <f t="shared" si="252"/>
        <v>319900.35977849062</v>
      </c>
      <c r="H263" s="50">
        <f t="shared" si="252"/>
        <v>319900.35977849062</v>
      </c>
      <c r="I263" s="50">
        <f t="shared" si="252"/>
        <v>319900.35977849062</v>
      </c>
      <c r="J263" s="50">
        <f t="shared" si="252"/>
        <v>319900.35977849062</v>
      </c>
      <c r="K263" s="50">
        <f t="shared" si="252"/>
        <v>319900.35977849062</v>
      </c>
      <c r="L263" s="50">
        <f t="shared" si="252"/>
        <v>319900.35977849062</v>
      </c>
      <c r="M263" s="50">
        <f t="shared" si="252"/>
        <v>319900.35977849062</v>
      </c>
      <c r="N263" s="50">
        <f t="shared" si="252"/>
        <v>319900.35977849062</v>
      </c>
      <c r="O263" s="90">
        <f t="shared" si="250"/>
        <v>3838804.3173418883</v>
      </c>
    </row>
    <row r="264" spans="1:15" x14ac:dyDescent="0.25">
      <c r="A264" s="82"/>
      <c r="B264" s="46" t="s">
        <v>207</v>
      </c>
      <c r="C264" s="47">
        <f t="shared" ref="C264:N264" si="253">SUM(C261:C263)</f>
        <v>3337627.0870222524</v>
      </c>
      <c r="D264" s="47">
        <f t="shared" si="253"/>
        <v>2985736.6912659127</v>
      </c>
      <c r="E264" s="47">
        <f t="shared" si="253"/>
        <v>2985736.6912659127</v>
      </c>
      <c r="F264" s="47">
        <f t="shared" si="253"/>
        <v>2985736.6912659127</v>
      </c>
      <c r="G264" s="47">
        <f t="shared" si="253"/>
        <v>2985736.6912659127</v>
      </c>
      <c r="H264" s="47">
        <f t="shared" si="253"/>
        <v>2985736.6912659127</v>
      </c>
      <c r="I264" s="47">
        <f t="shared" si="253"/>
        <v>2985736.6912659127</v>
      </c>
      <c r="J264" s="47">
        <f t="shared" si="253"/>
        <v>2985736.6912659127</v>
      </c>
      <c r="K264" s="47">
        <f t="shared" si="253"/>
        <v>2985736.6912659127</v>
      </c>
      <c r="L264" s="47">
        <f t="shared" si="253"/>
        <v>2985736.6912659127</v>
      </c>
      <c r="M264" s="47">
        <f t="shared" si="253"/>
        <v>2985736.6912659127</v>
      </c>
      <c r="N264" s="47">
        <f t="shared" si="253"/>
        <v>2985736.6912659127</v>
      </c>
      <c r="O264" s="47">
        <f t="shared" si="250"/>
        <v>36180730.690947279</v>
      </c>
    </row>
    <row r="265" spans="1:15" x14ac:dyDescent="0.25">
      <c r="A265" s="82"/>
      <c r="B265" s="55" t="s">
        <v>83</v>
      </c>
      <c r="C265" s="59" t="s">
        <v>173</v>
      </c>
      <c r="D265" s="59" t="s">
        <v>173</v>
      </c>
      <c r="E265" s="59" t="s">
        <v>173</v>
      </c>
      <c r="F265" s="59" t="s">
        <v>173</v>
      </c>
      <c r="G265" s="59" t="s">
        <v>173</v>
      </c>
      <c r="H265" s="59" t="s">
        <v>173</v>
      </c>
      <c r="I265" s="59" t="s">
        <v>173</v>
      </c>
      <c r="J265" s="59" t="s">
        <v>173</v>
      </c>
      <c r="K265" s="59" t="s">
        <v>173</v>
      </c>
      <c r="L265" s="59" t="s">
        <v>173</v>
      </c>
      <c r="M265" s="59" t="s">
        <v>173</v>
      </c>
      <c r="N265" s="59" t="s">
        <v>173</v>
      </c>
      <c r="O265" s="91" t="s">
        <v>173</v>
      </c>
    </row>
    <row r="266" spans="1:15" x14ac:dyDescent="0.25">
      <c r="A266" s="82"/>
      <c r="B266" s="57" t="s">
        <v>210</v>
      </c>
      <c r="C266" s="89">
        <f t="shared" ref="C266:N266" si="254">C230*(1+$K$68)</f>
        <v>3529567.3028893475</v>
      </c>
      <c r="D266" s="89">
        <f t="shared" si="254"/>
        <v>4254674.7850539265</v>
      </c>
      <c r="E266" s="89">
        <f t="shared" si="254"/>
        <v>3924111.0799494837</v>
      </c>
      <c r="F266" s="89">
        <f t="shared" si="254"/>
        <v>3668190.7921266928</v>
      </c>
      <c r="G266" s="89">
        <f t="shared" si="254"/>
        <v>3369617.1230001017</v>
      </c>
      <c r="H266" s="89">
        <f t="shared" si="254"/>
        <v>4222684.7490760759</v>
      </c>
      <c r="I266" s="89">
        <f t="shared" si="254"/>
        <v>4926465.5405887552</v>
      </c>
      <c r="J266" s="89">
        <f t="shared" si="254"/>
        <v>4723861.9793957118</v>
      </c>
      <c r="K266" s="89">
        <f t="shared" si="254"/>
        <v>3646864.1014747922</v>
      </c>
      <c r="L266" s="89">
        <f t="shared" si="254"/>
        <v>3742834.2094083405</v>
      </c>
      <c r="M266" s="89">
        <f t="shared" si="254"/>
        <v>3561557.3388671959</v>
      </c>
      <c r="N266" s="89">
        <f t="shared" si="254"/>
        <v>3849467.6626678365</v>
      </c>
      <c r="O266" s="92">
        <f t="shared" ref="O266:O276" si="255">SUM(C266:N266)</f>
        <v>47419896.664498255</v>
      </c>
    </row>
    <row r="267" spans="1:15" x14ac:dyDescent="0.25">
      <c r="A267" s="82"/>
      <c r="B267" s="57" t="s">
        <v>203</v>
      </c>
      <c r="C267" s="89">
        <f t="shared" ref="C267:N267" si="256">C231*(1+$K$68)</f>
        <v>12742697.664509874</v>
      </c>
      <c r="D267" s="89">
        <f t="shared" si="256"/>
        <v>13723725.43449725</v>
      </c>
      <c r="E267" s="89">
        <f t="shared" si="256"/>
        <v>15387207.305345399</v>
      </c>
      <c r="F267" s="89">
        <f t="shared" si="256"/>
        <v>11665699.786588965</v>
      </c>
      <c r="G267" s="89">
        <f t="shared" si="256"/>
        <v>15525830.794582749</v>
      </c>
      <c r="H267" s="89">
        <f t="shared" si="256"/>
        <v>14630109.787202971</v>
      </c>
      <c r="I267" s="89">
        <f t="shared" si="256"/>
        <v>13425151.765370661</v>
      </c>
      <c r="J267" s="89">
        <f t="shared" si="256"/>
        <v>15963027.952946683</v>
      </c>
      <c r="K267" s="89">
        <f t="shared" si="256"/>
        <v>15600474.211864389</v>
      </c>
      <c r="L267" s="89">
        <f t="shared" si="256"/>
        <v>15600474.211864389</v>
      </c>
      <c r="M267" s="89">
        <f t="shared" si="256"/>
        <v>12124223.635604801</v>
      </c>
      <c r="N267" s="89">
        <f t="shared" si="256"/>
        <v>14950010.146981468</v>
      </c>
      <c r="O267" s="92">
        <f t="shared" si="255"/>
        <v>171338632.69735959</v>
      </c>
    </row>
    <row r="268" spans="1:15" x14ac:dyDescent="0.25">
      <c r="A268" s="82"/>
      <c r="B268" s="58" t="s">
        <v>84</v>
      </c>
      <c r="C268" s="89">
        <f t="shared" ref="C268:N268" si="257">C232*(1+$K$68)</f>
        <v>11271156.009528818</v>
      </c>
      <c r="D268" s="89">
        <f t="shared" si="257"/>
        <v>12305500.506145937</v>
      </c>
      <c r="E268" s="89">
        <f t="shared" si="257"/>
        <v>12348153.887449738</v>
      </c>
      <c r="F268" s="89">
        <f t="shared" si="257"/>
        <v>12753361.009835826</v>
      </c>
      <c r="G268" s="89">
        <f t="shared" si="257"/>
        <v>15088633.636218809</v>
      </c>
      <c r="H268" s="89">
        <f t="shared" si="257"/>
        <v>13051934.678962415</v>
      </c>
      <c r="I268" s="89">
        <f t="shared" si="257"/>
        <v>13553111.909282057</v>
      </c>
      <c r="J268" s="89">
        <f t="shared" si="257"/>
        <v>15600474.211864389</v>
      </c>
      <c r="K268" s="89">
        <f t="shared" si="257"/>
        <v>14278219.391446637</v>
      </c>
      <c r="L268" s="89">
        <f t="shared" si="257"/>
        <v>14256892.700794732</v>
      </c>
      <c r="M268" s="89">
        <f t="shared" si="257"/>
        <v>15259247.161434</v>
      </c>
      <c r="N268" s="89">
        <f t="shared" si="257"/>
        <v>12252183.779516192</v>
      </c>
      <c r="O268" s="92">
        <f t="shared" si="255"/>
        <v>162018868.88247955</v>
      </c>
    </row>
    <row r="269" spans="1:15" x14ac:dyDescent="0.25">
      <c r="A269" s="82"/>
      <c r="B269" s="58" t="s">
        <v>81</v>
      </c>
      <c r="C269" s="89">
        <f t="shared" ref="C269:N269" si="258">C233*(1+$K$284)</f>
        <v>1599501.798892454</v>
      </c>
      <c r="D269" s="89">
        <f t="shared" si="258"/>
        <v>1599501.798892454</v>
      </c>
      <c r="E269" s="89">
        <f t="shared" si="258"/>
        <v>1599501.798892454</v>
      </c>
      <c r="F269" s="89">
        <f t="shared" si="258"/>
        <v>1599501.798892454</v>
      </c>
      <c r="G269" s="89">
        <f t="shared" si="258"/>
        <v>1599501.798892454</v>
      </c>
      <c r="H269" s="89">
        <f t="shared" si="258"/>
        <v>1599501.798892454</v>
      </c>
      <c r="I269" s="89">
        <f t="shared" si="258"/>
        <v>1599501.798892454</v>
      </c>
      <c r="J269" s="89">
        <f t="shared" si="258"/>
        <v>1599501.798892454</v>
      </c>
      <c r="K269" s="89">
        <f t="shared" si="258"/>
        <v>1599501.798892454</v>
      </c>
      <c r="L269" s="89">
        <f t="shared" si="258"/>
        <v>1599501.798892454</v>
      </c>
      <c r="M269" s="89">
        <f t="shared" si="258"/>
        <v>1599501.798892454</v>
      </c>
      <c r="N269" s="89">
        <f t="shared" si="258"/>
        <v>1599501.798892454</v>
      </c>
      <c r="O269" s="92">
        <f t="shared" si="255"/>
        <v>19194021.586709443</v>
      </c>
    </row>
    <row r="270" spans="1:15" x14ac:dyDescent="0.25">
      <c r="A270" s="82"/>
      <c r="B270" s="57" t="s">
        <v>85</v>
      </c>
      <c r="C270" s="89">
        <f t="shared" ref="C270:N270" si="259">C234*(1+$K$68)</f>
        <v>13094588.060266219</v>
      </c>
      <c r="D270" s="89">
        <f t="shared" si="259"/>
        <v>11207175.937573129</v>
      </c>
      <c r="E270" s="89">
        <f t="shared" si="259"/>
        <v>11601719.71463326</v>
      </c>
      <c r="F270" s="89">
        <f t="shared" si="259"/>
        <v>11782996.585174404</v>
      </c>
      <c r="G270" s="89">
        <f t="shared" si="259"/>
        <v>15845731.154361235</v>
      </c>
      <c r="H270" s="89">
        <f t="shared" si="259"/>
        <v>11633709.750611115</v>
      </c>
      <c r="I270" s="89">
        <f t="shared" si="259"/>
        <v>13499795.182652306</v>
      </c>
      <c r="J270" s="89">
        <f t="shared" si="259"/>
        <v>10684672.016601589</v>
      </c>
      <c r="K270" s="89">
        <f t="shared" si="259"/>
        <v>13894338.959712448</v>
      </c>
      <c r="L270" s="89">
        <f t="shared" si="259"/>
        <v>11036562.412357926</v>
      </c>
      <c r="M270" s="89">
        <f t="shared" si="259"/>
        <v>14054289.139601691</v>
      </c>
      <c r="N270" s="89">
        <f t="shared" si="259"/>
        <v>13382498.384066857</v>
      </c>
      <c r="O270" s="92">
        <f t="shared" si="255"/>
        <v>151718077.29761216</v>
      </c>
    </row>
    <row r="271" spans="1:15" x14ac:dyDescent="0.25">
      <c r="A271" s="84"/>
      <c r="B271" s="58" t="s">
        <v>249</v>
      </c>
      <c r="C271" s="89">
        <f t="shared" ref="C271:N271" si="260">C258*5%</f>
        <v>10123555.420898201</v>
      </c>
      <c r="D271" s="89">
        <f t="shared" si="260"/>
        <v>10123555.420898201</v>
      </c>
      <c r="E271" s="89">
        <f t="shared" si="260"/>
        <v>10123555.420898201</v>
      </c>
      <c r="F271" s="89">
        <f t="shared" si="260"/>
        <v>10123555.420898201</v>
      </c>
      <c r="G271" s="89">
        <f t="shared" si="260"/>
        <v>10123555.420898201</v>
      </c>
      <c r="H271" s="89">
        <f t="shared" si="260"/>
        <v>10123555.420898201</v>
      </c>
      <c r="I271" s="89">
        <f t="shared" si="260"/>
        <v>10123555.420898201</v>
      </c>
      <c r="J271" s="89">
        <f t="shared" si="260"/>
        <v>10123555.420898201</v>
      </c>
      <c r="K271" s="89">
        <f t="shared" si="260"/>
        <v>10123555.420898201</v>
      </c>
      <c r="L271" s="89">
        <f t="shared" si="260"/>
        <v>10123555.420898201</v>
      </c>
      <c r="M271" s="89">
        <f t="shared" si="260"/>
        <v>10123555.420898201</v>
      </c>
      <c r="N271" s="89">
        <f t="shared" si="260"/>
        <v>10123555.420898201</v>
      </c>
      <c r="O271" s="92">
        <f t="shared" si="255"/>
        <v>121482665.0507784</v>
      </c>
    </row>
    <row r="272" spans="1:15" x14ac:dyDescent="0.25">
      <c r="A272" s="84"/>
      <c r="B272" s="58" t="s">
        <v>180</v>
      </c>
      <c r="C272" s="89">
        <f>'7.5. Stage 5&amp;6 budget'!C236*(1+'7.5. Stage 5&amp;6 budget'!$K$68)</f>
        <v>15483177.413278943</v>
      </c>
      <c r="D272" s="89">
        <f>'7.5. Stage 5&amp;6 budget'!D236*(1+'7.5. Stage 5&amp;6 budget'!$K$68)</f>
        <v>15280573.8520859</v>
      </c>
      <c r="E272" s="89">
        <f>'7.5. Stage 5&amp;6 budget'!E236*(1+'7.5. Stage 5&amp;6 budget'!$K$68)</f>
        <v>12700044.283206081</v>
      </c>
      <c r="F272" s="89">
        <f>'7.5. Stage 5&amp;6 budget'!F236*(1+'7.5. Stage 5&amp;6 budget'!$K$68)</f>
        <v>14022299.103623845</v>
      </c>
      <c r="G272" s="89">
        <f>'7.5. Stage 5&amp;6 budget'!G236*(1+'7.5. Stage 5&amp;6 budget'!$K$68)</f>
        <v>11057889.103009827</v>
      </c>
      <c r="H272" s="89">
        <f>'7.5. Stage 5&amp;6 budget'!H236*(1+'7.5. Stage 5&amp;6 budget'!$K$68)</f>
        <v>12294837.160819992</v>
      </c>
      <c r="I272" s="89">
        <f>'7.5. Stage 5&amp;6 budget'!I236*(1+'7.5. Stage 5&amp;6 budget'!$K$68)</f>
        <v>12721370.973857984</v>
      </c>
      <c r="J272" s="89">
        <f>'7.5. Stage 5&amp;6 budget'!J236*(1+'7.5. Stage 5&amp;6 budget'!$K$68)</f>
        <v>15077970.290892856</v>
      </c>
      <c r="K272" s="89">
        <f>'7.5. Stage 5&amp;6 budget'!K236*(1+'7.5. Stage 5&amp;6 budget'!$K$68)</f>
        <v>11804323.275826303</v>
      </c>
      <c r="L272" s="89">
        <f>'7.5. Stage 5&amp;6 budget'!L236*(1+'7.5. Stage 5&amp;6 budget'!$K$68)</f>
        <v>12636064.211250374</v>
      </c>
      <c r="M272" s="89">
        <f>'7.5. Stage 5&amp;6 budget'!M236*(1+'7.5. Stage 5&amp;6 budget'!$K$68)</f>
        <v>12657390.901902275</v>
      </c>
      <c r="N272" s="89">
        <f>'7.5. Stage 5&amp;6 budget'!N236*(1+'7.5. Stage 5&amp;6 budget'!$K$68)</f>
        <v>12337490.542123796</v>
      </c>
      <c r="O272" s="92">
        <f t="shared" si="255"/>
        <v>158073431.11187819</v>
      </c>
    </row>
    <row r="273" spans="1:25" x14ac:dyDescent="0.25">
      <c r="A273" s="84"/>
      <c r="B273" s="58" t="s">
        <v>417</v>
      </c>
      <c r="C273" s="89">
        <f>'13. Insurance package'!$H$2/12*2</f>
        <v>7499166.666666667</v>
      </c>
      <c r="D273" s="89">
        <f>'13. Insurance package'!$H$2/12*2</f>
        <v>7499166.666666667</v>
      </c>
      <c r="E273" s="89">
        <f>'13. Insurance package'!$H$2/12*2</f>
        <v>7499166.666666667</v>
      </c>
      <c r="F273" s="89">
        <f>'13. Insurance package'!$H$2/12*2</f>
        <v>7499166.666666667</v>
      </c>
      <c r="G273" s="89">
        <f>'13. Insurance package'!$H$2/12*2</f>
        <v>7499166.666666667</v>
      </c>
      <c r="H273" s="89">
        <f>'13. Insurance package'!$H$2/12*2</f>
        <v>7499166.666666667</v>
      </c>
      <c r="I273" s="89">
        <f>'13. Insurance package'!$H$2/12*2</f>
        <v>7499166.666666667</v>
      </c>
      <c r="J273" s="89">
        <f>'13. Insurance package'!$H$2/12*2</f>
        <v>7499166.666666667</v>
      </c>
      <c r="K273" s="89">
        <f>'13. Insurance package'!$H$2/12*2</f>
        <v>7499166.666666667</v>
      </c>
      <c r="L273" s="89">
        <f>'13. Insurance package'!$H$2/12*2</f>
        <v>7499166.666666667</v>
      </c>
      <c r="M273" s="89">
        <f>'13. Insurance package'!$H$2/12*2</f>
        <v>7499166.666666667</v>
      </c>
      <c r="N273" s="89">
        <f>'13. Insurance package'!$H$2/12*2</f>
        <v>7499166.666666667</v>
      </c>
      <c r="O273" s="92">
        <f t="shared" ref="O273" si="261">SUM(C273:N273)</f>
        <v>89990000.000000015</v>
      </c>
    </row>
    <row r="274" spans="1:25" x14ac:dyDescent="0.25">
      <c r="A274" s="84"/>
      <c r="B274" s="58" t="s">
        <v>86</v>
      </c>
      <c r="C274" s="89">
        <f>'7.5. Stage 5&amp;6 budget'!C238*(1+'7.5. Stage 5&amp;6 budget'!$K$68)</f>
        <v>11271156.009528818</v>
      </c>
      <c r="D274" s="89">
        <f>'7.5. Stage 5&amp;6 budget'!D238*(1+'7.5. Stage 5&amp;6 budget'!$K$68)</f>
        <v>11143195.865617422</v>
      </c>
      <c r="E274" s="89">
        <f>'7.5. Stage 5&amp;6 budget'!E238*(1+'7.5. Stage 5&amp;6 budget'!$K$68)</f>
        <v>10812632.160512988</v>
      </c>
      <c r="F274" s="89">
        <f>'7.5. Stage 5&amp;6 budget'!F238*(1+'7.5. Stage 5&amp;6 budget'!$K$68)</f>
        <v>14107605.866231436</v>
      </c>
      <c r="G274" s="89">
        <f>'7.5. Stage 5&amp;6 budget'!G238*(1+'7.5. Stage 5&amp;6 budget'!$K$68)</f>
        <v>13126578.096244067</v>
      </c>
      <c r="H274" s="89">
        <f>'7.5. Stage 5&amp;6 budget'!H238*(1+'7.5. Stage 5&amp;6 budget'!$K$68)</f>
        <v>10929928.95909843</v>
      </c>
      <c r="I274" s="89">
        <f>'7.5. Stage 5&amp;6 budget'!I238*(1+'7.5. Stage 5&amp;6 budget'!$K$68)</f>
        <v>14822050.003070068</v>
      </c>
      <c r="J274" s="89">
        <f>'7.5. Stage 5&amp;6 budget'!J238*(1+'7.5. Stage 5&amp;6 budget'!$K$68)</f>
        <v>14224902.664816886</v>
      </c>
      <c r="K274" s="89">
        <f>'7.5. Stage 5&amp;6 budget'!K238*(1+'7.5. Stage 5&amp;6 budget'!$K$68)</f>
        <v>11452432.880069967</v>
      </c>
      <c r="L274" s="89">
        <f>'7.5. Stage 5&amp;6 budget'!L238*(1+'7.5. Stage 5&amp;6 budget'!$K$68)</f>
        <v>11846976.657130104</v>
      </c>
      <c r="M274" s="89">
        <f>'7.5. Stage 5&amp;6 budget'!M238*(1+'7.5. Stage 5&amp;6 budget'!$K$68)</f>
        <v>14406179.535358027</v>
      </c>
      <c r="N274" s="89">
        <f>'7.5. Stage 5&amp;6 budget'!N238*(1+'7.5. Stage 5&amp;6 budget'!$K$68)</f>
        <v>15163277.053500462</v>
      </c>
      <c r="O274" s="92">
        <f t="shared" si="255"/>
        <v>153306915.75117868</v>
      </c>
    </row>
    <row r="275" spans="1:25" x14ac:dyDescent="0.25">
      <c r="A275" s="82"/>
      <c r="B275" s="46" t="s">
        <v>208</v>
      </c>
      <c r="C275" s="47">
        <f t="shared" ref="C275:N275" si="262">SUM(C266:C274)</f>
        <v>86614566.346459344</v>
      </c>
      <c r="D275" s="47">
        <f t="shared" si="262"/>
        <v>87137070.267430887</v>
      </c>
      <c r="E275" s="47">
        <f t="shared" si="262"/>
        <v>85996092.317554265</v>
      </c>
      <c r="F275" s="47">
        <f t="shared" si="262"/>
        <v>87222377.030038491</v>
      </c>
      <c r="G275" s="47">
        <f t="shared" si="262"/>
        <v>93236503.7938741</v>
      </c>
      <c r="H275" s="47">
        <f t="shared" si="262"/>
        <v>85985428.972228318</v>
      </c>
      <c r="I275" s="47">
        <f t="shared" si="262"/>
        <v>92170169.261279166</v>
      </c>
      <c r="J275" s="47">
        <f t="shared" si="262"/>
        <v>95497133.002975434</v>
      </c>
      <c r="K275" s="47">
        <f t="shared" si="262"/>
        <v>89898876.706851855</v>
      </c>
      <c r="L275" s="47">
        <f t="shared" si="262"/>
        <v>88342028.289263189</v>
      </c>
      <c r="M275" s="47">
        <f t="shared" si="262"/>
        <v>91285111.599225312</v>
      </c>
      <c r="N275" s="47">
        <f t="shared" si="262"/>
        <v>91157151.455313936</v>
      </c>
      <c r="O275" s="47">
        <f t="shared" si="255"/>
        <v>1074542509.0424943</v>
      </c>
    </row>
    <row r="276" spans="1:25" x14ac:dyDescent="0.25">
      <c r="A276" s="82"/>
      <c r="B276" s="60" t="s">
        <v>87</v>
      </c>
      <c r="C276" s="47">
        <f t="shared" ref="C276:N276" si="263">C264+C275</f>
        <v>89952193.433481604</v>
      </c>
      <c r="D276" s="47">
        <f t="shared" si="263"/>
        <v>90122806.958696797</v>
      </c>
      <c r="E276" s="47">
        <f t="shared" si="263"/>
        <v>88981829.008820176</v>
      </c>
      <c r="F276" s="47">
        <f t="shared" si="263"/>
        <v>90208113.721304402</v>
      </c>
      <c r="G276" s="47">
        <f t="shared" si="263"/>
        <v>96222240.485140011</v>
      </c>
      <c r="H276" s="47">
        <f t="shared" si="263"/>
        <v>88971165.663494229</v>
      </c>
      <c r="I276" s="47">
        <f t="shared" si="263"/>
        <v>95155905.952545077</v>
      </c>
      <c r="J276" s="47">
        <f t="shared" si="263"/>
        <v>98482869.694241345</v>
      </c>
      <c r="K276" s="47">
        <f t="shared" si="263"/>
        <v>92884613.398117766</v>
      </c>
      <c r="L276" s="47">
        <f t="shared" si="263"/>
        <v>91327764.9805291</v>
      </c>
      <c r="M276" s="47">
        <f t="shared" si="263"/>
        <v>94270848.290491223</v>
      </c>
      <c r="N276" s="47">
        <f t="shared" si="263"/>
        <v>94142888.146579847</v>
      </c>
      <c r="O276" s="47">
        <f t="shared" si="255"/>
        <v>1110723239.7334416</v>
      </c>
    </row>
    <row r="277" spans="1:25" s="11" customFormat="1" x14ac:dyDescent="0.25">
      <c r="A277" s="82"/>
      <c r="B277" s="108" t="s">
        <v>204</v>
      </c>
      <c r="C277" s="109">
        <f>$O276*(3/12)/12</f>
        <v>23140067.494446699</v>
      </c>
      <c r="D277" s="109">
        <f t="shared" ref="D277" si="264">$O276*(3/12)/12</f>
        <v>23140067.494446699</v>
      </c>
      <c r="E277" s="109">
        <f t="shared" ref="E277" si="265">$O276*(3/12)/12</f>
        <v>23140067.494446699</v>
      </c>
      <c r="F277" s="109">
        <f t="shared" ref="F277" si="266">$O276*(3/12)/12</f>
        <v>23140067.494446699</v>
      </c>
      <c r="G277" s="109">
        <f t="shared" ref="G277" si="267">$O276*(3/12)/12</f>
        <v>23140067.494446699</v>
      </c>
      <c r="H277" s="109">
        <f t="shared" ref="H277" si="268">$O276*(3/12)/12</f>
        <v>23140067.494446699</v>
      </c>
      <c r="I277" s="109">
        <f t="shared" ref="I277" si="269">$O276*(3/12)/12</f>
        <v>23140067.494446699</v>
      </c>
      <c r="J277" s="109">
        <f t="shared" ref="J277" si="270">$O276*(3/12)/12</f>
        <v>23140067.494446699</v>
      </c>
      <c r="K277" s="109">
        <f t="shared" ref="K277" si="271">$O276*(3/12)/12</f>
        <v>23140067.494446699</v>
      </c>
      <c r="L277" s="109">
        <f t="shared" ref="L277" si="272">$O276*(3/12)/12</f>
        <v>23140067.494446699</v>
      </c>
      <c r="M277" s="109">
        <f t="shared" ref="M277" si="273">$O276*(3/12)/12</f>
        <v>23140067.494446699</v>
      </c>
      <c r="N277" s="109">
        <f t="shared" ref="N277" si="274">$O276*(3/12)/12</f>
        <v>23140067.494446699</v>
      </c>
      <c r="O277" s="109">
        <f t="shared" ref="O277:O281" si="275">SUM(C277:N277)</f>
        <v>277680809.9333604</v>
      </c>
      <c r="P277" s="43"/>
      <c r="Q277" s="43"/>
      <c r="R277" s="40"/>
      <c r="S277" s="40"/>
      <c r="T277" s="40"/>
      <c r="U277" s="40"/>
      <c r="V277" s="40"/>
      <c r="W277" s="40"/>
      <c r="X277" s="40"/>
      <c r="Y277" s="40"/>
    </row>
    <row r="278" spans="1:25" s="11" customFormat="1" x14ac:dyDescent="0.25">
      <c r="A278" s="82"/>
      <c r="B278" s="108" t="s">
        <v>82</v>
      </c>
      <c r="C278" s="109">
        <f>'6. Mortgage payment'!$C$7</f>
        <v>28168245.060798287</v>
      </c>
      <c r="D278" s="109">
        <f>'6. Mortgage payment'!$C$7</f>
        <v>28168245.060798287</v>
      </c>
      <c r="E278" s="109">
        <f>'6. Mortgage payment'!$C$7</f>
        <v>28168245.060798287</v>
      </c>
      <c r="F278" s="109">
        <f>'6. Mortgage payment'!$C$7</f>
        <v>28168245.060798287</v>
      </c>
      <c r="G278" s="109">
        <f>'6. Mortgage payment'!$C$7</f>
        <v>28168245.060798287</v>
      </c>
      <c r="H278" s="109">
        <f>'6. Mortgage payment'!$C$7</f>
        <v>28168245.060798287</v>
      </c>
      <c r="I278" s="109">
        <f>'6. Mortgage payment'!$C$7</f>
        <v>28168245.060798287</v>
      </c>
      <c r="J278" s="109">
        <f>'6. Mortgage payment'!$C$7</f>
        <v>28168245.060798287</v>
      </c>
      <c r="K278" s="109">
        <f>'6. Mortgage payment'!$C$7</f>
        <v>28168245.060798287</v>
      </c>
      <c r="L278" s="109">
        <f>'6. Mortgage payment'!$C$7</f>
        <v>28168245.060798287</v>
      </c>
      <c r="M278" s="109">
        <f>'6. Mortgage payment'!$C$7</f>
        <v>28168245.060798287</v>
      </c>
      <c r="N278" s="109">
        <f>'6. Mortgage payment'!$C$7</f>
        <v>28168245.060798287</v>
      </c>
      <c r="O278" s="109">
        <f t="shared" si="275"/>
        <v>338018940.72957945</v>
      </c>
      <c r="P278" s="43"/>
      <c r="Q278" s="43"/>
      <c r="R278" s="40"/>
      <c r="S278" s="40"/>
      <c r="T278" s="40"/>
      <c r="U278" s="40"/>
      <c r="V278" s="40"/>
      <c r="W278" s="40"/>
      <c r="X278" s="40"/>
      <c r="Y278" s="40"/>
    </row>
    <row r="279" spans="1:25" s="11" customFormat="1" x14ac:dyDescent="0.25">
      <c r="A279" s="82"/>
      <c r="B279" s="108" t="s">
        <v>251</v>
      </c>
      <c r="C279" s="109">
        <f>-PMT(4%,18*12,(150000000*8)/(1+4%)^18)</f>
        <v>23699110.369091634</v>
      </c>
      <c r="D279" s="109">
        <f t="shared" ref="D279:N279" si="276">-PMT(4%,18*12,(150000000*8)/(1+4%)^18)</f>
        <v>23699110.369091634</v>
      </c>
      <c r="E279" s="109">
        <f t="shared" si="276"/>
        <v>23699110.369091634</v>
      </c>
      <c r="F279" s="109">
        <f t="shared" si="276"/>
        <v>23699110.369091634</v>
      </c>
      <c r="G279" s="109">
        <f t="shared" si="276"/>
        <v>23699110.369091634</v>
      </c>
      <c r="H279" s="109">
        <f t="shared" si="276"/>
        <v>23699110.369091634</v>
      </c>
      <c r="I279" s="109">
        <f t="shared" si="276"/>
        <v>23699110.369091634</v>
      </c>
      <c r="J279" s="109">
        <f t="shared" si="276"/>
        <v>23699110.369091634</v>
      </c>
      <c r="K279" s="109">
        <f t="shared" si="276"/>
        <v>23699110.369091634</v>
      </c>
      <c r="L279" s="109">
        <f t="shared" si="276"/>
        <v>23699110.369091634</v>
      </c>
      <c r="M279" s="109">
        <f t="shared" si="276"/>
        <v>23699110.369091634</v>
      </c>
      <c r="N279" s="109">
        <f t="shared" si="276"/>
        <v>23699110.369091634</v>
      </c>
      <c r="O279" s="109">
        <f>SUM(C279:N279)</f>
        <v>284389324.42909962</v>
      </c>
      <c r="P279" s="43"/>
      <c r="Q279" s="43"/>
      <c r="R279" s="40"/>
      <c r="S279" s="40"/>
      <c r="T279" s="40"/>
      <c r="U279" s="40"/>
      <c r="V279" s="40"/>
      <c r="W279" s="40"/>
      <c r="X279" s="40"/>
      <c r="Y279" s="40"/>
    </row>
    <row r="280" spans="1:25" s="11" customFormat="1" x14ac:dyDescent="0.25">
      <c r="A280" s="82"/>
      <c r="B280" s="108" t="s">
        <v>386</v>
      </c>
      <c r="C280" s="109">
        <f>C244*(1+$K$68)</f>
        <v>2921850.743334421</v>
      </c>
      <c r="D280" s="109">
        <v>0</v>
      </c>
      <c r="E280" s="109">
        <v>0</v>
      </c>
      <c r="F280" s="109">
        <v>0</v>
      </c>
      <c r="G280" s="109">
        <v>0</v>
      </c>
      <c r="H280" s="109">
        <v>0</v>
      </c>
      <c r="I280" s="109">
        <v>0</v>
      </c>
      <c r="J280" s="109">
        <v>0</v>
      </c>
      <c r="K280" s="109">
        <v>0</v>
      </c>
      <c r="L280" s="109">
        <v>0</v>
      </c>
      <c r="M280" s="109">
        <v>0</v>
      </c>
      <c r="N280" s="109">
        <v>0</v>
      </c>
      <c r="O280" s="109">
        <f t="shared" si="275"/>
        <v>2921850.743334421</v>
      </c>
      <c r="P280" s="43"/>
      <c r="Q280" s="43"/>
      <c r="R280" s="40"/>
      <c r="S280" s="40"/>
      <c r="T280" s="40"/>
      <c r="U280" s="40"/>
      <c r="V280" s="40"/>
      <c r="W280" s="40"/>
      <c r="X280" s="40"/>
      <c r="Y280" s="40"/>
    </row>
    <row r="281" spans="1:25" s="11" customFormat="1" x14ac:dyDescent="0.25">
      <c r="A281" s="82"/>
      <c r="B281" s="60" t="s">
        <v>206</v>
      </c>
      <c r="C281" s="61">
        <f>C258-C276-C277-C278-C280-C279</f>
        <v>34589641.316811368</v>
      </c>
      <c r="D281" s="61">
        <f t="shared" ref="D281:N281" si="277">D258-D276-D277-D278-D280-D279</f>
        <v>37340878.534930602</v>
      </c>
      <c r="E281" s="61">
        <f t="shared" si="277"/>
        <v>38481856.484807223</v>
      </c>
      <c r="F281" s="61">
        <f t="shared" si="277"/>
        <v>37255571.772322997</v>
      </c>
      <c r="G281" s="61">
        <f t="shared" si="277"/>
        <v>31241445.008487385</v>
      </c>
      <c r="H281" s="61">
        <f t="shared" si="277"/>
        <v>38492519.83013317</v>
      </c>
      <c r="I281" s="61">
        <f t="shared" si="277"/>
        <v>32307779.541082319</v>
      </c>
      <c r="J281" s="61">
        <f t="shared" si="277"/>
        <v>28980815.799386051</v>
      </c>
      <c r="K281" s="61">
        <f t="shared" si="277"/>
        <v>34579072.095509633</v>
      </c>
      <c r="L281" s="61">
        <f t="shared" si="277"/>
        <v>36135920.5130983</v>
      </c>
      <c r="M281" s="61">
        <f t="shared" si="277"/>
        <v>33192837.203136172</v>
      </c>
      <c r="N281" s="61">
        <f t="shared" si="277"/>
        <v>33320797.347047549</v>
      </c>
      <c r="O281" s="47">
        <f t="shared" si="275"/>
        <v>415919135.44675273</v>
      </c>
      <c r="P281" s="43"/>
      <c r="Q281" s="43"/>
      <c r="R281" s="40"/>
      <c r="S281" s="40"/>
      <c r="T281" s="40"/>
      <c r="U281" s="40"/>
      <c r="V281" s="40"/>
      <c r="W281" s="40"/>
      <c r="X281" s="40"/>
      <c r="Y281" s="40"/>
    </row>
    <row r="282" spans="1:25" x14ac:dyDescent="0.25">
      <c r="A282" s="85"/>
      <c r="B282" s="40"/>
      <c r="C282" s="40"/>
      <c r="D282" s="40"/>
      <c r="E282" s="40"/>
      <c r="F282" s="40"/>
      <c r="G282" s="40"/>
      <c r="H282" s="40"/>
      <c r="I282" s="40"/>
      <c r="J282" s="40"/>
      <c r="K282" s="40"/>
      <c r="L282" s="353" t="s">
        <v>217</v>
      </c>
      <c r="M282" s="354"/>
      <c r="N282" s="350">
        <f>SUM(C281:N281)+N246</f>
        <v>10587467850.316673</v>
      </c>
      <c r="O282" s="40"/>
    </row>
    <row r="283" spans="1:25" x14ac:dyDescent="0.25">
      <c r="A283" s="85"/>
      <c r="B283" s="40"/>
      <c r="C283" s="40"/>
      <c r="D283" s="40"/>
      <c r="E283" s="40"/>
      <c r="F283" s="40"/>
      <c r="G283" s="40"/>
      <c r="H283" s="40"/>
      <c r="I283" s="40"/>
      <c r="J283" s="40"/>
      <c r="K283" s="40"/>
      <c r="L283" s="320"/>
      <c r="M283" s="355"/>
      <c r="N283" s="351"/>
      <c r="O283" s="40"/>
    </row>
    <row r="284" spans="1:25" x14ac:dyDescent="0.25">
      <c r="A284" s="85"/>
      <c r="B284" s="319" t="s">
        <v>632</v>
      </c>
      <c r="C284" s="352" t="s">
        <v>173</v>
      </c>
      <c r="D284" s="352"/>
      <c r="E284" s="352"/>
      <c r="F284" s="352"/>
      <c r="G284" s="352"/>
      <c r="H284" s="352"/>
      <c r="I284" s="40"/>
      <c r="J284" s="358" t="s">
        <v>231</v>
      </c>
      <c r="K284" s="359">
        <v>0.04</v>
      </c>
      <c r="L284" s="40"/>
      <c r="M284" s="40"/>
      <c r="N284" s="40"/>
      <c r="O284" s="361"/>
    </row>
    <row r="285" spans="1:25" x14ac:dyDescent="0.25">
      <c r="A285" s="85"/>
      <c r="B285" s="319"/>
      <c r="C285" s="352"/>
      <c r="D285" s="352"/>
      <c r="E285" s="352"/>
      <c r="F285" s="352"/>
      <c r="G285" s="352"/>
      <c r="H285" s="352"/>
      <c r="I285" s="40"/>
      <c r="J285" s="358"/>
      <c r="K285" s="360"/>
      <c r="L285" s="40"/>
      <c r="M285" s="40"/>
      <c r="N285" s="40"/>
      <c r="O285" s="362"/>
    </row>
    <row r="286" spans="1:25" x14ac:dyDescent="0.25">
      <c r="A286" s="85"/>
      <c r="B286" s="319"/>
      <c r="C286" s="352"/>
      <c r="D286" s="352"/>
      <c r="E286" s="352"/>
      <c r="F286" s="352"/>
      <c r="G286" s="352"/>
      <c r="H286" s="352"/>
      <c r="I286" s="40"/>
      <c r="J286" s="40"/>
      <c r="K286" s="40"/>
      <c r="L286" s="40"/>
      <c r="M286" s="40"/>
      <c r="N286" s="40"/>
      <c r="O286" s="40"/>
    </row>
    <row r="289" spans="1:15" ht="24.6" x14ac:dyDescent="0.25">
      <c r="A289" s="96"/>
      <c r="B289" s="348" t="s">
        <v>268</v>
      </c>
      <c r="C289" s="348"/>
      <c r="D289" s="348"/>
      <c r="E289" s="348"/>
      <c r="F289" s="348"/>
      <c r="G289" s="348"/>
      <c r="H289" s="348"/>
      <c r="I289" s="348"/>
      <c r="J289" s="348"/>
      <c r="K289" s="348"/>
      <c r="L289" s="348"/>
      <c r="M289" s="348"/>
      <c r="N289" s="348"/>
      <c r="O289" s="348"/>
    </row>
    <row r="290" spans="1:15" ht="24.6" x14ac:dyDescent="0.25">
      <c r="A290" s="96"/>
      <c r="B290" s="349"/>
      <c r="C290" s="349"/>
      <c r="D290" s="349"/>
      <c r="E290" s="349"/>
      <c r="F290" s="349"/>
      <c r="G290" s="349"/>
      <c r="H290" s="349"/>
      <c r="I290" s="349"/>
      <c r="J290" s="349"/>
      <c r="K290" s="349"/>
      <c r="L290" s="349"/>
      <c r="M290" s="349"/>
      <c r="N290" s="349"/>
      <c r="O290" s="349"/>
    </row>
    <row r="291" spans="1:15" x14ac:dyDescent="0.25">
      <c r="A291" s="82"/>
      <c r="B291" s="41"/>
      <c r="C291" s="42" t="s">
        <v>66</v>
      </c>
      <c r="D291" s="42" t="s">
        <v>67</v>
      </c>
      <c r="E291" s="42" t="s">
        <v>68</v>
      </c>
      <c r="F291" s="42" t="s">
        <v>69</v>
      </c>
      <c r="G291" s="42" t="s">
        <v>70</v>
      </c>
      <c r="H291" s="42" t="s">
        <v>71</v>
      </c>
      <c r="I291" s="42" t="s">
        <v>72</v>
      </c>
      <c r="J291" s="42" t="s">
        <v>73</v>
      </c>
      <c r="K291" s="42" t="s">
        <v>74</v>
      </c>
      <c r="L291" s="42" t="s">
        <v>75</v>
      </c>
      <c r="M291" s="42" t="s">
        <v>76</v>
      </c>
      <c r="N291" s="42" t="s">
        <v>77</v>
      </c>
      <c r="O291" s="42" t="s">
        <v>236</v>
      </c>
    </row>
    <row r="292" spans="1:15" x14ac:dyDescent="0.25">
      <c r="A292" s="82"/>
      <c r="B292" s="44" t="s">
        <v>194</v>
      </c>
      <c r="C292" s="45">
        <f>'3.1. My Income Tax Calculation'!$P$28/12</f>
        <v>140306688.35069963</v>
      </c>
      <c r="D292" s="45">
        <f>'3.1. My Income Tax Calculation'!$P$28/12</f>
        <v>140306688.35069963</v>
      </c>
      <c r="E292" s="45">
        <f>'3.1. My Income Tax Calculation'!$P$28/12</f>
        <v>140306688.35069963</v>
      </c>
      <c r="F292" s="45">
        <f>'3.1. My Income Tax Calculation'!$P$28/12</f>
        <v>140306688.35069963</v>
      </c>
      <c r="G292" s="45">
        <f>'3.1. My Income Tax Calculation'!$P$28/12</f>
        <v>140306688.35069963</v>
      </c>
      <c r="H292" s="45">
        <f>'3.1. My Income Tax Calculation'!$P$28/12</f>
        <v>140306688.35069963</v>
      </c>
      <c r="I292" s="45">
        <f>'3.1. My Income Tax Calculation'!$P$28/12</f>
        <v>140306688.35069963</v>
      </c>
      <c r="J292" s="45">
        <f>'3.1. My Income Tax Calculation'!$P$28/12</f>
        <v>140306688.35069963</v>
      </c>
      <c r="K292" s="45">
        <f>'3.1. My Income Tax Calculation'!$P$28/12</f>
        <v>140306688.35069963</v>
      </c>
      <c r="L292" s="45">
        <f>'3.1. My Income Tax Calculation'!$P$28/12</f>
        <v>140306688.35069963</v>
      </c>
      <c r="M292" s="45">
        <f>'3.1. My Income Tax Calculation'!$P$28/12</f>
        <v>140306688.35069963</v>
      </c>
      <c r="N292" s="45">
        <f>'3.1. My Income Tax Calculation'!$P$28/12</f>
        <v>140306688.35069963</v>
      </c>
      <c r="O292" s="45" t="s">
        <v>173</v>
      </c>
    </row>
    <row r="293" spans="1:15" x14ac:dyDescent="0.25">
      <c r="A293" s="82"/>
      <c r="B293" s="44" t="s">
        <v>246</v>
      </c>
      <c r="C293" s="45">
        <f>'3.2. My wife''s Tax Calc'!$P$28/12</f>
        <v>63115355.347124197</v>
      </c>
      <c r="D293" s="45">
        <f>'3.2. My wife''s Tax Calc'!$P$28/12</f>
        <v>63115355.347124197</v>
      </c>
      <c r="E293" s="45">
        <f>'3.2. My wife''s Tax Calc'!$P$28/12</f>
        <v>63115355.347124197</v>
      </c>
      <c r="F293" s="45">
        <f>'3.2. My wife''s Tax Calc'!$P$28/12</f>
        <v>63115355.347124197</v>
      </c>
      <c r="G293" s="45">
        <f>'3.2. My wife''s Tax Calc'!$P$28/12</f>
        <v>63115355.347124197</v>
      </c>
      <c r="H293" s="45">
        <f>'3.2. My wife''s Tax Calc'!$P$28/12</f>
        <v>63115355.347124197</v>
      </c>
      <c r="I293" s="45">
        <f>'3.2. My wife''s Tax Calc'!$P$28/12</f>
        <v>63115355.347124197</v>
      </c>
      <c r="J293" s="45">
        <f>'3.2. My wife''s Tax Calc'!$P$28/12</f>
        <v>63115355.347124197</v>
      </c>
      <c r="K293" s="45">
        <f>'3.2. My wife''s Tax Calc'!$P$28/12</f>
        <v>63115355.347124197</v>
      </c>
      <c r="L293" s="45">
        <f>'3.2. My wife''s Tax Calc'!$P$28/12</f>
        <v>63115355.347124197</v>
      </c>
      <c r="M293" s="45">
        <f>'3.2. My wife''s Tax Calc'!$P$28/12</f>
        <v>63115355.347124197</v>
      </c>
      <c r="N293" s="45">
        <f>'3.2. My wife''s Tax Calc'!$P$28/12</f>
        <v>63115355.347124197</v>
      </c>
      <c r="O293" s="45" t="s">
        <v>173</v>
      </c>
    </row>
    <row r="294" spans="1:15" x14ac:dyDescent="0.25">
      <c r="A294" s="82"/>
      <c r="B294" s="46" t="s">
        <v>209</v>
      </c>
      <c r="C294" s="47">
        <f>SUM(C292:C293)</f>
        <v>203422043.69782382</v>
      </c>
      <c r="D294" s="47">
        <f t="shared" ref="D294" si="278">SUM(D292:D293)</f>
        <v>203422043.69782382</v>
      </c>
      <c r="E294" s="47">
        <f t="shared" ref="E294" si="279">SUM(E292:E293)</f>
        <v>203422043.69782382</v>
      </c>
      <c r="F294" s="47">
        <f t="shared" ref="F294" si="280">SUM(F292:F293)</f>
        <v>203422043.69782382</v>
      </c>
      <c r="G294" s="47">
        <f t="shared" ref="G294" si="281">SUM(G292:G293)</f>
        <v>203422043.69782382</v>
      </c>
      <c r="H294" s="47">
        <f t="shared" ref="H294" si="282">SUM(H292:H293)</f>
        <v>203422043.69782382</v>
      </c>
      <c r="I294" s="47">
        <f t="shared" ref="I294" si="283">SUM(I292:I293)</f>
        <v>203422043.69782382</v>
      </c>
      <c r="J294" s="47">
        <f t="shared" ref="J294" si="284">SUM(J292:J293)</f>
        <v>203422043.69782382</v>
      </c>
      <c r="K294" s="47">
        <f>SUM(K292:K293)</f>
        <v>203422043.69782382</v>
      </c>
      <c r="L294" s="47">
        <f t="shared" ref="L294" si="285">SUM(L292:L293)</f>
        <v>203422043.69782382</v>
      </c>
      <c r="M294" s="47">
        <f t="shared" ref="M294" si="286">SUM(M292:M293)</f>
        <v>203422043.69782382</v>
      </c>
      <c r="N294" s="47">
        <f t="shared" ref="N294" si="287">SUM(N292:N293)</f>
        <v>203422043.69782382</v>
      </c>
      <c r="O294" s="47">
        <f>SUM(C294:N294)</f>
        <v>2441064524.3738856</v>
      </c>
    </row>
    <row r="295" spans="1:15" x14ac:dyDescent="0.25">
      <c r="A295" s="82"/>
      <c r="B295" s="52" t="s">
        <v>78</v>
      </c>
      <c r="C295" s="53" t="s">
        <v>173</v>
      </c>
      <c r="D295" s="53" t="s">
        <v>173</v>
      </c>
      <c r="E295" s="53" t="s">
        <v>173</v>
      </c>
      <c r="F295" s="53" t="s">
        <v>173</v>
      </c>
      <c r="G295" s="53" t="s">
        <v>173</v>
      </c>
      <c r="H295" s="53" t="s">
        <v>173</v>
      </c>
      <c r="I295" s="53" t="s">
        <v>173</v>
      </c>
      <c r="J295" s="53" t="s">
        <v>173</v>
      </c>
      <c r="K295" s="53" t="s">
        <v>173</v>
      </c>
      <c r="L295" s="53" t="s">
        <v>173</v>
      </c>
      <c r="M295" s="53" t="s">
        <v>173</v>
      </c>
      <c r="N295" s="53" t="s">
        <v>173</v>
      </c>
      <c r="O295" s="91" t="s">
        <v>173</v>
      </c>
    </row>
    <row r="296" spans="1:15" x14ac:dyDescent="0.25">
      <c r="A296" s="82"/>
      <c r="B296" s="48" t="s">
        <v>79</v>
      </c>
      <c r="C296" s="54" t="s">
        <v>173</v>
      </c>
      <c r="D296" s="54" t="s">
        <v>173</v>
      </c>
      <c r="E296" s="54" t="s">
        <v>173</v>
      </c>
      <c r="F296" s="54" t="s">
        <v>173</v>
      </c>
      <c r="G296" s="54" t="s">
        <v>173</v>
      </c>
      <c r="H296" s="54" t="s">
        <v>173</v>
      </c>
      <c r="I296" s="54" t="s">
        <v>173</v>
      </c>
      <c r="J296" s="54" t="s">
        <v>173</v>
      </c>
      <c r="K296" s="54" t="s">
        <v>173</v>
      </c>
      <c r="L296" s="54" t="s">
        <v>173</v>
      </c>
      <c r="M296" s="54" t="s">
        <v>173</v>
      </c>
      <c r="N296" s="54" t="s">
        <v>173</v>
      </c>
      <c r="O296" s="91" t="s">
        <v>173</v>
      </c>
    </row>
    <row r="297" spans="1:15" x14ac:dyDescent="0.25">
      <c r="A297" s="83"/>
      <c r="B297" s="49" t="s">
        <v>195</v>
      </c>
      <c r="C297" s="50">
        <f>C261*(1+$K$68)</f>
        <v>365966.01158659323</v>
      </c>
      <c r="D297" s="50">
        <v>0</v>
      </c>
      <c r="E297" s="50">
        <v>0</v>
      </c>
      <c r="F297" s="50">
        <v>0</v>
      </c>
      <c r="G297" s="50">
        <v>0</v>
      </c>
      <c r="H297" s="50">
        <v>0</v>
      </c>
      <c r="I297" s="50">
        <v>0</v>
      </c>
      <c r="J297" s="50">
        <v>0</v>
      </c>
      <c r="K297" s="50">
        <v>0</v>
      </c>
      <c r="L297" s="50">
        <v>0</v>
      </c>
      <c r="M297" s="50">
        <v>0</v>
      </c>
      <c r="N297" s="50">
        <v>0</v>
      </c>
      <c r="O297" s="90">
        <f t="shared" ref="O297:O300" si="288">SUM(C297:N297)</f>
        <v>365966.01158659323</v>
      </c>
    </row>
    <row r="298" spans="1:15" x14ac:dyDescent="0.25">
      <c r="A298" s="82"/>
      <c r="B298" s="51" t="s">
        <v>178</v>
      </c>
      <c r="C298" s="50">
        <f>C262*(1+$K$68)</f>
        <v>2772469.7847469193</v>
      </c>
      <c r="D298" s="50">
        <f t="shared" ref="D298:N298" si="289">D262*(1+$K$68)</f>
        <v>2772469.7847469193</v>
      </c>
      <c r="E298" s="50">
        <f t="shared" si="289"/>
        <v>2772469.7847469193</v>
      </c>
      <c r="F298" s="50">
        <f t="shared" si="289"/>
        <v>2772469.7847469193</v>
      </c>
      <c r="G298" s="50">
        <f t="shared" si="289"/>
        <v>2772469.7847469193</v>
      </c>
      <c r="H298" s="50">
        <f t="shared" si="289"/>
        <v>2772469.7847469193</v>
      </c>
      <c r="I298" s="50">
        <f t="shared" si="289"/>
        <v>2772469.7847469193</v>
      </c>
      <c r="J298" s="50">
        <f t="shared" si="289"/>
        <v>2772469.7847469193</v>
      </c>
      <c r="K298" s="50">
        <f t="shared" si="289"/>
        <v>2772469.7847469193</v>
      </c>
      <c r="L298" s="50">
        <f t="shared" si="289"/>
        <v>2772469.7847469193</v>
      </c>
      <c r="M298" s="50">
        <f t="shared" si="289"/>
        <v>2772469.7847469193</v>
      </c>
      <c r="N298" s="50">
        <f t="shared" si="289"/>
        <v>2772469.7847469193</v>
      </c>
      <c r="O298" s="90">
        <f t="shared" si="288"/>
        <v>33269637.41696303</v>
      </c>
    </row>
    <row r="299" spans="1:15" x14ac:dyDescent="0.25">
      <c r="A299" s="84"/>
      <c r="B299" s="51" t="s">
        <v>248</v>
      </c>
      <c r="C299" s="50">
        <f>C263*(1+$K$68)</f>
        <v>332696.37416963023</v>
      </c>
      <c r="D299" s="50">
        <f t="shared" ref="D299:N299" si="290">D263*(1+$K$68)</f>
        <v>332696.37416963023</v>
      </c>
      <c r="E299" s="50">
        <f t="shared" si="290"/>
        <v>332696.37416963023</v>
      </c>
      <c r="F299" s="50">
        <f t="shared" si="290"/>
        <v>332696.37416963023</v>
      </c>
      <c r="G299" s="50">
        <f t="shared" si="290"/>
        <v>332696.37416963023</v>
      </c>
      <c r="H299" s="50">
        <f t="shared" si="290"/>
        <v>332696.37416963023</v>
      </c>
      <c r="I299" s="50">
        <f t="shared" si="290"/>
        <v>332696.37416963023</v>
      </c>
      <c r="J299" s="50">
        <f t="shared" si="290"/>
        <v>332696.37416963023</v>
      </c>
      <c r="K299" s="50">
        <f t="shared" si="290"/>
        <v>332696.37416963023</v>
      </c>
      <c r="L299" s="50">
        <f t="shared" si="290"/>
        <v>332696.37416963023</v>
      </c>
      <c r="M299" s="50">
        <f t="shared" si="290"/>
        <v>332696.37416963023</v>
      </c>
      <c r="N299" s="50">
        <f t="shared" si="290"/>
        <v>332696.37416963023</v>
      </c>
      <c r="O299" s="90">
        <f t="shared" si="288"/>
        <v>3992356.4900355618</v>
      </c>
    </row>
    <row r="300" spans="1:15" x14ac:dyDescent="0.25">
      <c r="A300" s="82"/>
      <c r="B300" s="46" t="s">
        <v>207</v>
      </c>
      <c r="C300" s="47">
        <f t="shared" ref="C300:N300" si="291">SUM(C297:C299)</f>
        <v>3471132.1705031423</v>
      </c>
      <c r="D300" s="47">
        <f t="shared" si="291"/>
        <v>3105166.1589165498</v>
      </c>
      <c r="E300" s="47">
        <f t="shared" si="291"/>
        <v>3105166.1589165498</v>
      </c>
      <c r="F300" s="47">
        <f t="shared" si="291"/>
        <v>3105166.1589165498</v>
      </c>
      <c r="G300" s="47">
        <f t="shared" si="291"/>
        <v>3105166.1589165498</v>
      </c>
      <c r="H300" s="47">
        <f t="shared" si="291"/>
        <v>3105166.1589165498</v>
      </c>
      <c r="I300" s="47">
        <f t="shared" si="291"/>
        <v>3105166.1589165498</v>
      </c>
      <c r="J300" s="47">
        <f t="shared" si="291"/>
        <v>3105166.1589165498</v>
      </c>
      <c r="K300" s="47">
        <f t="shared" si="291"/>
        <v>3105166.1589165498</v>
      </c>
      <c r="L300" s="47">
        <f t="shared" si="291"/>
        <v>3105166.1589165498</v>
      </c>
      <c r="M300" s="47">
        <f t="shared" si="291"/>
        <v>3105166.1589165498</v>
      </c>
      <c r="N300" s="47">
        <f t="shared" si="291"/>
        <v>3105166.1589165498</v>
      </c>
      <c r="O300" s="47">
        <f t="shared" si="288"/>
        <v>37627959.918585181</v>
      </c>
    </row>
    <row r="301" spans="1:15" x14ac:dyDescent="0.25">
      <c r="A301" s="82"/>
      <c r="B301" s="55" t="s">
        <v>83</v>
      </c>
      <c r="C301" s="59" t="s">
        <v>173</v>
      </c>
      <c r="D301" s="59" t="s">
        <v>173</v>
      </c>
      <c r="E301" s="59" t="s">
        <v>173</v>
      </c>
      <c r="F301" s="59" t="s">
        <v>173</v>
      </c>
      <c r="G301" s="59" t="s">
        <v>173</v>
      </c>
      <c r="H301" s="59" t="s">
        <v>173</v>
      </c>
      <c r="I301" s="59" t="s">
        <v>173</v>
      </c>
      <c r="J301" s="59" t="s">
        <v>173</v>
      </c>
      <c r="K301" s="59" t="s">
        <v>173</v>
      </c>
      <c r="L301" s="59" t="s">
        <v>173</v>
      </c>
      <c r="M301" s="59" t="s">
        <v>173</v>
      </c>
      <c r="N301" s="59" t="s">
        <v>173</v>
      </c>
      <c r="O301" s="91" t="s">
        <v>173</v>
      </c>
    </row>
    <row r="302" spans="1:15" x14ac:dyDescent="0.25">
      <c r="A302" s="82"/>
      <c r="B302" s="57" t="s">
        <v>210</v>
      </c>
      <c r="C302" s="89">
        <f t="shared" ref="C302:N302" si="292">C266*(1+$K$68)</f>
        <v>3670749.9950049217</v>
      </c>
      <c r="D302" s="89">
        <f t="shared" si="292"/>
        <v>4424861.7764560841</v>
      </c>
      <c r="E302" s="89">
        <f t="shared" si="292"/>
        <v>4081075.5231474633</v>
      </c>
      <c r="F302" s="89">
        <f t="shared" si="292"/>
        <v>3814918.4238117607</v>
      </c>
      <c r="G302" s="89">
        <f t="shared" si="292"/>
        <v>3504401.8079201058</v>
      </c>
      <c r="H302" s="89">
        <f t="shared" si="292"/>
        <v>4391592.1390391188</v>
      </c>
      <c r="I302" s="89">
        <f t="shared" si="292"/>
        <v>5123524.1622123057</v>
      </c>
      <c r="J302" s="89">
        <f t="shared" si="292"/>
        <v>4912816.4585715402</v>
      </c>
      <c r="K302" s="89">
        <f t="shared" si="292"/>
        <v>3792738.6655337838</v>
      </c>
      <c r="L302" s="89">
        <f t="shared" si="292"/>
        <v>3892547.5777846742</v>
      </c>
      <c r="M302" s="89">
        <f t="shared" si="292"/>
        <v>3704019.6324218838</v>
      </c>
      <c r="N302" s="89">
        <f t="shared" si="292"/>
        <v>4003446.3691745503</v>
      </c>
      <c r="O302" s="92">
        <f t="shared" ref="O302:O312" si="293">SUM(C302:N302)</f>
        <v>49316692.531078182</v>
      </c>
    </row>
    <row r="303" spans="1:15" x14ac:dyDescent="0.25">
      <c r="A303" s="82"/>
      <c r="B303" s="57" t="s">
        <v>203</v>
      </c>
      <c r="C303" s="89">
        <f t="shared" ref="C303:N303" si="294">C267*(1+$K$68)</f>
        <v>13252405.57109027</v>
      </c>
      <c r="D303" s="89">
        <f t="shared" si="294"/>
        <v>14272674.451877141</v>
      </c>
      <c r="E303" s="89">
        <f t="shared" si="294"/>
        <v>16002695.597559216</v>
      </c>
      <c r="F303" s="89">
        <f t="shared" si="294"/>
        <v>12132327.778052524</v>
      </c>
      <c r="G303" s="89">
        <f t="shared" si="294"/>
        <v>16146864.026366059</v>
      </c>
      <c r="H303" s="89">
        <f t="shared" si="294"/>
        <v>15215314.178691091</v>
      </c>
      <c r="I303" s="89">
        <f t="shared" si="294"/>
        <v>13962157.835985489</v>
      </c>
      <c r="J303" s="89">
        <f t="shared" si="294"/>
        <v>16601549.07106455</v>
      </c>
      <c r="K303" s="89">
        <f t="shared" si="294"/>
        <v>16224493.180338966</v>
      </c>
      <c r="L303" s="89">
        <f t="shared" si="294"/>
        <v>16224493.180338966</v>
      </c>
      <c r="M303" s="89">
        <f t="shared" si="294"/>
        <v>12609192.581028992</v>
      </c>
      <c r="N303" s="89">
        <f t="shared" si="294"/>
        <v>15548010.552860728</v>
      </c>
      <c r="O303" s="92">
        <f t="shared" si="293"/>
        <v>178192178.005254</v>
      </c>
    </row>
    <row r="304" spans="1:15" x14ac:dyDescent="0.25">
      <c r="A304" s="82"/>
      <c r="B304" s="58" t="s">
        <v>84</v>
      </c>
      <c r="C304" s="89">
        <f t="shared" ref="C304:N304" si="295">C268*(1+$K$68)</f>
        <v>11722002.249909971</v>
      </c>
      <c r="D304" s="89">
        <f t="shared" si="295"/>
        <v>12797720.526391774</v>
      </c>
      <c r="E304" s="89">
        <f t="shared" si="295"/>
        <v>12842080.042947728</v>
      </c>
      <c r="F304" s="89">
        <f t="shared" si="295"/>
        <v>13263495.450229259</v>
      </c>
      <c r="G304" s="89">
        <f t="shared" si="295"/>
        <v>15692178.981667561</v>
      </c>
      <c r="H304" s="89">
        <f t="shared" si="295"/>
        <v>13574012.066120911</v>
      </c>
      <c r="I304" s="89">
        <f t="shared" si="295"/>
        <v>14095236.385653339</v>
      </c>
      <c r="J304" s="89">
        <f t="shared" si="295"/>
        <v>16224493.180338966</v>
      </c>
      <c r="K304" s="89">
        <f t="shared" si="295"/>
        <v>14849348.167104503</v>
      </c>
      <c r="L304" s="89">
        <f t="shared" si="295"/>
        <v>14827168.408826523</v>
      </c>
      <c r="M304" s="89">
        <f t="shared" si="295"/>
        <v>15869617.047891362</v>
      </c>
      <c r="N304" s="89">
        <f t="shared" si="295"/>
        <v>12742271.130696841</v>
      </c>
      <c r="O304" s="92">
        <f t="shared" si="293"/>
        <v>168499623.63777873</v>
      </c>
    </row>
    <row r="305" spans="1:25" x14ac:dyDescent="0.25">
      <c r="A305" s="82"/>
      <c r="B305" s="58" t="s">
        <v>81</v>
      </c>
      <c r="C305" s="89">
        <f t="shared" ref="C305:N305" si="296">C269*(1+$K$284)</f>
        <v>1663481.8708481523</v>
      </c>
      <c r="D305" s="89">
        <f t="shared" si="296"/>
        <v>1663481.8708481523</v>
      </c>
      <c r="E305" s="89">
        <f t="shared" si="296"/>
        <v>1663481.8708481523</v>
      </c>
      <c r="F305" s="89">
        <f t="shared" si="296"/>
        <v>1663481.8708481523</v>
      </c>
      <c r="G305" s="89">
        <f t="shared" si="296"/>
        <v>1663481.8708481523</v>
      </c>
      <c r="H305" s="89">
        <f t="shared" si="296"/>
        <v>1663481.8708481523</v>
      </c>
      <c r="I305" s="89">
        <f t="shared" si="296"/>
        <v>1663481.8708481523</v>
      </c>
      <c r="J305" s="89">
        <f t="shared" si="296"/>
        <v>1663481.8708481523</v>
      </c>
      <c r="K305" s="89">
        <f t="shared" si="296"/>
        <v>1663481.8708481523</v>
      </c>
      <c r="L305" s="89">
        <f t="shared" si="296"/>
        <v>1663481.8708481523</v>
      </c>
      <c r="M305" s="89">
        <f t="shared" si="296"/>
        <v>1663481.8708481523</v>
      </c>
      <c r="N305" s="89">
        <f t="shared" si="296"/>
        <v>1663481.8708481523</v>
      </c>
      <c r="O305" s="92">
        <f t="shared" si="293"/>
        <v>19961782.45017783</v>
      </c>
    </row>
    <row r="306" spans="1:25" x14ac:dyDescent="0.25">
      <c r="A306" s="82"/>
      <c r="B306" s="57" t="s">
        <v>85</v>
      </c>
      <c r="C306" s="89">
        <f t="shared" ref="C306:N306" si="297">C270*(1+$K$68)</f>
        <v>13618371.582676869</v>
      </c>
      <c r="D306" s="89">
        <f t="shared" si="297"/>
        <v>11655462.975076055</v>
      </c>
      <c r="E306" s="89">
        <f t="shared" si="297"/>
        <v>12065788.503218591</v>
      </c>
      <c r="F306" s="89">
        <f t="shared" si="297"/>
        <v>12254316.448581381</v>
      </c>
      <c r="G306" s="89">
        <f t="shared" si="297"/>
        <v>16479560.400535684</v>
      </c>
      <c r="H306" s="89">
        <f t="shared" si="297"/>
        <v>12099058.140635561</v>
      </c>
      <c r="I306" s="89">
        <f t="shared" si="297"/>
        <v>14039786.989958398</v>
      </c>
      <c r="J306" s="89">
        <f t="shared" si="297"/>
        <v>11112058.897265652</v>
      </c>
      <c r="K306" s="89">
        <f t="shared" si="297"/>
        <v>14450112.518100945</v>
      </c>
      <c r="L306" s="89">
        <f t="shared" si="297"/>
        <v>11478024.908852244</v>
      </c>
      <c r="M306" s="89">
        <f t="shared" si="297"/>
        <v>14616460.705185758</v>
      </c>
      <c r="N306" s="89">
        <f t="shared" si="297"/>
        <v>13917798.319429532</v>
      </c>
      <c r="O306" s="92">
        <f t="shared" si="293"/>
        <v>157786800.38951671</v>
      </c>
    </row>
    <row r="307" spans="1:25" x14ac:dyDescent="0.25">
      <c r="A307" s="84"/>
      <c r="B307" s="58" t="s">
        <v>249</v>
      </c>
      <c r="C307" s="89">
        <f t="shared" ref="C307:N307" si="298">C294*5%</f>
        <v>10171102.184891192</v>
      </c>
      <c r="D307" s="89">
        <f t="shared" si="298"/>
        <v>10171102.184891192</v>
      </c>
      <c r="E307" s="89">
        <f t="shared" si="298"/>
        <v>10171102.184891192</v>
      </c>
      <c r="F307" s="89">
        <f t="shared" si="298"/>
        <v>10171102.184891192</v>
      </c>
      <c r="G307" s="89">
        <f t="shared" si="298"/>
        <v>10171102.184891192</v>
      </c>
      <c r="H307" s="89">
        <f t="shared" si="298"/>
        <v>10171102.184891192</v>
      </c>
      <c r="I307" s="89">
        <f t="shared" si="298"/>
        <v>10171102.184891192</v>
      </c>
      <c r="J307" s="89">
        <f t="shared" si="298"/>
        <v>10171102.184891192</v>
      </c>
      <c r="K307" s="89">
        <f t="shared" si="298"/>
        <v>10171102.184891192</v>
      </c>
      <c r="L307" s="89">
        <f t="shared" si="298"/>
        <v>10171102.184891192</v>
      </c>
      <c r="M307" s="89">
        <f t="shared" si="298"/>
        <v>10171102.184891192</v>
      </c>
      <c r="N307" s="89">
        <f t="shared" si="298"/>
        <v>10171102.184891192</v>
      </c>
      <c r="O307" s="92">
        <f t="shared" si="293"/>
        <v>122053226.21869431</v>
      </c>
    </row>
    <row r="308" spans="1:25" x14ac:dyDescent="0.25">
      <c r="A308" s="84"/>
      <c r="B308" s="58" t="s">
        <v>180</v>
      </c>
      <c r="C308" s="89">
        <f>'7.5. Stage 5&amp;6 budget'!C272*(1+'7.5. Stage 5&amp;6 budget'!$K$68)</f>
        <v>16102504.509810101</v>
      </c>
      <c r="D308" s="89">
        <f>'7.5. Stage 5&amp;6 budget'!D272*(1+'7.5. Stage 5&amp;6 budget'!$K$68)</f>
        <v>15891796.806169337</v>
      </c>
      <c r="E308" s="89">
        <f>'7.5. Stage 5&amp;6 budget'!E272*(1+'7.5. Stage 5&amp;6 budget'!$K$68)</f>
        <v>13208046.054534325</v>
      </c>
      <c r="F308" s="89">
        <f>'7.5. Stage 5&amp;6 budget'!F272*(1+'7.5. Stage 5&amp;6 budget'!$K$68)</f>
        <v>14583191.067768799</v>
      </c>
      <c r="G308" s="89">
        <f>'7.5. Stage 5&amp;6 budget'!G272*(1+'7.5. Stage 5&amp;6 budget'!$K$68)</f>
        <v>11500204.667130221</v>
      </c>
      <c r="H308" s="89">
        <f>'7.5. Stage 5&amp;6 budget'!H272*(1+'7.5. Stage 5&amp;6 budget'!$K$68)</f>
        <v>12786630.647252792</v>
      </c>
      <c r="I308" s="89">
        <f>'7.5. Stage 5&amp;6 budget'!I272*(1+'7.5. Stage 5&amp;6 budget'!$K$68)</f>
        <v>13230225.812812304</v>
      </c>
      <c r="J308" s="89">
        <f>'7.5. Stage 5&amp;6 budget'!J272*(1+'7.5. Stage 5&amp;6 budget'!$K$68)</f>
        <v>15681089.10252857</v>
      </c>
      <c r="K308" s="89">
        <f>'7.5. Stage 5&amp;6 budget'!K272*(1+'7.5. Stage 5&amp;6 budget'!$K$68)</f>
        <v>12276496.206859356</v>
      </c>
      <c r="L308" s="89">
        <f>'7.5. Stage 5&amp;6 budget'!L272*(1+'7.5. Stage 5&amp;6 budget'!$K$68)</f>
        <v>13141506.779700389</v>
      </c>
      <c r="M308" s="89">
        <f>'7.5. Stage 5&amp;6 budget'!M272*(1+'7.5. Stage 5&amp;6 budget'!$K$68)</f>
        <v>13163686.537978366</v>
      </c>
      <c r="N308" s="89">
        <f>'7.5. Stage 5&amp;6 budget'!N272*(1+'7.5. Stage 5&amp;6 budget'!$K$68)</f>
        <v>12830990.163808748</v>
      </c>
      <c r="O308" s="92">
        <f t="shared" si="293"/>
        <v>164396368.35635334</v>
      </c>
    </row>
    <row r="309" spans="1:25" x14ac:dyDescent="0.25">
      <c r="A309" s="84"/>
      <c r="B309" s="58" t="s">
        <v>417</v>
      </c>
      <c r="C309" s="89">
        <f>'13. Insurance package'!$H$2/12*2</f>
        <v>7499166.666666667</v>
      </c>
      <c r="D309" s="89">
        <f>'13. Insurance package'!$H$2/12*2</f>
        <v>7499166.666666667</v>
      </c>
      <c r="E309" s="89">
        <f>'13. Insurance package'!$H$2/12*2</f>
        <v>7499166.666666667</v>
      </c>
      <c r="F309" s="89">
        <f>'13. Insurance package'!$H$2/12*2</f>
        <v>7499166.666666667</v>
      </c>
      <c r="G309" s="89">
        <f>'13. Insurance package'!$H$2/12*2</f>
        <v>7499166.666666667</v>
      </c>
      <c r="H309" s="89">
        <f>'13. Insurance package'!$H$2/12*2</f>
        <v>7499166.666666667</v>
      </c>
      <c r="I309" s="89">
        <f>'13. Insurance package'!$H$2/12*2</f>
        <v>7499166.666666667</v>
      </c>
      <c r="J309" s="89">
        <f>'13. Insurance package'!$H$2/12*2</f>
        <v>7499166.666666667</v>
      </c>
      <c r="K309" s="89">
        <f>'13. Insurance package'!$H$2/12*2</f>
        <v>7499166.666666667</v>
      </c>
      <c r="L309" s="89">
        <f>'13. Insurance package'!$H$2/12*2</f>
        <v>7499166.666666667</v>
      </c>
      <c r="M309" s="89">
        <f>'13. Insurance package'!$H$2/12*2</f>
        <v>7499166.666666667</v>
      </c>
      <c r="N309" s="89">
        <f>'13. Insurance package'!$H$2/12*2</f>
        <v>7499166.666666667</v>
      </c>
      <c r="O309" s="92">
        <f t="shared" ref="O309" si="299">SUM(C309:N309)</f>
        <v>89990000.000000015</v>
      </c>
    </row>
    <row r="310" spans="1:25" x14ac:dyDescent="0.25">
      <c r="A310" s="84"/>
      <c r="B310" s="58" t="s">
        <v>86</v>
      </c>
      <c r="C310" s="89">
        <f>'7.5. Stage 5&amp;6 budget'!C274*(1+'7.5. Stage 5&amp;6 budget'!$K$68)</f>
        <v>11722002.249909971</v>
      </c>
      <c r="D310" s="89">
        <f>'7.5. Stage 5&amp;6 budget'!D274*(1+'7.5. Stage 5&amp;6 budget'!$K$68)</f>
        <v>11588923.700242119</v>
      </c>
      <c r="E310" s="89">
        <f>'7.5. Stage 5&amp;6 budget'!E274*(1+'7.5. Stage 5&amp;6 budget'!$K$68)</f>
        <v>11245137.446933508</v>
      </c>
      <c r="F310" s="89">
        <f>'7.5. Stage 5&amp;6 budget'!F274*(1+'7.5. Stage 5&amp;6 budget'!$K$68)</f>
        <v>14671910.100880694</v>
      </c>
      <c r="G310" s="89">
        <f>'7.5. Stage 5&amp;6 budget'!G274*(1+'7.5. Stage 5&amp;6 budget'!$K$68)</f>
        <v>13651641.22009383</v>
      </c>
      <c r="H310" s="89">
        <f>'7.5. Stage 5&amp;6 budget'!H274*(1+'7.5. Stage 5&amp;6 budget'!$K$68)</f>
        <v>11367126.117462369</v>
      </c>
      <c r="I310" s="89">
        <f>'7.5. Stage 5&amp;6 budget'!I274*(1+'7.5. Stage 5&amp;6 budget'!$K$68)</f>
        <v>15414932.00319287</v>
      </c>
      <c r="J310" s="89">
        <f>'7.5. Stage 5&amp;6 budget'!J274*(1+'7.5. Stage 5&amp;6 budget'!$K$68)</f>
        <v>14793898.771409562</v>
      </c>
      <c r="K310" s="89">
        <f>'7.5. Stage 5&amp;6 budget'!K274*(1+'7.5. Stage 5&amp;6 budget'!$K$68)</f>
        <v>11910530.195272766</v>
      </c>
      <c r="L310" s="89">
        <f>'7.5. Stage 5&amp;6 budget'!L274*(1+'7.5. Stage 5&amp;6 budget'!$K$68)</f>
        <v>12320855.723415308</v>
      </c>
      <c r="M310" s="89">
        <f>'7.5. Stage 5&amp;6 budget'!M274*(1+'7.5. Stage 5&amp;6 budget'!$K$68)</f>
        <v>14982426.716772348</v>
      </c>
      <c r="N310" s="89">
        <f>'7.5. Stage 5&amp;6 budget'!N274*(1+'7.5. Stage 5&amp;6 budget'!$K$68)</f>
        <v>15769808.135640481</v>
      </c>
      <c r="O310" s="92">
        <f t="shared" si="293"/>
        <v>159439192.38122582</v>
      </c>
    </row>
    <row r="311" spans="1:25" x14ac:dyDescent="0.25">
      <c r="A311" s="82"/>
      <c r="B311" s="46" t="s">
        <v>208</v>
      </c>
      <c r="C311" s="47">
        <f t="shared" ref="C311:N311" si="300">SUM(C302:C310)</f>
        <v>89421786.880808115</v>
      </c>
      <c r="D311" s="47">
        <f t="shared" si="300"/>
        <v>89965190.958618522</v>
      </c>
      <c r="E311" s="47">
        <f t="shared" si="300"/>
        <v>88778573.890746847</v>
      </c>
      <c r="F311" s="47">
        <f t="shared" si="300"/>
        <v>90053909.991730437</v>
      </c>
      <c r="G311" s="47">
        <f t="shared" si="300"/>
        <v>96308601.826119468</v>
      </c>
      <c r="H311" s="47">
        <f t="shared" si="300"/>
        <v>88767484.01160787</v>
      </c>
      <c r="I311" s="47">
        <f t="shared" si="300"/>
        <v>95199613.912220716</v>
      </c>
      <c r="J311" s="47">
        <f t="shared" si="300"/>
        <v>98659656.20358485</v>
      </c>
      <c r="K311" s="47">
        <f t="shared" si="300"/>
        <v>92837469.655616343</v>
      </c>
      <c r="L311" s="47">
        <f t="shared" si="300"/>
        <v>91218347.301324129</v>
      </c>
      <c r="M311" s="47">
        <f t="shared" si="300"/>
        <v>94279153.943684712</v>
      </c>
      <c r="N311" s="47">
        <f t="shared" si="300"/>
        <v>94146075.394016892</v>
      </c>
      <c r="O311" s="47">
        <f t="shared" si="293"/>
        <v>1109635863.9700787</v>
      </c>
    </row>
    <row r="312" spans="1:25" x14ac:dyDescent="0.25">
      <c r="A312" s="82"/>
      <c r="B312" s="60" t="s">
        <v>87</v>
      </c>
      <c r="C312" s="47">
        <f t="shared" ref="C312:N312" si="301">C300+C311</f>
        <v>92892919.051311255</v>
      </c>
      <c r="D312" s="47">
        <f t="shared" si="301"/>
        <v>93070357.11753507</v>
      </c>
      <c r="E312" s="47">
        <f t="shared" si="301"/>
        <v>91883740.049663395</v>
      </c>
      <c r="F312" s="47">
        <f t="shared" si="301"/>
        <v>93159076.150646985</v>
      </c>
      <c r="G312" s="47">
        <f t="shared" si="301"/>
        <v>99413767.985036016</v>
      </c>
      <c r="H312" s="47">
        <f t="shared" si="301"/>
        <v>91872650.170524418</v>
      </c>
      <c r="I312" s="47">
        <f t="shared" si="301"/>
        <v>98304780.071137264</v>
      </c>
      <c r="J312" s="47">
        <f t="shared" si="301"/>
        <v>101764822.3625014</v>
      </c>
      <c r="K312" s="47">
        <f t="shared" si="301"/>
        <v>95942635.814532891</v>
      </c>
      <c r="L312" s="47">
        <f t="shared" si="301"/>
        <v>94323513.460240677</v>
      </c>
      <c r="M312" s="47">
        <f t="shared" si="301"/>
        <v>97384320.10260126</v>
      </c>
      <c r="N312" s="47">
        <f t="shared" si="301"/>
        <v>97251241.55293344</v>
      </c>
      <c r="O312" s="47">
        <f t="shared" si="293"/>
        <v>1147263823.888664</v>
      </c>
    </row>
    <row r="313" spans="1:25" s="11" customFormat="1" x14ac:dyDescent="0.25">
      <c r="A313" s="82"/>
      <c r="B313" s="108" t="s">
        <v>204</v>
      </c>
      <c r="C313" s="109">
        <f>$O312*(3/12)/12</f>
        <v>23901329.664347168</v>
      </c>
      <c r="D313" s="109">
        <f t="shared" ref="D313" si="302">$O312*(3/12)/12</f>
        <v>23901329.664347168</v>
      </c>
      <c r="E313" s="109">
        <f t="shared" ref="E313" si="303">$O312*(3/12)/12</f>
        <v>23901329.664347168</v>
      </c>
      <c r="F313" s="109">
        <f t="shared" ref="F313" si="304">$O312*(3/12)/12</f>
        <v>23901329.664347168</v>
      </c>
      <c r="G313" s="109">
        <f t="shared" ref="G313" si="305">$O312*(3/12)/12</f>
        <v>23901329.664347168</v>
      </c>
      <c r="H313" s="109">
        <f t="shared" ref="H313" si="306">$O312*(3/12)/12</f>
        <v>23901329.664347168</v>
      </c>
      <c r="I313" s="109">
        <f t="shared" ref="I313" si="307">$O312*(3/12)/12</f>
        <v>23901329.664347168</v>
      </c>
      <c r="J313" s="109">
        <f t="shared" ref="J313" si="308">$O312*(3/12)/12</f>
        <v>23901329.664347168</v>
      </c>
      <c r="K313" s="109">
        <f t="shared" ref="K313" si="309">$O312*(3/12)/12</f>
        <v>23901329.664347168</v>
      </c>
      <c r="L313" s="109">
        <f t="shared" ref="L313" si="310">$O312*(3/12)/12</f>
        <v>23901329.664347168</v>
      </c>
      <c r="M313" s="109">
        <f t="shared" ref="M313" si="311">$O312*(3/12)/12</f>
        <v>23901329.664347168</v>
      </c>
      <c r="N313" s="109">
        <f t="shared" ref="N313" si="312">$O312*(3/12)/12</f>
        <v>23901329.664347168</v>
      </c>
      <c r="O313" s="109">
        <f t="shared" ref="O313:O317" si="313">SUM(C313:N313)</f>
        <v>286815955.972166</v>
      </c>
      <c r="P313" s="43"/>
      <c r="Q313" s="43"/>
      <c r="R313" s="40"/>
      <c r="S313" s="40"/>
      <c r="T313" s="40"/>
      <c r="U313" s="40"/>
      <c r="V313" s="40"/>
      <c r="W313" s="40"/>
      <c r="X313" s="40"/>
      <c r="Y313" s="40"/>
    </row>
    <row r="314" spans="1:25" s="11" customFormat="1" x14ac:dyDescent="0.25">
      <c r="A314" s="82"/>
      <c r="B314" s="108" t="s">
        <v>82</v>
      </c>
      <c r="C314" s="109">
        <f>'6. Mortgage payment'!$C$7</f>
        <v>28168245.060798287</v>
      </c>
      <c r="D314" s="109">
        <f>'6. Mortgage payment'!$C$7</f>
        <v>28168245.060798287</v>
      </c>
      <c r="E314" s="109">
        <f>'6. Mortgage payment'!$C$7</f>
        <v>28168245.060798287</v>
      </c>
      <c r="F314" s="109">
        <f>'6. Mortgage payment'!$C$7</f>
        <v>28168245.060798287</v>
      </c>
      <c r="G314" s="109">
        <f>'6. Mortgage payment'!$C$7</f>
        <v>28168245.060798287</v>
      </c>
      <c r="H314" s="109">
        <f>'6. Mortgage payment'!$C$7</f>
        <v>28168245.060798287</v>
      </c>
      <c r="I314" s="109">
        <f>'6. Mortgage payment'!$C$7</f>
        <v>28168245.060798287</v>
      </c>
      <c r="J314" s="109">
        <f>'6. Mortgage payment'!$C$7</f>
        <v>28168245.060798287</v>
      </c>
      <c r="K314" s="109">
        <f>'6. Mortgage payment'!$C$7</f>
        <v>28168245.060798287</v>
      </c>
      <c r="L314" s="109">
        <f>'6. Mortgage payment'!$C$7</f>
        <v>28168245.060798287</v>
      </c>
      <c r="M314" s="109">
        <f>'6. Mortgage payment'!$C$7</f>
        <v>28168245.060798287</v>
      </c>
      <c r="N314" s="109">
        <f>'6. Mortgage payment'!$C$7</f>
        <v>28168245.060798287</v>
      </c>
      <c r="O314" s="109">
        <f t="shared" si="313"/>
        <v>338018940.72957945</v>
      </c>
      <c r="P314" s="43"/>
      <c r="Q314" s="43"/>
      <c r="R314" s="40"/>
      <c r="S314" s="40"/>
      <c r="T314" s="40"/>
      <c r="U314" s="40"/>
      <c r="V314" s="40"/>
      <c r="W314" s="40"/>
      <c r="X314" s="40"/>
      <c r="Y314" s="40"/>
    </row>
    <row r="315" spans="1:25" s="11" customFormat="1" x14ac:dyDescent="0.25">
      <c r="A315" s="82"/>
      <c r="B315" s="108" t="s">
        <v>251</v>
      </c>
      <c r="C315" s="109">
        <f>-PMT(4%,18*12,(150000000*8)/(1+4%)^18)</f>
        <v>23699110.369091634</v>
      </c>
      <c r="D315" s="109">
        <f t="shared" ref="D315:N315" si="314">-PMT(4%,18*12,(150000000*8)/(1+4%)^18)</f>
        <v>23699110.369091634</v>
      </c>
      <c r="E315" s="109">
        <f t="shared" si="314"/>
        <v>23699110.369091634</v>
      </c>
      <c r="F315" s="109">
        <f t="shared" si="314"/>
        <v>23699110.369091634</v>
      </c>
      <c r="G315" s="109">
        <f t="shared" si="314"/>
        <v>23699110.369091634</v>
      </c>
      <c r="H315" s="109">
        <f t="shared" si="314"/>
        <v>23699110.369091634</v>
      </c>
      <c r="I315" s="109">
        <f t="shared" si="314"/>
        <v>23699110.369091634</v>
      </c>
      <c r="J315" s="109">
        <f t="shared" si="314"/>
        <v>23699110.369091634</v>
      </c>
      <c r="K315" s="109">
        <f t="shared" si="314"/>
        <v>23699110.369091634</v>
      </c>
      <c r="L315" s="109">
        <f t="shared" si="314"/>
        <v>23699110.369091634</v>
      </c>
      <c r="M315" s="109">
        <f t="shared" si="314"/>
        <v>23699110.369091634</v>
      </c>
      <c r="N315" s="109">
        <f t="shared" si="314"/>
        <v>23699110.369091634</v>
      </c>
      <c r="O315" s="109">
        <f>SUM(C315:N315)</f>
        <v>284389324.42909962</v>
      </c>
      <c r="P315" s="43"/>
      <c r="Q315" s="43"/>
      <c r="R315" s="40"/>
      <c r="S315" s="40"/>
      <c r="T315" s="40"/>
      <c r="U315" s="40"/>
      <c r="V315" s="40"/>
      <c r="W315" s="40"/>
      <c r="X315" s="40"/>
      <c r="Y315" s="40"/>
    </row>
    <row r="316" spans="1:25" s="11" customFormat="1" x14ac:dyDescent="0.25">
      <c r="A316" s="82"/>
      <c r="B316" s="108" t="s">
        <v>386</v>
      </c>
      <c r="C316" s="109">
        <f>C280*(1+$K$68)</f>
        <v>3038724.773067798</v>
      </c>
      <c r="D316" s="109">
        <v>0</v>
      </c>
      <c r="E316" s="109">
        <v>0</v>
      </c>
      <c r="F316" s="109">
        <v>0</v>
      </c>
      <c r="G316" s="109">
        <v>0</v>
      </c>
      <c r="H316" s="109">
        <v>0</v>
      </c>
      <c r="I316" s="109">
        <v>0</v>
      </c>
      <c r="J316" s="109">
        <v>0</v>
      </c>
      <c r="K316" s="109">
        <v>0</v>
      </c>
      <c r="L316" s="109">
        <v>0</v>
      </c>
      <c r="M316" s="109">
        <v>0</v>
      </c>
      <c r="N316" s="109">
        <v>0</v>
      </c>
      <c r="O316" s="109">
        <f t="shared" si="313"/>
        <v>3038724.773067798</v>
      </c>
      <c r="P316" s="43"/>
      <c r="Q316" s="43"/>
      <c r="R316" s="40"/>
      <c r="S316" s="40"/>
      <c r="T316" s="40"/>
      <c r="U316" s="40"/>
      <c r="V316" s="40"/>
      <c r="W316" s="40"/>
      <c r="X316" s="40"/>
      <c r="Y316" s="40"/>
    </row>
    <row r="317" spans="1:25" s="11" customFormat="1" x14ac:dyDescent="0.25">
      <c r="A317" s="82"/>
      <c r="B317" s="60" t="s">
        <v>206</v>
      </c>
      <c r="C317" s="61">
        <f>C294-C312-C313-C314-C316-C315</f>
        <v>31721714.77920768</v>
      </c>
      <c r="D317" s="61">
        <f t="shared" ref="D317:N317" si="315">D294-D312-D313-D314-D316-D315</f>
        <v>34583001.486051664</v>
      </c>
      <c r="E317" s="61">
        <f t="shared" si="315"/>
        <v>35769618.553923339</v>
      </c>
      <c r="F317" s="61">
        <f t="shared" si="315"/>
        <v>34494282.452939749</v>
      </c>
      <c r="G317" s="61">
        <f t="shared" si="315"/>
        <v>28239590.618550714</v>
      </c>
      <c r="H317" s="61">
        <f t="shared" si="315"/>
        <v>35780708.433062315</v>
      </c>
      <c r="I317" s="61">
        <f t="shared" si="315"/>
        <v>29348578.532449465</v>
      </c>
      <c r="J317" s="61">
        <f t="shared" si="315"/>
        <v>25888536.241085332</v>
      </c>
      <c r="K317" s="61">
        <f t="shared" si="315"/>
        <v>31710722.789053839</v>
      </c>
      <c r="L317" s="61">
        <f t="shared" si="315"/>
        <v>33329845.143346053</v>
      </c>
      <c r="M317" s="61">
        <f t="shared" si="315"/>
        <v>30269038.50098547</v>
      </c>
      <c r="N317" s="61">
        <f t="shared" si="315"/>
        <v>30402117.05065329</v>
      </c>
      <c r="O317" s="47">
        <f t="shared" si="313"/>
        <v>381537754.5813089</v>
      </c>
      <c r="P317" s="43"/>
      <c r="Q317" s="43"/>
      <c r="R317" s="40"/>
      <c r="S317" s="40"/>
      <c r="T317" s="40"/>
      <c r="U317" s="40"/>
      <c r="V317" s="40"/>
      <c r="W317" s="40"/>
      <c r="X317" s="40"/>
      <c r="Y317" s="40"/>
    </row>
    <row r="318" spans="1:25" x14ac:dyDescent="0.25">
      <c r="A318" s="85"/>
      <c r="B318" s="40"/>
      <c r="C318" s="40"/>
      <c r="D318" s="40"/>
      <c r="E318" s="40"/>
      <c r="F318" s="40"/>
      <c r="G318" s="40"/>
      <c r="H318" s="40"/>
      <c r="I318" s="40"/>
      <c r="J318" s="40"/>
      <c r="K318" s="40"/>
      <c r="L318" s="353" t="s">
        <v>217</v>
      </c>
      <c r="M318" s="354"/>
      <c r="N318" s="350">
        <f>SUM(C317:N317)+N282</f>
        <v>10969005604.897982</v>
      </c>
      <c r="O318" s="40"/>
    </row>
    <row r="319" spans="1:25" x14ac:dyDescent="0.25">
      <c r="A319" s="85"/>
      <c r="B319" s="40"/>
      <c r="C319" s="40"/>
      <c r="D319" s="40"/>
      <c r="E319" s="40"/>
      <c r="F319" s="40"/>
      <c r="G319" s="40"/>
      <c r="H319" s="40"/>
      <c r="I319" s="40"/>
      <c r="J319" s="40"/>
      <c r="K319" s="40"/>
      <c r="L319" s="320"/>
      <c r="M319" s="355"/>
      <c r="N319" s="351"/>
      <c r="O319" s="40"/>
    </row>
    <row r="320" spans="1:25" x14ac:dyDescent="0.25">
      <c r="A320" s="85"/>
      <c r="B320" s="319" t="s">
        <v>632</v>
      </c>
      <c r="C320" s="352" t="s">
        <v>173</v>
      </c>
      <c r="D320" s="352"/>
      <c r="E320" s="352"/>
      <c r="F320" s="352"/>
      <c r="G320" s="352"/>
      <c r="H320" s="352"/>
      <c r="I320" s="40"/>
      <c r="J320" s="358" t="s">
        <v>231</v>
      </c>
      <c r="K320" s="359">
        <v>0.04</v>
      </c>
      <c r="L320" s="40"/>
      <c r="M320" s="40"/>
      <c r="N320" s="40"/>
      <c r="O320" s="361"/>
    </row>
    <row r="321" spans="1:15" x14ac:dyDescent="0.25">
      <c r="A321" s="85"/>
      <c r="B321" s="319"/>
      <c r="C321" s="352"/>
      <c r="D321" s="352"/>
      <c r="E321" s="352"/>
      <c r="F321" s="352"/>
      <c r="G321" s="352"/>
      <c r="H321" s="352"/>
      <c r="I321" s="40"/>
      <c r="J321" s="358"/>
      <c r="K321" s="360"/>
      <c r="L321" s="40"/>
      <c r="M321" s="40"/>
      <c r="N321" s="40"/>
      <c r="O321" s="362"/>
    </row>
    <row r="322" spans="1:15" x14ac:dyDescent="0.25">
      <c r="A322" s="85"/>
      <c r="B322" s="319"/>
      <c r="C322" s="352"/>
      <c r="D322" s="352"/>
      <c r="E322" s="352"/>
      <c r="F322" s="352"/>
      <c r="G322" s="352"/>
      <c r="H322" s="352"/>
      <c r="I322" s="40"/>
      <c r="J322" s="40"/>
      <c r="K322" s="40"/>
      <c r="L322" s="40"/>
      <c r="M322" s="40"/>
      <c r="N322" s="40"/>
      <c r="O322" s="40"/>
    </row>
    <row r="325" spans="1:15" ht="24.6" x14ac:dyDescent="0.25">
      <c r="A325" s="96"/>
      <c r="B325" s="348" t="s">
        <v>269</v>
      </c>
      <c r="C325" s="348"/>
      <c r="D325" s="348"/>
      <c r="E325" s="348"/>
      <c r="F325" s="348"/>
      <c r="G325" s="348"/>
      <c r="H325" s="348"/>
      <c r="I325" s="348"/>
      <c r="J325" s="348"/>
      <c r="K325" s="348"/>
      <c r="L325" s="348"/>
      <c r="M325" s="348"/>
      <c r="N325" s="348"/>
      <c r="O325" s="348"/>
    </row>
    <row r="326" spans="1:15" ht="24.6" x14ac:dyDescent="0.25">
      <c r="A326" s="96"/>
      <c r="B326" s="349"/>
      <c r="C326" s="349"/>
      <c r="D326" s="349"/>
      <c r="E326" s="349"/>
      <c r="F326" s="349"/>
      <c r="G326" s="349"/>
      <c r="H326" s="349"/>
      <c r="I326" s="349"/>
      <c r="J326" s="349"/>
      <c r="K326" s="349"/>
      <c r="L326" s="349"/>
      <c r="M326" s="349"/>
      <c r="N326" s="349"/>
      <c r="O326" s="349"/>
    </row>
    <row r="327" spans="1:15" x14ac:dyDescent="0.25">
      <c r="A327" s="82"/>
      <c r="B327" s="41"/>
      <c r="C327" s="42" t="s">
        <v>66</v>
      </c>
      <c r="D327" s="42" t="s">
        <v>67</v>
      </c>
      <c r="E327" s="42" t="s">
        <v>68</v>
      </c>
      <c r="F327" s="42" t="s">
        <v>69</v>
      </c>
      <c r="G327" s="42" t="s">
        <v>70</v>
      </c>
      <c r="H327" s="42" t="s">
        <v>71</v>
      </c>
      <c r="I327" s="42" t="s">
        <v>72</v>
      </c>
      <c r="J327" s="42" t="s">
        <v>73</v>
      </c>
      <c r="K327" s="42" t="s">
        <v>74</v>
      </c>
      <c r="L327" s="42" t="s">
        <v>75</v>
      </c>
      <c r="M327" s="42" t="s">
        <v>76</v>
      </c>
      <c r="N327" s="42" t="s">
        <v>77</v>
      </c>
      <c r="O327" s="42" t="s">
        <v>236</v>
      </c>
    </row>
    <row r="328" spans="1:15" x14ac:dyDescent="0.25">
      <c r="A328" s="82"/>
      <c r="B328" s="44" t="s">
        <v>194</v>
      </c>
      <c r="C328" s="45">
        <f>'3.1. My Income Tax Calculation'!$P$29/12</f>
        <v>140976959.05373278</v>
      </c>
      <c r="D328" s="45">
        <f>'3.1. My Income Tax Calculation'!$P$29/12</f>
        <v>140976959.05373278</v>
      </c>
      <c r="E328" s="45">
        <f>'3.1. My Income Tax Calculation'!$P$29/12</f>
        <v>140976959.05373278</v>
      </c>
      <c r="F328" s="45">
        <f>'3.1. My Income Tax Calculation'!$P$29/12</f>
        <v>140976959.05373278</v>
      </c>
      <c r="G328" s="45">
        <f>'3.1. My Income Tax Calculation'!$P$29/12</f>
        <v>140976959.05373278</v>
      </c>
      <c r="H328" s="45">
        <f>'3.1. My Income Tax Calculation'!$P$29/12</f>
        <v>140976959.05373278</v>
      </c>
      <c r="I328" s="45">
        <f>'3.1. My Income Tax Calculation'!$P$29/12</f>
        <v>140976959.05373278</v>
      </c>
      <c r="J328" s="45">
        <f>'3.1. My Income Tax Calculation'!$P$29/12</f>
        <v>140976959.05373278</v>
      </c>
      <c r="K328" s="45">
        <f>'3.1. My Income Tax Calculation'!$P$29/12</f>
        <v>140976959.05373278</v>
      </c>
      <c r="L328" s="45">
        <f>'3.1. My Income Tax Calculation'!$P$29/12</f>
        <v>140976959.05373278</v>
      </c>
      <c r="M328" s="45">
        <f>'3.1. My Income Tax Calculation'!$P$29/12</f>
        <v>140976959.05373278</v>
      </c>
      <c r="N328" s="45">
        <f>'3.1. My Income Tax Calculation'!$P$29/12</f>
        <v>140976959.05373278</v>
      </c>
      <c r="O328" s="45" t="s">
        <v>173</v>
      </c>
    </row>
    <row r="329" spans="1:15" x14ac:dyDescent="0.25">
      <c r="A329" s="82"/>
      <c r="B329" s="44" t="s">
        <v>246</v>
      </c>
      <c r="C329" s="45">
        <f>'3.2. My wife''s Tax Calc'!$P$29/12</f>
        <v>63401054.287197202</v>
      </c>
      <c r="D329" s="45">
        <f>'3.2. My wife''s Tax Calc'!$P$29/12</f>
        <v>63401054.287197202</v>
      </c>
      <c r="E329" s="45">
        <f>'3.2. My wife''s Tax Calc'!$P$29/12</f>
        <v>63401054.287197202</v>
      </c>
      <c r="F329" s="45">
        <f>'3.2. My wife''s Tax Calc'!$P$29/12</f>
        <v>63401054.287197202</v>
      </c>
      <c r="G329" s="45">
        <f>'3.2. My wife''s Tax Calc'!$P$29/12</f>
        <v>63401054.287197202</v>
      </c>
      <c r="H329" s="45">
        <f>'3.2. My wife''s Tax Calc'!$P$29/12</f>
        <v>63401054.287197202</v>
      </c>
      <c r="I329" s="45">
        <f>'3.2. My wife''s Tax Calc'!$P$29/12</f>
        <v>63401054.287197202</v>
      </c>
      <c r="J329" s="45">
        <f>'3.2. My wife''s Tax Calc'!$P$29/12</f>
        <v>63401054.287197202</v>
      </c>
      <c r="K329" s="45">
        <f>'3.2. My wife''s Tax Calc'!$P$29/12</f>
        <v>63401054.287197202</v>
      </c>
      <c r="L329" s="45">
        <f>'3.2. My wife''s Tax Calc'!$P$29/12</f>
        <v>63401054.287197202</v>
      </c>
      <c r="M329" s="45">
        <f>'3.2. My wife''s Tax Calc'!$P$29/12</f>
        <v>63401054.287197202</v>
      </c>
      <c r="N329" s="45">
        <f>'3.2. My wife''s Tax Calc'!$P$29/12</f>
        <v>63401054.287197202</v>
      </c>
      <c r="O329" s="45" t="s">
        <v>173</v>
      </c>
    </row>
    <row r="330" spans="1:15" x14ac:dyDescent="0.25">
      <c r="A330" s="82"/>
      <c r="B330" s="46" t="s">
        <v>209</v>
      </c>
      <c r="C330" s="47">
        <f>SUM(C328:C329)</f>
        <v>204378013.34092999</v>
      </c>
      <c r="D330" s="47">
        <f t="shared" ref="D330" si="316">SUM(D328:D329)</f>
        <v>204378013.34092999</v>
      </c>
      <c r="E330" s="47">
        <f t="shared" ref="E330" si="317">SUM(E328:E329)</f>
        <v>204378013.34092999</v>
      </c>
      <c r="F330" s="47">
        <f t="shared" ref="F330" si="318">SUM(F328:F329)</f>
        <v>204378013.34092999</v>
      </c>
      <c r="G330" s="47">
        <f t="shared" ref="G330" si="319">SUM(G328:G329)</f>
        <v>204378013.34092999</v>
      </c>
      <c r="H330" s="47">
        <f t="shared" ref="H330" si="320">SUM(H328:H329)</f>
        <v>204378013.34092999</v>
      </c>
      <c r="I330" s="47">
        <f t="shared" ref="I330" si="321">SUM(I328:I329)</f>
        <v>204378013.34092999</v>
      </c>
      <c r="J330" s="47">
        <f t="shared" ref="J330" si="322">SUM(J328:J329)</f>
        <v>204378013.34092999</v>
      </c>
      <c r="K330" s="47">
        <f>SUM(K328:K329)</f>
        <v>204378013.34092999</v>
      </c>
      <c r="L330" s="47">
        <f t="shared" ref="L330" si="323">SUM(L328:L329)</f>
        <v>204378013.34092999</v>
      </c>
      <c r="M330" s="47">
        <f t="shared" ref="M330" si="324">SUM(M328:M329)</f>
        <v>204378013.34092999</v>
      </c>
      <c r="N330" s="47">
        <f t="shared" ref="N330" si="325">SUM(N328:N329)</f>
        <v>204378013.34092999</v>
      </c>
      <c r="O330" s="47">
        <f>SUM(C330:N330)</f>
        <v>2452536160.0911598</v>
      </c>
    </row>
    <row r="331" spans="1:15" x14ac:dyDescent="0.25">
      <c r="A331" s="82"/>
      <c r="B331" s="52" t="s">
        <v>78</v>
      </c>
      <c r="C331" s="53" t="s">
        <v>173</v>
      </c>
      <c r="D331" s="53" t="s">
        <v>173</v>
      </c>
      <c r="E331" s="53" t="s">
        <v>173</v>
      </c>
      <c r="F331" s="53" t="s">
        <v>173</v>
      </c>
      <c r="G331" s="53" t="s">
        <v>173</v>
      </c>
      <c r="H331" s="53" t="s">
        <v>173</v>
      </c>
      <c r="I331" s="53" t="s">
        <v>173</v>
      </c>
      <c r="J331" s="53" t="s">
        <v>173</v>
      </c>
      <c r="K331" s="53" t="s">
        <v>173</v>
      </c>
      <c r="L331" s="53" t="s">
        <v>173</v>
      </c>
      <c r="M331" s="53" t="s">
        <v>173</v>
      </c>
      <c r="N331" s="53" t="s">
        <v>173</v>
      </c>
      <c r="O331" s="91" t="s">
        <v>173</v>
      </c>
    </row>
    <row r="332" spans="1:15" x14ac:dyDescent="0.25">
      <c r="A332" s="82"/>
      <c r="B332" s="48" t="s">
        <v>79</v>
      </c>
      <c r="C332" s="54" t="s">
        <v>173</v>
      </c>
      <c r="D332" s="54" t="s">
        <v>173</v>
      </c>
      <c r="E332" s="54" t="s">
        <v>173</v>
      </c>
      <c r="F332" s="54" t="s">
        <v>173</v>
      </c>
      <c r="G332" s="54" t="s">
        <v>173</v>
      </c>
      <c r="H332" s="54" t="s">
        <v>173</v>
      </c>
      <c r="I332" s="54" t="s">
        <v>173</v>
      </c>
      <c r="J332" s="54" t="s">
        <v>173</v>
      </c>
      <c r="K332" s="54" t="s">
        <v>173</v>
      </c>
      <c r="L332" s="54" t="s">
        <v>173</v>
      </c>
      <c r="M332" s="54" t="s">
        <v>173</v>
      </c>
      <c r="N332" s="54" t="s">
        <v>173</v>
      </c>
      <c r="O332" s="91" t="s">
        <v>173</v>
      </c>
    </row>
    <row r="333" spans="1:15" x14ac:dyDescent="0.25">
      <c r="A333" s="83"/>
      <c r="B333" s="49" t="s">
        <v>195</v>
      </c>
      <c r="C333" s="50">
        <f>C297*(1+$K$68)</f>
        <v>380604.65205005696</v>
      </c>
      <c r="D333" s="50">
        <v>0</v>
      </c>
      <c r="E333" s="50">
        <v>0</v>
      </c>
      <c r="F333" s="50">
        <v>0</v>
      </c>
      <c r="G333" s="50">
        <v>0</v>
      </c>
      <c r="H333" s="50">
        <v>0</v>
      </c>
      <c r="I333" s="50">
        <v>0</v>
      </c>
      <c r="J333" s="50">
        <v>0</v>
      </c>
      <c r="K333" s="50">
        <v>0</v>
      </c>
      <c r="L333" s="50">
        <v>0</v>
      </c>
      <c r="M333" s="50">
        <v>0</v>
      </c>
      <c r="N333" s="50">
        <v>0</v>
      </c>
      <c r="O333" s="90">
        <f t="shared" ref="O333:O336" si="326">SUM(C333:N333)</f>
        <v>380604.65205005696</v>
      </c>
    </row>
    <row r="334" spans="1:15" x14ac:dyDescent="0.25">
      <c r="A334" s="82"/>
      <c r="B334" s="51" t="s">
        <v>178</v>
      </c>
      <c r="C334" s="50">
        <f>C298*(1+$K$68)</f>
        <v>2883368.5761367963</v>
      </c>
      <c r="D334" s="50">
        <f t="shared" ref="D334:N334" si="327">D298*(1+$K$68)</f>
        <v>2883368.5761367963</v>
      </c>
      <c r="E334" s="50">
        <f t="shared" si="327"/>
        <v>2883368.5761367963</v>
      </c>
      <c r="F334" s="50">
        <f t="shared" si="327"/>
        <v>2883368.5761367963</v>
      </c>
      <c r="G334" s="50">
        <f t="shared" si="327"/>
        <v>2883368.5761367963</v>
      </c>
      <c r="H334" s="50">
        <f t="shared" si="327"/>
        <v>2883368.5761367963</v>
      </c>
      <c r="I334" s="50">
        <f t="shared" si="327"/>
        <v>2883368.5761367963</v>
      </c>
      <c r="J334" s="50">
        <f t="shared" si="327"/>
        <v>2883368.5761367963</v>
      </c>
      <c r="K334" s="50">
        <f t="shared" si="327"/>
        <v>2883368.5761367963</v>
      </c>
      <c r="L334" s="50">
        <f t="shared" si="327"/>
        <v>2883368.5761367963</v>
      </c>
      <c r="M334" s="50">
        <f t="shared" si="327"/>
        <v>2883368.5761367963</v>
      </c>
      <c r="N334" s="50">
        <f t="shared" si="327"/>
        <v>2883368.5761367963</v>
      </c>
      <c r="O334" s="90">
        <f t="shared" si="326"/>
        <v>34600422.913641565</v>
      </c>
    </row>
    <row r="335" spans="1:15" x14ac:dyDescent="0.25">
      <c r="A335" s="84"/>
      <c r="B335" s="51" t="s">
        <v>248</v>
      </c>
      <c r="C335" s="50">
        <f>C299*(1+$K$68)</f>
        <v>346004.22913641547</v>
      </c>
      <c r="D335" s="50">
        <f t="shared" ref="D335:N335" si="328">D299*(1+$K$68)</f>
        <v>346004.22913641547</v>
      </c>
      <c r="E335" s="50">
        <f t="shared" si="328"/>
        <v>346004.22913641547</v>
      </c>
      <c r="F335" s="50">
        <f t="shared" si="328"/>
        <v>346004.22913641547</v>
      </c>
      <c r="G335" s="50">
        <f t="shared" si="328"/>
        <v>346004.22913641547</v>
      </c>
      <c r="H335" s="50">
        <f t="shared" si="328"/>
        <v>346004.22913641547</v>
      </c>
      <c r="I335" s="50">
        <f t="shared" si="328"/>
        <v>346004.22913641547</v>
      </c>
      <c r="J335" s="50">
        <f t="shared" si="328"/>
        <v>346004.22913641547</v>
      </c>
      <c r="K335" s="50">
        <f t="shared" si="328"/>
        <v>346004.22913641547</v>
      </c>
      <c r="L335" s="50">
        <f t="shared" si="328"/>
        <v>346004.22913641547</v>
      </c>
      <c r="M335" s="50">
        <f t="shared" si="328"/>
        <v>346004.22913641547</v>
      </c>
      <c r="N335" s="50">
        <f t="shared" si="328"/>
        <v>346004.22913641547</v>
      </c>
      <c r="O335" s="90">
        <f t="shared" si="326"/>
        <v>4152050.7496369849</v>
      </c>
    </row>
    <row r="336" spans="1:15" x14ac:dyDescent="0.25">
      <c r="A336" s="82"/>
      <c r="B336" s="46" t="s">
        <v>207</v>
      </c>
      <c r="C336" s="47">
        <f t="shared" ref="C336:N336" si="329">SUM(C333:C335)</f>
        <v>3609977.4573232685</v>
      </c>
      <c r="D336" s="47">
        <f t="shared" si="329"/>
        <v>3229372.8052732116</v>
      </c>
      <c r="E336" s="47">
        <f t="shared" si="329"/>
        <v>3229372.8052732116</v>
      </c>
      <c r="F336" s="47">
        <f t="shared" si="329"/>
        <v>3229372.8052732116</v>
      </c>
      <c r="G336" s="47">
        <f t="shared" si="329"/>
        <v>3229372.8052732116</v>
      </c>
      <c r="H336" s="47">
        <f t="shared" si="329"/>
        <v>3229372.8052732116</v>
      </c>
      <c r="I336" s="47">
        <f t="shared" si="329"/>
        <v>3229372.8052732116</v>
      </c>
      <c r="J336" s="47">
        <f t="shared" si="329"/>
        <v>3229372.8052732116</v>
      </c>
      <c r="K336" s="47">
        <f t="shared" si="329"/>
        <v>3229372.8052732116</v>
      </c>
      <c r="L336" s="47">
        <f t="shared" si="329"/>
        <v>3229372.8052732116</v>
      </c>
      <c r="M336" s="47">
        <f t="shared" si="329"/>
        <v>3229372.8052732116</v>
      </c>
      <c r="N336" s="47">
        <f t="shared" si="329"/>
        <v>3229372.8052732116</v>
      </c>
      <c r="O336" s="47">
        <f t="shared" si="326"/>
        <v>39133078.315328605</v>
      </c>
    </row>
    <row r="337" spans="1:25" x14ac:dyDescent="0.25">
      <c r="A337" s="82"/>
      <c r="B337" s="55" t="s">
        <v>83</v>
      </c>
      <c r="C337" s="59" t="s">
        <v>173</v>
      </c>
      <c r="D337" s="59" t="s">
        <v>173</v>
      </c>
      <c r="E337" s="59" t="s">
        <v>173</v>
      </c>
      <c r="F337" s="59" t="s">
        <v>173</v>
      </c>
      <c r="G337" s="59" t="s">
        <v>173</v>
      </c>
      <c r="H337" s="59" t="s">
        <v>173</v>
      </c>
      <c r="I337" s="59" t="s">
        <v>173</v>
      </c>
      <c r="J337" s="59" t="s">
        <v>173</v>
      </c>
      <c r="K337" s="59" t="s">
        <v>173</v>
      </c>
      <c r="L337" s="59" t="s">
        <v>173</v>
      </c>
      <c r="M337" s="59" t="s">
        <v>173</v>
      </c>
      <c r="N337" s="59" t="s">
        <v>173</v>
      </c>
      <c r="O337" s="91" t="s">
        <v>173</v>
      </c>
    </row>
    <row r="338" spans="1:25" x14ac:dyDescent="0.25">
      <c r="A338" s="82"/>
      <c r="B338" s="57" t="s">
        <v>210</v>
      </c>
      <c r="C338" s="89">
        <f t="shared" ref="C338:N338" si="330">C302*(1+$K$68)</f>
        <v>3817579.9948051185</v>
      </c>
      <c r="D338" s="89">
        <f t="shared" si="330"/>
        <v>4601856.247514328</v>
      </c>
      <c r="E338" s="89">
        <f t="shared" si="330"/>
        <v>4244318.5440733619</v>
      </c>
      <c r="F338" s="89">
        <f t="shared" si="330"/>
        <v>3967515.1607642313</v>
      </c>
      <c r="G338" s="89">
        <f t="shared" si="330"/>
        <v>3644577.8802369102</v>
      </c>
      <c r="H338" s="89">
        <f t="shared" si="330"/>
        <v>4567255.8246006835</v>
      </c>
      <c r="I338" s="89">
        <f t="shared" si="330"/>
        <v>5328465.1287007984</v>
      </c>
      <c r="J338" s="89">
        <f t="shared" si="330"/>
        <v>5109329.1169144018</v>
      </c>
      <c r="K338" s="89">
        <f t="shared" si="330"/>
        <v>3944448.2121551353</v>
      </c>
      <c r="L338" s="89">
        <f t="shared" si="330"/>
        <v>4048249.4808960613</v>
      </c>
      <c r="M338" s="89">
        <f t="shared" si="330"/>
        <v>3852180.4177187593</v>
      </c>
      <c r="N338" s="89">
        <f t="shared" si="330"/>
        <v>4163584.2239415324</v>
      </c>
      <c r="O338" s="92">
        <f t="shared" ref="O338:O347" si="331">SUM(C338:N338)</f>
        <v>51289360.232321322</v>
      </c>
    </row>
    <row r="339" spans="1:25" x14ac:dyDescent="0.25">
      <c r="A339" s="82"/>
      <c r="B339" s="57" t="s">
        <v>203</v>
      </c>
      <c r="C339" s="89">
        <f t="shared" ref="C339:N339" si="332">C303*(1+$K$68)</f>
        <v>13782501.793933881</v>
      </c>
      <c r="D339" s="89">
        <f t="shared" si="332"/>
        <v>14843581.429952228</v>
      </c>
      <c r="E339" s="89">
        <f t="shared" si="332"/>
        <v>16642803.421461584</v>
      </c>
      <c r="F339" s="89">
        <f t="shared" si="332"/>
        <v>12617620.889174625</v>
      </c>
      <c r="G339" s="89">
        <f t="shared" si="332"/>
        <v>16792738.587420702</v>
      </c>
      <c r="H339" s="89">
        <f t="shared" si="332"/>
        <v>15823926.745838735</v>
      </c>
      <c r="I339" s="89">
        <f t="shared" si="332"/>
        <v>14520644.149424909</v>
      </c>
      <c r="J339" s="89">
        <f t="shared" si="332"/>
        <v>17265611.033907134</v>
      </c>
      <c r="K339" s="89">
        <f t="shared" si="332"/>
        <v>16873472.907552525</v>
      </c>
      <c r="L339" s="89">
        <f t="shared" si="332"/>
        <v>16873472.907552525</v>
      </c>
      <c r="M339" s="89">
        <f t="shared" si="332"/>
        <v>13113560.284270152</v>
      </c>
      <c r="N339" s="89">
        <f t="shared" si="332"/>
        <v>16169930.974975158</v>
      </c>
      <c r="O339" s="92">
        <f t="shared" si="331"/>
        <v>185319865.1254642</v>
      </c>
    </row>
    <row r="340" spans="1:25" x14ac:dyDescent="0.25">
      <c r="A340" s="82"/>
      <c r="B340" s="58" t="s">
        <v>84</v>
      </c>
      <c r="C340" s="89">
        <f t="shared" ref="C340:N340" si="333">C304*(1+$K$68)</f>
        <v>12190882.33990637</v>
      </c>
      <c r="D340" s="89">
        <f t="shared" si="333"/>
        <v>13309629.347447446</v>
      </c>
      <c r="E340" s="89">
        <f t="shared" si="333"/>
        <v>13355763.244665638</v>
      </c>
      <c r="F340" s="89">
        <f t="shared" si="333"/>
        <v>13794035.268238431</v>
      </c>
      <c r="G340" s="89">
        <f t="shared" si="333"/>
        <v>16319866.140934264</v>
      </c>
      <c r="H340" s="89">
        <f t="shared" si="333"/>
        <v>14116972.548765749</v>
      </c>
      <c r="I340" s="89">
        <f t="shared" si="333"/>
        <v>14659045.841079473</v>
      </c>
      <c r="J340" s="89">
        <f t="shared" si="333"/>
        <v>16873472.907552525</v>
      </c>
      <c r="K340" s="89">
        <f t="shared" si="333"/>
        <v>15443322.093788683</v>
      </c>
      <c r="L340" s="89">
        <f t="shared" si="333"/>
        <v>15420255.145179585</v>
      </c>
      <c r="M340" s="89">
        <f t="shared" si="333"/>
        <v>16504401.729807017</v>
      </c>
      <c r="N340" s="89">
        <f t="shared" si="333"/>
        <v>13251961.975924715</v>
      </c>
      <c r="O340" s="92">
        <f t="shared" si="331"/>
        <v>175239608.58328992</v>
      </c>
    </row>
    <row r="341" spans="1:25" x14ac:dyDescent="0.25">
      <c r="A341" s="82"/>
      <c r="B341" s="58" t="s">
        <v>81</v>
      </c>
      <c r="C341" s="89">
        <f t="shared" ref="C341:N341" si="334">C305*(1+$K$284)</f>
        <v>1730021.1456820786</v>
      </c>
      <c r="D341" s="89">
        <f t="shared" si="334"/>
        <v>1730021.1456820786</v>
      </c>
      <c r="E341" s="89">
        <f t="shared" si="334"/>
        <v>1730021.1456820786</v>
      </c>
      <c r="F341" s="89">
        <f t="shared" si="334"/>
        <v>1730021.1456820786</v>
      </c>
      <c r="G341" s="89">
        <f t="shared" si="334"/>
        <v>1730021.1456820786</v>
      </c>
      <c r="H341" s="89">
        <f t="shared" si="334"/>
        <v>1730021.1456820786</v>
      </c>
      <c r="I341" s="89">
        <f t="shared" si="334"/>
        <v>1730021.1456820786</v>
      </c>
      <c r="J341" s="89">
        <f t="shared" si="334"/>
        <v>1730021.1456820786</v>
      </c>
      <c r="K341" s="89">
        <f t="shared" si="334"/>
        <v>1730021.1456820786</v>
      </c>
      <c r="L341" s="89">
        <f t="shared" si="334"/>
        <v>1730021.1456820786</v>
      </c>
      <c r="M341" s="89">
        <f t="shared" si="334"/>
        <v>1730021.1456820786</v>
      </c>
      <c r="N341" s="89">
        <f t="shared" si="334"/>
        <v>1730021.1456820786</v>
      </c>
      <c r="O341" s="92">
        <f t="shared" si="331"/>
        <v>20760253.748184938</v>
      </c>
    </row>
    <row r="342" spans="1:25" x14ac:dyDescent="0.25">
      <c r="A342" s="82"/>
      <c r="B342" s="57" t="s">
        <v>85</v>
      </c>
      <c r="C342" s="89">
        <f t="shared" ref="C342:N342" si="335">C306*(1+$K$68)</f>
        <v>14163106.445983944</v>
      </c>
      <c r="D342" s="89">
        <f t="shared" si="335"/>
        <v>12121681.494079098</v>
      </c>
      <c r="E342" s="89">
        <f t="shared" si="335"/>
        <v>12548420.043347334</v>
      </c>
      <c r="F342" s="89">
        <f t="shared" si="335"/>
        <v>12744489.106524637</v>
      </c>
      <c r="G342" s="89">
        <f t="shared" si="335"/>
        <v>17138742.816557113</v>
      </c>
      <c r="H342" s="89">
        <f t="shared" si="335"/>
        <v>12583020.466260985</v>
      </c>
      <c r="I342" s="89">
        <f t="shared" si="335"/>
        <v>14601378.469556734</v>
      </c>
      <c r="J342" s="89">
        <f t="shared" si="335"/>
        <v>11556541.253156278</v>
      </c>
      <c r="K342" s="89">
        <f t="shared" si="335"/>
        <v>15028117.018824983</v>
      </c>
      <c r="L342" s="89">
        <f t="shared" si="335"/>
        <v>11937145.905206334</v>
      </c>
      <c r="M342" s="89">
        <f t="shared" si="335"/>
        <v>15201119.133393189</v>
      </c>
      <c r="N342" s="89">
        <f t="shared" si="335"/>
        <v>14474510.252206713</v>
      </c>
      <c r="O342" s="92">
        <f t="shared" si="331"/>
        <v>164098272.40509734</v>
      </c>
    </row>
    <row r="343" spans="1:25" x14ac:dyDescent="0.25">
      <c r="A343" s="84"/>
      <c r="B343" s="58" t="s">
        <v>249</v>
      </c>
      <c r="C343" s="89">
        <f t="shared" ref="C343:N343" si="336">C330*5%</f>
        <v>10218900.6670465</v>
      </c>
      <c r="D343" s="89">
        <f t="shared" si="336"/>
        <v>10218900.6670465</v>
      </c>
      <c r="E343" s="89">
        <f t="shared" si="336"/>
        <v>10218900.6670465</v>
      </c>
      <c r="F343" s="89">
        <f t="shared" si="336"/>
        <v>10218900.6670465</v>
      </c>
      <c r="G343" s="89">
        <f t="shared" si="336"/>
        <v>10218900.6670465</v>
      </c>
      <c r="H343" s="89">
        <f t="shared" si="336"/>
        <v>10218900.6670465</v>
      </c>
      <c r="I343" s="89">
        <f t="shared" si="336"/>
        <v>10218900.6670465</v>
      </c>
      <c r="J343" s="89">
        <f t="shared" si="336"/>
        <v>10218900.6670465</v>
      </c>
      <c r="K343" s="89">
        <f t="shared" si="336"/>
        <v>10218900.6670465</v>
      </c>
      <c r="L343" s="89">
        <f t="shared" si="336"/>
        <v>10218900.6670465</v>
      </c>
      <c r="M343" s="89">
        <f t="shared" si="336"/>
        <v>10218900.6670465</v>
      </c>
      <c r="N343" s="89">
        <f t="shared" si="336"/>
        <v>10218900.6670465</v>
      </c>
      <c r="O343" s="92">
        <f t="shared" si="331"/>
        <v>122626808.00455801</v>
      </c>
    </row>
    <row r="344" spans="1:25" x14ac:dyDescent="0.25">
      <c r="A344" s="84"/>
      <c r="B344" s="58" t="s">
        <v>180</v>
      </c>
      <c r="C344" s="89">
        <f>'7.5. Stage 5&amp;6 budget'!C308*(1+'7.5. Stage 5&amp;6 budget'!$K$68)</f>
        <v>16746604.690202506</v>
      </c>
      <c r="D344" s="89">
        <f>'7.5. Stage 5&amp;6 budget'!D308*(1+'7.5. Stage 5&amp;6 budget'!$K$68)</f>
        <v>16527468.678416111</v>
      </c>
      <c r="E344" s="89">
        <f>'7.5. Stage 5&amp;6 budget'!E308*(1+'7.5. Stage 5&amp;6 budget'!$K$68)</f>
        <v>13736367.896715699</v>
      </c>
      <c r="F344" s="89">
        <f>'7.5. Stage 5&amp;6 budget'!F308*(1+'7.5. Stage 5&amp;6 budget'!$K$68)</f>
        <v>15166518.710479552</v>
      </c>
      <c r="G344" s="89">
        <f>'7.5. Stage 5&amp;6 budget'!G308*(1+'7.5. Stage 5&amp;6 budget'!$K$68)</f>
        <v>11960212.853815431</v>
      </c>
      <c r="H344" s="89">
        <f>'7.5. Stage 5&amp;6 budget'!H308*(1+'7.5. Stage 5&amp;6 budget'!$K$68)</f>
        <v>13298095.873142906</v>
      </c>
      <c r="I344" s="89">
        <f>'7.5. Stage 5&amp;6 budget'!I308*(1+'7.5. Stage 5&amp;6 budget'!$K$68)</f>
        <v>13759434.845324798</v>
      </c>
      <c r="J344" s="89">
        <f>'7.5. Stage 5&amp;6 budget'!J308*(1+'7.5. Stage 5&amp;6 budget'!$K$68)</f>
        <v>16308332.666629713</v>
      </c>
      <c r="K344" s="89">
        <f>'7.5. Stage 5&amp;6 budget'!K308*(1+'7.5. Stage 5&amp;6 budget'!$K$68)</f>
        <v>12767556.05513373</v>
      </c>
      <c r="L344" s="89">
        <f>'7.5. Stage 5&amp;6 budget'!L308*(1+'7.5. Stage 5&amp;6 budget'!$K$68)</f>
        <v>13667167.050888404</v>
      </c>
      <c r="M344" s="89">
        <f>'7.5. Stage 5&amp;6 budget'!M308*(1+'7.5. Stage 5&amp;6 budget'!$K$68)</f>
        <v>13690233.999497501</v>
      </c>
      <c r="N344" s="89">
        <f>'7.5. Stage 5&amp;6 budget'!N308*(1+'7.5. Stage 5&amp;6 budget'!$K$68)</f>
        <v>13344229.770361099</v>
      </c>
      <c r="O344" s="92">
        <f t="shared" si="331"/>
        <v>170972223.09060746</v>
      </c>
    </row>
    <row r="345" spans="1:25" x14ac:dyDescent="0.25">
      <c r="A345" s="84"/>
      <c r="B345" s="58" t="s">
        <v>86</v>
      </c>
      <c r="C345" s="89">
        <f>'7.5. Stage 5&amp;6 budget'!C310*(1+'7.5. Stage 5&amp;6 budget'!$K$68)</f>
        <v>12190882.33990637</v>
      </c>
      <c r="D345" s="89">
        <f>'7.5. Stage 5&amp;6 budget'!D310*(1+'7.5. Stage 5&amp;6 budget'!$K$68)</f>
        <v>12052480.648251804</v>
      </c>
      <c r="E345" s="89">
        <f>'7.5. Stage 5&amp;6 budget'!E310*(1+'7.5. Stage 5&amp;6 budget'!$K$68)</f>
        <v>11694942.944810849</v>
      </c>
      <c r="F345" s="89">
        <f>'7.5. Stage 5&amp;6 budget'!F310*(1+'7.5. Stage 5&amp;6 budget'!$K$68)</f>
        <v>15258786.504915921</v>
      </c>
      <c r="G345" s="89">
        <f>'7.5. Stage 5&amp;6 budget'!G310*(1+'7.5. Stage 5&amp;6 budget'!$K$68)</f>
        <v>14197706.868897583</v>
      </c>
      <c r="H345" s="89">
        <f>'7.5. Stage 5&amp;6 budget'!H310*(1+'7.5. Stage 5&amp;6 budget'!$K$68)</f>
        <v>11821811.162160864</v>
      </c>
      <c r="I345" s="89">
        <f>'7.5. Stage 5&amp;6 budget'!I310*(1+'7.5. Stage 5&amp;6 budget'!$K$68)</f>
        <v>16031529.283320585</v>
      </c>
      <c r="J345" s="89">
        <f>'7.5. Stage 5&amp;6 budget'!J310*(1+'7.5. Stage 5&amp;6 budget'!$K$68)</f>
        <v>15385654.722265946</v>
      </c>
      <c r="K345" s="89">
        <f>'7.5. Stage 5&amp;6 budget'!K310*(1+'7.5. Stage 5&amp;6 budget'!$K$68)</f>
        <v>12386951.403083676</v>
      </c>
      <c r="L345" s="89">
        <f>'7.5. Stage 5&amp;6 budget'!L310*(1+'7.5. Stage 5&amp;6 budget'!$K$68)</f>
        <v>12813689.95235192</v>
      </c>
      <c r="M345" s="89">
        <f>'7.5. Stage 5&amp;6 budget'!M310*(1+'7.5. Stage 5&amp;6 budget'!$K$68)</f>
        <v>15581723.785443243</v>
      </c>
      <c r="N345" s="89">
        <f>'7.5. Stage 5&amp;6 budget'!N310*(1+'7.5. Stage 5&amp;6 budget'!$K$68)</f>
        <v>16400600.461066101</v>
      </c>
      <c r="O345" s="92">
        <f t="shared" si="331"/>
        <v>165816760.07647488</v>
      </c>
    </row>
    <row r="346" spans="1:25" x14ac:dyDescent="0.25">
      <c r="A346" s="82"/>
      <c r="B346" s="46" t="s">
        <v>208</v>
      </c>
      <c r="C346" s="47">
        <f t="shared" ref="C346:N346" si="337">SUM(C338:C345)</f>
        <v>84840479.41746676</v>
      </c>
      <c r="D346" s="47">
        <f t="shared" si="337"/>
        <v>85405619.658389598</v>
      </c>
      <c r="E346" s="47">
        <f t="shared" si="337"/>
        <v>84171537.907803059</v>
      </c>
      <c r="F346" s="47">
        <f t="shared" si="337"/>
        <v>85497887.452825978</v>
      </c>
      <c r="G346" s="47">
        <f t="shared" si="337"/>
        <v>92002766.960590601</v>
      </c>
      <c r="H346" s="47">
        <f t="shared" si="337"/>
        <v>84160004.433498502</v>
      </c>
      <c r="I346" s="47">
        <f t="shared" si="337"/>
        <v>90849419.530135885</v>
      </c>
      <c r="J346" s="47">
        <f t="shared" si="337"/>
        <v>94447863.513154581</v>
      </c>
      <c r="K346" s="47">
        <f t="shared" si="337"/>
        <v>88392789.503267318</v>
      </c>
      <c r="L346" s="47">
        <f t="shared" si="337"/>
        <v>86708902.254803419</v>
      </c>
      <c r="M346" s="47">
        <f t="shared" si="337"/>
        <v>89892141.162858456</v>
      </c>
      <c r="N346" s="47">
        <f t="shared" si="337"/>
        <v>89753739.471203893</v>
      </c>
      <c r="O346" s="47">
        <f t="shared" si="331"/>
        <v>1056123151.2659981</v>
      </c>
    </row>
    <row r="347" spans="1:25" x14ac:dyDescent="0.25">
      <c r="A347" s="82"/>
      <c r="B347" s="60" t="s">
        <v>87</v>
      </c>
      <c r="C347" s="47">
        <f t="shared" ref="C347:N347" si="338">C336+C346</f>
        <v>88450456.874790028</v>
      </c>
      <c r="D347" s="47">
        <f t="shared" si="338"/>
        <v>88634992.463662803</v>
      </c>
      <c r="E347" s="47">
        <f t="shared" si="338"/>
        <v>87400910.713076264</v>
      </c>
      <c r="F347" s="47">
        <f t="shared" si="338"/>
        <v>88727260.258099183</v>
      </c>
      <c r="G347" s="47">
        <f t="shared" si="338"/>
        <v>95232139.765863806</v>
      </c>
      <c r="H347" s="47">
        <f t="shared" si="338"/>
        <v>87389377.238771707</v>
      </c>
      <c r="I347" s="47">
        <f t="shared" si="338"/>
        <v>94078792.33540909</v>
      </c>
      <c r="J347" s="47">
        <f t="shared" si="338"/>
        <v>97677236.318427786</v>
      </c>
      <c r="K347" s="47">
        <f t="shared" si="338"/>
        <v>91622162.308540523</v>
      </c>
      <c r="L347" s="47">
        <f t="shared" si="338"/>
        <v>89938275.060076624</v>
      </c>
      <c r="M347" s="47">
        <f t="shared" si="338"/>
        <v>93121513.968131661</v>
      </c>
      <c r="N347" s="47">
        <f t="shared" si="338"/>
        <v>92983112.276477098</v>
      </c>
      <c r="O347" s="47">
        <f t="shared" si="331"/>
        <v>1095256229.5813265</v>
      </c>
    </row>
    <row r="348" spans="1:25" s="11" customFormat="1" x14ac:dyDescent="0.25">
      <c r="A348" s="82"/>
      <c r="B348" s="108" t="s">
        <v>204</v>
      </c>
      <c r="C348" s="109">
        <f>$O347*(3/12)/12</f>
        <v>22817838.116277635</v>
      </c>
      <c r="D348" s="109">
        <f t="shared" ref="D348" si="339">$O347*(3/12)/12</f>
        <v>22817838.116277635</v>
      </c>
      <c r="E348" s="109">
        <f t="shared" ref="E348" si="340">$O347*(3/12)/12</f>
        <v>22817838.116277635</v>
      </c>
      <c r="F348" s="109">
        <f t="shared" ref="F348" si="341">$O347*(3/12)/12</f>
        <v>22817838.116277635</v>
      </c>
      <c r="G348" s="109">
        <f t="shared" ref="G348" si="342">$O347*(3/12)/12</f>
        <v>22817838.116277635</v>
      </c>
      <c r="H348" s="109">
        <f t="shared" ref="H348" si="343">$O347*(3/12)/12</f>
        <v>22817838.116277635</v>
      </c>
      <c r="I348" s="109">
        <f t="shared" ref="I348" si="344">$O347*(3/12)/12</f>
        <v>22817838.116277635</v>
      </c>
      <c r="J348" s="109">
        <f t="shared" ref="J348" si="345">$O347*(3/12)/12</f>
        <v>22817838.116277635</v>
      </c>
      <c r="K348" s="109">
        <f t="shared" ref="K348" si="346">$O347*(3/12)/12</f>
        <v>22817838.116277635</v>
      </c>
      <c r="L348" s="109">
        <f t="shared" ref="L348" si="347">$O347*(3/12)/12</f>
        <v>22817838.116277635</v>
      </c>
      <c r="M348" s="109">
        <f t="shared" ref="M348" si="348">$O347*(3/12)/12</f>
        <v>22817838.116277635</v>
      </c>
      <c r="N348" s="109">
        <f t="shared" ref="N348" si="349">$O347*(3/12)/12</f>
        <v>22817838.116277635</v>
      </c>
      <c r="O348" s="109">
        <f t="shared" ref="O348:O352" si="350">SUM(C348:N348)</f>
        <v>273814057.39533162</v>
      </c>
      <c r="P348" s="43"/>
      <c r="Q348" s="43"/>
      <c r="R348" s="40"/>
      <c r="S348" s="40"/>
      <c r="T348" s="40"/>
      <c r="U348" s="40"/>
      <c r="V348" s="40"/>
      <c r="W348" s="40"/>
      <c r="X348" s="40"/>
      <c r="Y348" s="40"/>
    </row>
    <row r="349" spans="1:25" s="11" customFormat="1" x14ac:dyDescent="0.25">
      <c r="A349" s="82"/>
      <c r="B349" s="108" t="s">
        <v>82</v>
      </c>
      <c r="C349" s="109">
        <f>'6. Mortgage payment'!$C$7</f>
        <v>28168245.060798287</v>
      </c>
      <c r="D349" s="109">
        <f>'6. Mortgage payment'!$C$7</f>
        <v>28168245.060798287</v>
      </c>
      <c r="E349" s="109">
        <f>'6. Mortgage payment'!$C$7</f>
        <v>28168245.060798287</v>
      </c>
      <c r="F349" s="109">
        <f>'6. Mortgage payment'!$C$7</f>
        <v>28168245.060798287</v>
      </c>
      <c r="G349" s="109">
        <f>'6. Mortgage payment'!$C$7</f>
        <v>28168245.060798287</v>
      </c>
      <c r="H349" s="109">
        <f>'6. Mortgage payment'!$C$7</f>
        <v>28168245.060798287</v>
      </c>
      <c r="I349" s="109">
        <f>'6. Mortgage payment'!$C$7</f>
        <v>28168245.060798287</v>
      </c>
      <c r="J349" s="109">
        <f>'6. Mortgage payment'!$C$7</f>
        <v>28168245.060798287</v>
      </c>
      <c r="K349" s="109">
        <f>'6. Mortgage payment'!$C$7</f>
        <v>28168245.060798287</v>
      </c>
      <c r="L349" s="109">
        <f>'6. Mortgage payment'!$C$7</f>
        <v>28168245.060798287</v>
      </c>
      <c r="M349" s="109">
        <f>'6. Mortgage payment'!$C$7</f>
        <v>28168245.060798287</v>
      </c>
      <c r="N349" s="109">
        <f>'6. Mortgage payment'!$C$7</f>
        <v>28168245.060798287</v>
      </c>
      <c r="O349" s="109">
        <f t="shared" si="350"/>
        <v>338018940.72957945</v>
      </c>
      <c r="P349" s="43"/>
      <c r="Q349" s="43"/>
      <c r="R349" s="40"/>
      <c r="S349" s="40"/>
      <c r="T349" s="40"/>
      <c r="U349" s="40"/>
      <c r="V349" s="40"/>
      <c r="W349" s="40"/>
      <c r="X349" s="40"/>
      <c r="Y349" s="40"/>
    </row>
    <row r="350" spans="1:25" s="11" customFormat="1" x14ac:dyDescent="0.25">
      <c r="A350" s="82"/>
      <c r="B350" s="108" t="s">
        <v>251</v>
      </c>
      <c r="C350" s="109">
        <f>-PMT(4%,18*12,(150000000*8)/(1+4%)^18)</f>
        <v>23699110.369091634</v>
      </c>
      <c r="D350" s="109">
        <f t="shared" ref="D350:N350" si="351">-PMT(4%,18*12,(150000000*8)/(1+4%)^18)</f>
        <v>23699110.369091634</v>
      </c>
      <c r="E350" s="109">
        <f t="shared" si="351"/>
        <v>23699110.369091634</v>
      </c>
      <c r="F350" s="109">
        <f t="shared" si="351"/>
        <v>23699110.369091634</v>
      </c>
      <c r="G350" s="109">
        <f t="shared" si="351"/>
        <v>23699110.369091634</v>
      </c>
      <c r="H350" s="109">
        <f t="shared" si="351"/>
        <v>23699110.369091634</v>
      </c>
      <c r="I350" s="109">
        <f t="shared" si="351"/>
        <v>23699110.369091634</v>
      </c>
      <c r="J350" s="109">
        <f t="shared" si="351"/>
        <v>23699110.369091634</v>
      </c>
      <c r="K350" s="109">
        <f t="shared" si="351"/>
        <v>23699110.369091634</v>
      </c>
      <c r="L350" s="109">
        <f t="shared" si="351"/>
        <v>23699110.369091634</v>
      </c>
      <c r="M350" s="109">
        <f t="shared" si="351"/>
        <v>23699110.369091634</v>
      </c>
      <c r="N350" s="109">
        <f t="shared" si="351"/>
        <v>23699110.369091634</v>
      </c>
      <c r="O350" s="109">
        <f>SUM(C350:N350)</f>
        <v>284389324.42909962</v>
      </c>
      <c r="P350" s="43"/>
      <c r="Q350" s="43"/>
      <c r="R350" s="40"/>
      <c r="S350" s="40"/>
      <c r="T350" s="40"/>
      <c r="U350" s="40"/>
      <c r="V350" s="40"/>
      <c r="W350" s="40"/>
      <c r="X350" s="40"/>
      <c r="Y350" s="40"/>
    </row>
    <row r="351" spans="1:25" s="11" customFormat="1" x14ac:dyDescent="0.25">
      <c r="A351" s="82"/>
      <c r="B351" s="108" t="s">
        <v>386</v>
      </c>
      <c r="C351" s="109">
        <f>C316*(1+$K$68)</f>
        <v>3160273.7639905103</v>
      </c>
      <c r="D351" s="109">
        <v>0</v>
      </c>
      <c r="E351" s="109">
        <v>0</v>
      </c>
      <c r="F351" s="109">
        <v>0</v>
      </c>
      <c r="G351" s="109">
        <v>0</v>
      </c>
      <c r="H351" s="109">
        <v>0</v>
      </c>
      <c r="I351" s="109">
        <v>0</v>
      </c>
      <c r="J351" s="109">
        <v>0</v>
      </c>
      <c r="K351" s="109">
        <v>0</v>
      </c>
      <c r="L351" s="109">
        <v>0</v>
      </c>
      <c r="M351" s="109">
        <v>0</v>
      </c>
      <c r="N351" s="109">
        <v>0</v>
      </c>
      <c r="O351" s="109">
        <f t="shared" si="350"/>
        <v>3160273.7639905103</v>
      </c>
      <c r="P351" s="43"/>
      <c r="Q351" s="43"/>
      <c r="R351" s="40"/>
      <c r="S351" s="40"/>
      <c r="T351" s="40"/>
      <c r="U351" s="40"/>
      <c r="V351" s="40"/>
      <c r="W351" s="40"/>
      <c r="X351" s="40"/>
      <c r="Y351" s="40"/>
    </row>
    <row r="352" spans="1:25" s="11" customFormat="1" x14ac:dyDescent="0.25">
      <c r="A352" s="82"/>
      <c r="B352" s="60" t="s">
        <v>206</v>
      </c>
      <c r="C352" s="61">
        <f>C330-C347-C348-C349-C351-C350</f>
        <v>38082089.155981898</v>
      </c>
      <c r="D352" s="61">
        <f t="shared" ref="D352:N352" si="352">D330-D347-D348-D349-D351-D350</f>
        <v>41057827.331099629</v>
      </c>
      <c r="E352" s="61">
        <f t="shared" si="352"/>
        <v>42291909.081686169</v>
      </c>
      <c r="F352" s="61">
        <f t="shared" si="352"/>
        <v>40965559.536663249</v>
      </c>
      <c r="G352" s="61">
        <f t="shared" si="352"/>
        <v>34460680.028898627</v>
      </c>
      <c r="H352" s="61">
        <f t="shared" si="352"/>
        <v>42303442.555990726</v>
      </c>
      <c r="I352" s="61">
        <f t="shared" si="352"/>
        <v>35614027.459353343</v>
      </c>
      <c r="J352" s="61">
        <f t="shared" si="352"/>
        <v>32015583.476334643</v>
      </c>
      <c r="K352" s="61">
        <f t="shared" si="352"/>
        <v>38070657.48622191</v>
      </c>
      <c r="L352" s="61">
        <f t="shared" si="352"/>
        <v>39754544.734685808</v>
      </c>
      <c r="M352" s="61">
        <f t="shared" si="352"/>
        <v>36571305.826630771</v>
      </c>
      <c r="N352" s="61">
        <f t="shared" si="352"/>
        <v>36709707.518285334</v>
      </c>
      <c r="O352" s="47">
        <f t="shared" si="350"/>
        <v>457897334.19183207</v>
      </c>
      <c r="P352" s="43"/>
      <c r="Q352" s="43"/>
      <c r="R352" s="40"/>
      <c r="S352" s="40"/>
      <c r="T352" s="40"/>
      <c r="U352" s="40"/>
      <c r="V352" s="40"/>
      <c r="W352" s="40"/>
      <c r="X352" s="40"/>
      <c r="Y352" s="40"/>
    </row>
    <row r="353" spans="1:15" x14ac:dyDescent="0.25">
      <c r="A353" s="85"/>
      <c r="B353" s="40"/>
      <c r="C353" s="40"/>
      <c r="D353" s="40"/>
      <c r="E353" s="40"/>
      <c r="F353" s="40"/>
      <c r="G353" s="40"/>
      <c r="H353" s="40"/>
      <c r="I353" s="40"/>
      <c r="J353" s="40"/>
      <c r="K353" s="40"/>
      <c r="L353" s="353" t="s">
        <v>217</v>
      </c>
      <c r="M353" s="354"/>
      <c r="N353" s="350">
        <f>SUM(C352:N352)+N318</f>
        <v>11426902939.089813</v>
      </c>
      <c r="O353" s="40"/>
    </row>
    <row r="354" spans="1:15" x14ac:dyDescent="0.25">
      <c r="A354" s="85"/>
      <c r="B354" s="40"/>
      <c r="C354" s="40"/>
      <c r="D354" s="40"/>
      <c r="E354" s="40"/>
      <c r="F354" s="40"/>
      <c r="G354" s="40"/>
      <c r="H354" s="40"/>
      <c r="I354" s="40"/>
      <c r="J354" s="40"/>
      <c r="K354" s="40"/>
      <c r="L354" s="320"/>
      <c r="M354" s="355"/>
      <c r="N354" s="351"/>
      <c r="O354" s="40"/>
    </row>
    <row r="355" spans="1:15" x14ac:dyDescent="0.25">
      <c r="A355" s="85"/>
      <c r="B355" s="319" t="s">
        <v>632</v>
      </c>
      <c r="C355" s="352" t="s">
        <v>173</v>
      </c>
      <c r="D355" s="352"/>
      <c r="E355" s="352"/>
      <c r="F355" s="352"/>
      <c r="G355" s="352"/>
      <c r="H355" s="352"/>
      <c r="I355" s="40"/>
      <c r="J355" s="358" t="s">
        <v>231</v>
      </c>
      <c r="K355" s="359">
        <v>0.04</v>
      </c>
      <c r="L355" s="40"/>
      <c r="M355" s="40"/>
      <c r="N355" s="40"/>
      <c r="O355" s="361"/>
    </row>
    <row r="356" spans="1:15" x14ac:dyDescent="0.25">
      <c r="A356" s="85"/>
      <c r="B356" s="319"/>
      <c r="C356" s="352"/>
      <c r="D356" s="352"/>
      <c r="E356" s="352"/>
      <c r="F356" s="352"/>
      <c r="G356" s="352"/>
      <c r="H356" s="352"/>
      <c r="I356" s="40"/>
      <c r="J356" s="358"/>
      <c r="K356" s="360"/>
      <c r="L356" s="40"/>
      <c r="M356" s="40"/>
      <c r="N356" s="40"/>
      <c r="O356" s="362"/>
    </row>
    <row r="357" spans="1:15" x14ac:dyDescent="0.25">
      <c r="A357" s="85"/>
      <c r="B357" s="319"/>
      <c r="C357" s="352"/>
      <c r="D357" s="352"/>
      <c r="E357" s="352"/>
      <c r="F357" s="352"/>
      <c r="G357" s="352"/>
      <c r="H357" s="352"/>
      <c r="I357" s="40"/>
      <c r="J357" s="40"/>
      <c r="K357" s="40"/>
      <c r="L357" s="40"/>
      <c r="M357" s="40"/>
      <c r="N357" s="40"/>
      <c r="O357" s="40"/>
    </row>
    <row r="360" spans="1:15" ht="24.6" x14ac:dyDescent="0.25">
      <c r="A360" s="96"/>
      <c r="B360" s="348" t="s">
        <v>270</v>
      </c>
      <c r="C360" s="348"/>
      <c r="D360" s="348"/>
      <c r="E360" s="348"/>
      <c r="F360" s="348"/>
      <c r="G360" s="348"/>
      <c r="H360" s="348"/>
      <c r="I360" s="348"/>
      <c r="J360" s="348"/>
      <c r="K360" s="348"/>
      <c r="L360" s="348"/>
      <c r="M360" s="348"/>
      <c r="N360" s="348"/>
      <c r="O360" s="348"/>
    </row>
    <row r="361" spans="1:15" ht="24.6" x14ac:dyDescent="0.25">
      <c r="A361" s="96"/>
      <c r="B361" s="349"/>
      <c r="C361" s="349"/>
      <c r="D361" s="349"/>
      <c r="E361" s="349"/>
      <c r="F361" s="349"/>
      <c r="G361" s="349"/>
      <c r="H361" s="349"/>
      <c r="I361" s="349"/>
      <c r="J361" s="349"/>
      <c r="K361" s="349"/>
      <c r="L361" s="349"/>
      <c r="M361" s="349"/>
      <c r="N361" s="349"/>
      <c r="O361" s="349"/>
    </row>
    <row r="362" spans="1:15" x14ac:dyDescent="0.25">
      <c r="A362" s="82"/>
      <c r="B362" s="41"/>
      <c r="C362" s="42" t="s">
        <v>66</v>
      </c>
      <c r="D362" s="42" t="s">
        <v>67</v>
      </c>
      <c r="E362" s="42" t="s">
        <v>68</v>
      </c>
      <c r="F362" s="42" t="s">
        <v>69</v>
      </c>
      <c r="G362" s="42" t="s">
        <v>70</v>
      </c>
      <c r="H362" s="42" t="s">
        <v>71</v>
      </c>
      <c r="I362" s="42" t="s">
        <v>72</v>
      </c>
      <c r="J362" s="42" t="s">
        <v>73</v>
      </c>
      <c r="K362" s="42" t="s">
        <v>74</v>
      </c>
      <c r="L362" s="42" t="s">
        <v>75</v>
      </c>
      <c r="M362" s="42" t="s">
        <v>76</v>
      </c>
      <c r="N362" s="42" t="s">
        <v>77</v>
      </c>
      <c r="O362" s="42" t="s">
        <v>236</v>
      </c>
    </row>
    <row r="363" spans="1:15" x14ac:dyDescent="0.25">
      <c r="A363" s="82"/>
      <c r="B363" s="44" t="s">
        <v>194</v>
      </c>
      <c r="C363" s="45">
        <f>'3.1. My Income Tax Calculation'!$P$30/12</f>
        <v>141650778.24872312</v>
      </c>
      <c r="D363" s="45">
        <f>'3.1. My Income Tax Calculation'!$P$30/12</f>
        <v>141650778.24872312</v>
      </c>
      <c r="E363" s="45">
        <f>'3.1. My Income Tax Calculation'!$P$30/12</f>
        <v>141650778.24872312</v>
      </c>
      <c r="F363" s="45">
        <f>'3.1. My Income Tax Calculation'!$P$30/12</f>
        <v>141650778.24872312</v>
      </c>
      <c r="G363" s="45">
        <f>'3.1. My Income Tax Calculation'!$P$30/12</f>
        <v>141650778.24872312</v>
      </c>
      <c r="H363" s="45">
        <f>'3.1. My Income Tax Calculation'!$P$30/12</f>
        <v>141650778.24872312</v>
      </c>
      <c r="I363" s="45">
        <f>'3.1. My Income Tax Calculation'!$P$30/12</f>
        <v>141650778.24872312</v>
      </c>
      <c r="J363" s="45">
        <f>'3.1. My Income Tax Calculation'!$P$30/12</f>
        <v>141650778.24872312</v>
      </c>
      <c r="K363" s="45">
        <f>'3.1. My Income Tax Calculation'!$P$30/12</f>
        <v>141650778.24872312</v>
      </c>
      <c r="L363" s="45">
        <f>'3.1. My Income Tax Calculation'!$P$30/12</f>
        <v>141650778.24872312</v>
      </c>
      <c r="M363" s="45">
        <f>'3.1. My Income Tax Calculation'!$P$30/12</f>
        <v>141650778.24872312</v>
      </c>
      <c r="N363" s="45">
        <f>'3.1. My Income Tax Calculation'!$P$30/12</f>
        <v>141650778.24872312</v>
      </c>
      <c r="O363" s="45" t="s">
        <v>173</v>
      </c>
    </row>
    <row r="364" spans="1:15" x14ac:dyDescent="0.25">
      <c r="A364" s="82"/>
      <c r="B364" s="44" t="s">
        <v>246</v>
      </c>
      <c r="C364" s="45">
        <f>'3.2. My wife''s Tax Calc'!$P$30/12</f>
        <v>63688265.751070596</v>
      </c>
      <c r="D364" s="45">
        <f>'3.2. My wife''s Tax Calc'!$P$30/12</f>
        <v>63688265.751070596</v>
      </c>
      <c r="E364" s="45">
        <f>'3.2. My wife''s Tax Calc'!$P$30/12</f>
        <v>63688265.751070596</v>
      </c>
      <c r="F364" s="45">
        <f>'3.2. My wife''s Tax Calc'!$P$30/12</f>
        <v>63688265.751070596</v>
      </c>
      <c r="G364" s="45">
        <f>'3.2. My wife''s Tax Calc'!$P$30/12</f>
        <v>63688265.751070596</v>
      </c>
      <c r="H364" s="45">
        <f>'3.2. My wife''s Tax Calc'!$P$30/12</f>
        <v>63688265.751070596</v>
      </c>
      <c r="I364" s="45">
        <f>'3.2. My wife''s Tax Calc'!$P$30/12</f>
        <v>63688265.751070596</v>
      </c>
      <c r="J364" s="45">
        <f>'3.2. My wife''s Tax Calc'!$P$30/12</f>
        <v>63688265.751070596</v>
      </c>
      <c r="K364" s="45">
        <f>'3.2. My wife''s Tax Calc'!$P$30/12</f>
        <v>63688265.751070596</v>
      </c>
      <c r="L364" s="45">
        <f>'3.2. My wife''s Tax Calc'!$P$30/12</f>
        <v>63688265.751070596</v>
      </c>
      <c r="M364" s="45">
        <f>'3.2. My wife''s Tax Calc'!$P$30/12</f>
        <v>63688265.751070596</v>
      </c>
      <c r="N364" s="45">
        <f>'3.2. My wife''s Tax Calc'!$P$30/12</f>
        <v>63688265.751070596</v>
      </c>
      <c r="O364" s="45" t="s">
        <v>173</v>
      </c>
    </row>
    <row r="365" spans="1:15" x14ac:dyDescent="0.25">
      <c r="A365" s="82"/>
      <c r="B365" s="46" t="s">
        <v>209</v>
      </c>
      <c r="C365" s="47">
        <f>SUM(C363:C364)</f>
        <v>205339043.99979371</v>
      </c>
      <c r="D365" s="47">
        <f t="shared" ref="D365" si="353">SUM(D363:D364)</f>
        <v>205339043.99979371</v>
      </c>
      <c r="E365" s="47">
        <f t="shared" ref="E365" si="354">SUM(E363:E364)</f>
        <v>205339043.99979371</v>
      </c>
      <c r="F365" s="47">
        <f t="shared" ref="F365" si="355">SUM(F363:F364)</f>
        <v>205339043.99979371</v>
      </c>
      <c r="G365" s="47">
        <f t="shared" ref="G365" si="356">SUM(G363:G364)</f>
        <v>205339043.99979371</v>
      </c>
      <c r="H365" s="47">
        <f t="shared" ref="H365" si="357">SUM(H363:H364)</f>
        <v>205339043.99979371</v>
      </c>
      <c r="I365" s="47">
        <f t="shared" ref="I365" si="358">SUM(I363:I364)</f>
        <v>205339043.99979371</v>
      </c>
      <c r="J365" s="47">
        <f t="shared" ref="J365" si="359">SUM(J363:J364)</f>
        <v>205339043.99979371</v>
      </c>
      <c r="K365" s="47">
        <f>SUM(K363:K364)</f>
        <v>205339043.99979371</v>
      </c>
      <c r="L365" s="47">
        <f t="shared" ref="L365" si="360">SUM(L363:L364)</f>
        <v>205339043.99979371</v>
      </c>
      <c r="M365" s="47">
        <f t="shared" ref="M365" si="361">SUM(M363:M364)</f>
        <v>205339043.99979371</v>
      </c>
      <c r="N365" s="47">
        <f t="shared" ref="N365" si="362">SUM(N363:N364)</f>
        <v>205339043.99979371</v>
      </c>
      <c r="O365" s="47">
        <f>SUM(C365:N365)</f>
        <v>2464068527.9975247</v>
      </c>
    </row>
    <row r="366" spans="1:15" x14ac:dyDescent="0.25">
      <c r="A366" s="82"/>
      <c r="B366" s="52" t="s">
        <v>78</v>
      </c>
      <c r="C366" s="53" t="s">
        <v>173</v>
      </c>
      <c r="D366" s="53" t="s">
        <v>173</v>
      </c>
      <c r="E366" s="53" t="s">
        <v>173</v>
      </c>
      <c r="F366" s="53" t="s">
        <v>173</v>
      </c>
      <c r="G366" s="53" t="s">
        <v>173</v>
      </c>
      <c r="H366" s="53" t="s">
        <v>173</v>
      </c>
      <c r="I366" s="53" t="s">
        <v>173</v>
      </c>
      <c r="J366" s="53" t="s">
        <v>173</v>
      </c>
      <c r="K366" s="53" t="s">
        <v>173</v>
      </c>
      <c r="L366" s="53" t="s">
        <v>173</v>
      </c>
      <c r="M366" s="53" t="s">
        <v>173</v>
      </c>
      <c r="N366" s="53" t="s">
        <v>173</v>
      </c>
      <c r="O366" s="91" t="s">
        <v>173</v>
      </c>
    </row>
    <row r="367" spans="1:15" x14ac:dyDescent="0.25">
      <c r="A367" s="82"/>
      <c r="B367" s="48" t="s">
        <v>79</v>
      </c>
      <c r="C367" s="54" t="s">
        <v>173</v>
      </c>
      <c r="D367" s="54" t="s">
        <v>173</v>
      </c>
      <c r="E367" s="54" t="s">
        <v>173</v>
      </c>
      <c r="F367" s="54" t="s">
        <v>173</v>
      </c>
      <c r="G367" s="54" t="s">
        <v>173</v>
      </c>
      <c r="H367" s="54" t="s">
        <v>173</v>
      </c>
      <c r="I367" s="54" t="s">
        <v>173</v>
      </c>
      <c r="J367" s="54" t="s">
        <v>173</v>
      </c>
      <c r="K367" s="54" t="s">
        <v>173</v>
      </c>
      <c r="L367" s="54" t="s">
        <v>173</v>
      </c>
      <c r="M367" s="54" t="s">
        <v>173</v>
      </c>
      <c r="N367" s="54" t="s">
        <v>173</v>
      </c>
      <c r="O367" s="91" t="s">
        <v>173</v>
      </c>
    </row>
    <row r="368" spans="1:15" x14ac:dyDescent="0.25">
      <c r="A368" s="83"/>
      <c r="B368" s="49" t="s">
        <v>195</v>
      </c>
      <c r="C368" s="50">
        <f>C333*(1+$K$68)</f>
        <v>395828.83813205926</v>
      </c>
      <c r="D368" s="50">
        <v>0</v>
      </c>
      <c r="E368" s="50">
        <v>0</v>
      </c>
      <c r="F368" s="50">
        <v>0</v>
      </c>
      <c r="G368" s="50">
        <v>0</v>
      </c>
      <c r="H368" s="50">
        <v>0</v>
      </c>
      <c r="I368" s="50">
        <v>0</v>
      </c>
      <c r="J368" s="50">
        <v>0</v>
      </c>
      <c r="K368" s="50">
        <v>0</v>
      </c>
      <c r="L368" s="50">
        <v>0</v>
      </c>
      <c r="M368" s="50">
        <v>0</v>
      </c>
      <c r="N368" s="50">
        <v>0</v>
      </c>
      <c r="O368" s="90">
        <f t="shared" ref="O368:O371" si="363">SUM(C368:N368)</f>
        <v>395828.83813205926</v>
      </c>
    </row>
    <row r="369" spans="1:25" x14ac:dyDescent="0.25">
      <c r="A369" s="82"/>
      <c r="B369" s="51" t="s">
        <v>178</v>
      </c>
      <c r="C369" s="50">
        <f>C334*(1+$K$68)</f>
        <v>2998703.3191822683</v>
      </c>
      <c r="D369" s="50">
        <f t="shared" ref="D369:N369" si="364">D334*(1+$K$68)</f>
        <v>2998703.3191822683</v>
      </c>
      <c r="E369" s="50">
        <f t="shared" si="364"/>
        <v>2998703.3191822683</v>
      </c>
      <c r="F369" s="50">
        <f t="shared" si="364"/>
        <v>2998703.3191822683</v>
      </c>
      <c r="G369" s="50">
        <f t="shared" si="364"/>
        <v>2998703.3191822683</v>
      </c>
      <c r="H369" s="50">
        <f t="shared" si="364"/>
        <v>2998703.3191822683</v>
      </c>
      <c r="I369" s="50">
        <f t="shared" si="364"/>
        <v>2998703.3191822683</v>
      </c>
      <c r="J369" s="50">
        <f t="shared" si="364"/>
        <v>2998703.3191822683</v>
      </c>
      <c r="K369" s="50">
        <f t="shared" si="364"/>
        <v>2998703.3191822683</v>
      </c>
      <c r="L369" s="50">
        <f t="shared" si="364"/>
        <v>2998703.3191822683</v>
      </c>
      <c r="M369" s="50">
        <f t="shared" si="364"/>
        <v>2998703.3191822683</v>
      </c>
      <c r="N369" s="50">
        <f t="shared" si="364"/>
        <v>2998703.3191822683</v>
      </c>
      <c r="O369" s="90">
        <f t="shared" si="363"/>
        <v>35984439.830187224</v>
      </c>
    </row>
    <row r="370" spans="1:25" x14ac:dyDescent="0.25">
      <c r="A370" s="84"/>
      <c r="B370" s="51" t="s">
        <v>248</v>
      </c>
      <c r="C370" s="50">
        <f>C335*(1+$K$68)</f>
        <v>359844.39830187208</v>
      </c>
      <c r="D370" s="50">
        <f t="shared" ref="D370:N370" si="365">D335*(1+$K$68)</f>
        <v>359844.39830187208</v>
      </c>
      <c r="E370" s="50">
        <f t="shared" si="365"/>
        <v>359844.39830187208</v>
      </c>
      <c r="F370" s="50">
        <f t="shared" si="365"/>
        <v>359844.39830187208</v>
      </c>
      <c r="G370" s="50">
        <f t="shared" si="365"/>
        <v>359844.39830187208</v>
      </c>
      <c r="H370" s="50">
        <f t="shared" si="365"/>
        <v>359844.39830187208</v>
      </c>
      <c r="I370" s="50">
        <f t="shared" si="365"/>
        <v>359844.39830187208</v>
      </c>
      <c r="J370" s="50">
        <f t="shared" si="365"/>
        <v>359844.39830187208</v>
      </c>
      <c r="K370" s="50">
        <f t="shared" si="365"/>
        <v>359844.39830187208</v>
      </c>
      <c r="L370" s="50">
        <f t="shared" si="365"/>
        <v>359844.39830187208</v>
      </c>
      <c r="M370" s="50">
        <f t="shared" si="365"/>
        <v>359844.39830187208</v>
      </c>
      <c r="N370" s="50">
        <f t="shared" si="365"/>
        <v>359844.39830187208</v>
      </c>
      <c r="O370" s="90">
        <f t="shared" si="363"/>
        <v>4318132.7796224644</v>
      </c>
    </row>
    <row r="371" spans="1:25" x14ac:dyDescent="0.25">
      <c r="A371" s="82"/>
      <c r="B371" s="46" t="s">
        <v>207</v>
      </c>
      <c r="C371" s="47">
        <f t="shared" ref="C371:N371" si="366">SUM(C368:C370)</f>
        <v>3754376.5556161995</v>
      </c>
      <c r="D371" s="47">
        <f t="shared" si="366"/>
        <v>3358547.7174841403</v>
      </c>
      <c r="E371" s="47">
        <f t="shared" si="366"/>
        <v>3358547.7174841403</v>
      </c>
      <c r="F371" s="47">
        <f t="shared" si="366"/>
        <v>3358547.7174841403</v>
      </c>
      <c r="G371" s="47">
        <f t="shared" si="366"/>
        <v>3358547.7174841403</v>
      </c>
      <c r="H371" s="47">
        <f t="shared" si="366"/>
        <v>3358547.7174841403</v>
      </c>
      <c r="I371" s="47">
        <f t="shared" si="366"/>
        <v>3358547.7174841403</v>
      </c>
      <c r="J371" s="47">
        <f t="shared" si="366"/>
        <v>3358547.7174841403</v>
      </c>
      <c r="K371" s="47">
        <f t="shared" si="366"/>
        <v>3358547.7174841403</v>
      </c>
      <c r="L371" s="47">
        <f t="shared" si="366"/>
        <v>3358547.7174841403</v>
      </c>
      <c r="M371" s="47">
        <f t="shared" si="366"/>
        <v>3358547.7174841403</v>
      </c>
      <c r="N371" s="47">
        <f t="shared" si="366"/>
        <v>3358547.7174841403</v>
      </c>
      <c r="O371" s="47">
        <f t="shared" si="363"/>
        <v>40698401.447941735</v>
      </c>
    </row>
    <row r="372" spans="1:25" x14ac:dyDescent="0.25">
      <c r="A372" s="82"/>
      <c r="B372" s="55" t="s">
        <v>83</v>
      </c>
      <c r="C372" s="59" t="s">
        <v>173</v>
      </c>
      <c r="D372" s="59" t="s">
        <v>173</v>
      </c>
      <c r="E372" s="59" t="s">
        <v>173</v>
      </c>
      <c r="F372" s="59" t="s">
        <v>173</v>
      </c>
      <c r="G372" s="59" t="s">
        <v>173</v>
      </c>
      <c r="H372" s="59" t="s">
        <v>173</v>
      </c>
      <c r="I372" s="59" t="s">
        <v>173</v>
      </c>
      <c r="J372" s="59" t="s">
        <v>173</v>
      </c>
      <c r="K372" s="59" t="s">
        <v>173</v>
      </c>
      <c r="L372" s="59" t="s">
        <v>173</v>
      </c>
      <c r="M372" s="59" t="s">
        <v>173</v>
      </c>
      <c r="N372" s="59" t="s">
        <v>173</v>
      </c>
      <c r="O372" s="91" t="s">
        <v>173</v>
      </c>
    </row>
    <row r="373" spans="1:25" x14ac:dyDescent="0.25">
      <c r="A373" s="82"/>
      <c r="B373" s="57" t="s">
        <v>210</v>
      </c>
      <c r="C373" s="89">
        <f t="shared" ref="C373:N373" si="367">C338*(1+$K$68)</f>
        <v>3970283.1945973234</v>
      </c>
      <c r="D373" s="89">
        <f t="shared" si="367"/>
        <v>4785930.4974149009</v>
      </c>
      <c r="E373" s="89">
        <f t="shared" si="367"/>
        <v>4414091.2858362962</v>
      </c>
      <c r="F373" s="89">
        <f t="shared" si="367"/>
        <v>4126215.7671948005</v>
      </c>
      <c r="G373" s="89">
        <f t="shared" si="367"/>
        <v>3790360.9954463867</v>
      </c>
      <c r="H373" s="89">
        <f t="shared" si="367"/>
        <v>4749946.0575847114</v>
      </c>
      <c r="I373" s="89">
        <f t="shared" si="367"/>
        <v>5541603.7338488307</v>
      </c>
      <c r="J373" s="89">
        <f t="shared" si="367"/>
        <v>5313702.2815909777</v>
      </c>
      <c r="K373" s="89">
        <f t="shared" si="367"/>
        <v>4102226.140641341</v>
      </c>
      <c r="L373" s="89">
        <f t="shared" si="367"/>
        <v>4210179.4601319041</v>
      </c>
      <c r="M373" s="89">
        <f t="shared" si="367"/>
        <v>4006267.6344275097</v>
      </c>
      <c r="N373" s="89">
        <f t="shared" si="367"/>
        <v>4330127.592899194</v>
      </c>
      <c r="O373" s="92">
        <f t="shared" ref="O373:O382" si="368">SUM(C373:N373)</f>
        <v>53340934.641614176</v>
      </c>
    </row>
    <row r="374" spans="1:25" x14ac:dyDescent="0.25">
      <c r="A374" s="82"/>
      <c r="B374" s="57" t="s">
        <v>203</v>
      </c>
      <c r="C374" s="89">
        <f t="shared" ref="C374:N374" si="369">C339*(1+$K$68)</f>
        <v>14333801.865691237</v>
      </c>
      <c r="D374" s="89">
        <f t="shared" si="369"/>
        <v>15437324.687150318</v>
      </c>
      <c r="E374" s="89">
        <f t="shared" si="369"/>
        <v>17308515.558320049</v>
      </c>
      <c r="F374" s="89">
        <f t="shared" si="369"/>
        <v>13122325.724741612</v>
      </c>
      <c r="G374" s="89">
        <f t="shared" si="369"/>
        <v>17464448.130917531</v>
      </c>
      <c r="H374" s="89">
        <f t="shared" si="369"/>
        <v>16456883.815672286</v>
      </c>
      <c r="I374" s="89">
        <f t="shared" si="369"/>
        <v>15101469.915401906</v>
      </c>
      <c r="J374" s="89">
        <f t="shared" si="369"/>
        <v>17956235.47526342</v>
      </c>
      <c r="K374" s="89">
        <f t="shared" si="369"/>
        <v>17548411.823854625</v>
      </c>
      <c r="L374" s="89">
        <f t="shared" si="369"/>
        <v>17548411.823854625</v>
      </c>
      <c r="M374" s="89">
        <f t="shared" si="369"/>
        <v>13638102.695640959</v>
      </c>
      <c r="N374" s="89">
        <f t="shared" si="369"/>
        <v>16816728.213974163</v>
      </c>
      <c r="O374" s="92">
        <f t="shared" si="368"/>
        <v>192732659.7304827</v>
      </c>
    </row>
    <row r="375" spans="1:25" x14ac:dyDescent="0.25">
      <c r="A375" s="82"/>
      <c r="B375" s="58" t="s">
        <v>84</v>
      </c>
      <c r="C375" s="89">
        <f t="shared" ref="C375:N375" si="370">C340*(1+$K$68)</f>
        <v>12678517.633502625</v>
      </c>
      <c r="D375" s="89">
        <f t="shared" si="370"/>
        <v>13842014.521345343</v>
      </c>
      <c r="E375" s="89">
        <f t="shared" si="370"/>
        <v>13889993.774452263</v>
      </c>
      <c r="F375" s="89">
        <f t="shared" si="370"/>
        <v>14345796.678967969</v>
      </c>
      <c r="G375" s="89">
        <f t="shared" si="370"/>
        <v>16972660.786571637</v>
      </c>
      <c r="H375" s="89">
        <f t="shared" si="370"/>
        <v>14681651.45071638</v>
      </c>
      <c r="I375" s="89">
        <f t="shared" si="370"/>
        <v>15245407.674722653</v>
      </c>
      <c r="J375" s="89">
        <f t="shared" si="370"/>
        <v>17548411.823854625</v>
      </c>
      <c r="K375" s="89">
        <f t="shared" si="370"/>
        <v>16061054.97754023</v>
      </c>
      <c r="L375" s="89">
        <f t="shared" si="370"/>
        <v>16037065.350986769</v>
      </c>
      <c r="M375" s="89">
        <f t="shared" si="370"/>
        <v>17164577.798999298</v>
      </c>
      <c r="N375" s="89">
        <f t="shared" si="370"/>
        <v>13782040.454961704</v>
      </c>
      <c r="O375" s="92">
        <f t="shared" si="368"/>
        <v>182249192.92662153</v>
      </c>
    </row>
    <row r="376" spans="1:25" x14ac:dyDescent="0.25">
      <c r="A376" s="82"/>
      <c r="B376" s="58" t="s">
        <v>81</v>
      </c>
      <c r="C376" s="89">
        <f t="shared" ref="C376:N376" si="371">C341*(1+$K$284)</f>
        <v>1799221.9915093617</v>
      </c>
      <c r="D376" s="89">
        <f t="shared" si="371"/>
        <v>1799221.9915093617</v>
      </c>
      <c r="E376" s="89">
        <f t="shared" si="371"/>
        <v>1799221.9915093617</v>
      </c>
      <c r="F376" s="89">
        <f t="shared" si="371"/>
        <v>1799221.9915093617</v>
      </c>
      <c r="G376" s="89">
        <f t="shared" si="371"/>
        <v>1799221.9915093617</v>
      </c>
      <c r="H376" s="89">
        <f t="shared" si="371"/>
        <v>1799221.9915093617</v>
      </c>
      <c r="I376" s="89">
        <f t="shared" si="371"/>
        <v>1799221.9915093617</v>
      </c>
      <c r="J376" s="89">
        <f t="shared" si="371"/>
        <v>1799221.9915093617</v>
      </c>
      <c r="K376" s="89">
        <f t="shared" si="371"/>
        <v>1799221.9915093617</v>
      </c>
      <c r="L376" s="89">
        <f t="shared" si="371"/>
        <v>1799221.9915093617</v>
      </c>
      <c r="M376" s="89">
        <f t="shared" si="371"/>
        <v>1799221.9915093617</v>
      </c>
      <c r="N376" s="89">
        <f t="shared" si="371"/>
        <v>1799221.9915093617</v>
      </c>
      <c r="O376" s="92">
        <f t="shared" si="368"/>
        <v>21590663.898112342</v>
      </c>
    </row>
    <row r="377" spans="1:25" x14ac:dyDescent="0.25">
      <c r="A377" s="82"/>
      <c r="B377" s="57" t="s">
        <v>85</v>
      </c>
      <c r="C377" s="89">
        <f t="shared" ref="C377:N377" si="372">C342*(1+$K$68)</f>
        <v>14729630.703823302</v>
      </c>
      <c r="D377" s="89">
        <f t="shared" si="372"/>
        <v>12606548.753842263</v>
      </c>
      <c r="E377" s="89">
        <f t="shared" si="372"/>
        <v>13050356.845081229</v>
      </c>
      <c r="F377" s="89">
        <f t="shared" si="372"/>
        <v>13254268.670785623</v>
      </c>
      <c r="G377" s="89">
        <f t="shared" si="372"/>
        <v>17824292.529219396</v>
      </c>
      <c r="H377" s="89">
        <f t="shared" si="372"/>
        <v>13086341.284911424</v>
      </c>
      <c r="I377" s="89">
        <f t="shared" si="372"/>
        <v>15185433.608339004</v>
      </c>
      <c r="J377" s="89">
        <f t="shared" si="372"/>
        <v>12018802.903282531</v>
      </c>
      <c r="K377" s="89">
        <f t="shared" si="372"/>
        <v>15629241.699577983</v>
      </c>
      <c r="L377" s="89">
        <f t="shared" si="372"/>
        <v>12414631.741414588</v>
      </c>
      <c r="M377" s="89">
        <f t="shared" si="372"/>
        <v>15809163.898728916</v>
      </c>
      <c r="N377" s="89">
        <f t="shared" si="372"/>
        <v>15053490.662294982</v>
      </c>
      <c r="O377" s="92">
        <f t="shared" si="368"/>
        <v>170662203.30130121</v>
      </c>
    </row>
    <row r="378" spans="1:25" x14ac:dyDescent="0.25">
      <c r="A378" s="84"/>
      <c r="B378" s="58" t="s">
        <v>249</v>
      </c>
      <c r="C378" s="89">
        <f t="shared" ref="C378:N378" si="373">C365*5%</f>
        <v>10266952.199989686</v>
      </c>
      <c r="D378" s="89">
        <f t="shared" si="373"/>
        <v>10266952.199989686</v>
      </c>
      <c r="E378" s="89">
        <f t="shared" si="373"/>
        <v>10266952.199989686</v>
      </c>
      <c r="F378" s="89">
        <f t="shared" si="373"/>
        <v>10266952.199989686</v>
      </c>
      <c r="G378" s="89">
        <f t="shared" si="373"/>
        <v>10266952.199989686</v>
      </c>
      <c r="H378" s="89">
        <f t="shared" si="373"/>
        <v>10266952.199989686</v>
      </c>
      <c r="I378" s="89">
        <f t="shared" si="373"/>
        <v>10266952.199989686</v>
      </c>
      <c r="J378" s="89">
        <f t="shared" si="373"/>
        <v>10266952.199989686</v>
      </c>
      <c r="K378" s="89">
        <f t="shared" si="373"/>
        <v>10266952.199989686</v>
      </c>
      <c r="L378" s="89">
        <f t="shared" si="373"/>
        <v>10266952.199989686</v>
      </c>
      <c r="M378" s="89">
        <f t="shared" si="373"/>
        <v>10266952.199989686</v>
      </c>
      <c r="N378" s="89">
        <f t="shared" si="373"/>
        <v>10266952.199989686</v>
      </c>
      <c r="O378" s="92">
        <f t="shared" si="368"/>
        <v>123203426.39987625</v>
      </c>
    </row>
    <row r="379" spans="1:25" x14ac:dyDescent="0.25">
      <c r="A379" s="84"/>
      <c r="B379" s="58" t="s">
        <v>180</v>
      </c>
      <c r="C379" s="89">
        <f>'7.5. Stage 5&amp;6 budget'!C344*(1+'7.5. Stage 5&amp;6 budget'!$K$68)</f>
        <v>17416468.877810609</v>
      </c>
      <c r="D379" s="89">
        <f>'7.5. Stage 5&amp;6 budget'!D344*(1+'7.5. Stage 5&amp;6 budget'!$K$68)</f>
        <v>17188567.425552756</v>
      </c>
      <c r="E379" s="89">
        <f>'7.5. Stage 5&amp;6 budget'!E344*(1+'7.5. Stage 5&amp;6 budget'!$K$68)</f>
        <v>14285822.612584326</v>
      </c>
      <c r="F379" s="89">
        <f>'7.5. Stage 5&amp;6 budget'!F344*(1+'7.5. Stage 5&amp;6 budget'!$K$68)</f>
        <v>15773179.458898734</v>
      </c>
      <c r="G379" s="89">
        <f>'7.5. Stage 5&amp;6 budget'!G344*(1+'7.5. Stage 5&amp;6 budget'!$K$68)</f>
        <v>12438621.367968049</v>
      </c>
      <c r="H379" s="89">
        <f>'7.5. Stage 5&amp;6 budget'!H344*(1+'7.5. Stage 5&amp;6 budget'!$K$68)</f>
        <v>13830019.708068622</v>
      </c>
      <c r="I379" s="89">
        <f>'7.5. Stage 5&amp;6 budget'!I344*(1+'7.5. Stage 5&amp;6 budget'!$K$68)</f>
        <v>14309812.239137789</v>
      </c>
      <c r="J379" s="89">
        <f>'7.5. Stage 5&amp;6 budget'!J344*(1+'7.5. Stage 5&amp;6 budget'!$K$68)</f>
        <v>16960665.973294903</v>
      </c>
      <c r="K379" s="89">
        <f>'7.5. Stage 5&amp;6 budget'!K344*(1+'7.5. Stage 5&amp;6 budget'!$K$68)</f>
        <v>13278258.29733908</v>
      </c>
      <c r="L379" s="89">
        <f>'7.5. Stage 5&amp;6 budget'!L344*(1+'7.5. Stage 5&amp;6 budget'!$K$68)</f>
        <v>14213853.732923942</v>
      </c>
      <c r="M379" s="89">
        <f>'7.5. Stage 5&amp;6 budget'!M344*(1+'7.5. Stage 5&amp;6 budget'!$K$68)</f>
        <v>14237843.359477403</v>
      </c>
      <c r="N379" s="89">
        <f>'7.5. Stage 5&amp;6 budget'!N344*(1+'7.5. Stage 5&amp;6 budget'!$K$68)</f>
        <v>13877998.961175544</v>
      </c>
      <c r="O379" s="92">
        <f t="shared" si="368"/>
        <v>177811112.01423174</v>
      </c>
    </row>
    <row r="380" spans="1:25" x14ac:dyDescent="0.25">
      <c r="A380" s="84"/>
      <c r="B380" s="58" t="s">
        <v>86</v>
      </c>
      <c r="C380" s="89">
        <f>'7.5. Stage 5&amp;6 budget'!C345*(1+'7.5. Stage 5&amp;6 budget'!$K$68)</f>
        <v>12678517.633502625</v>
      </c>
      <c r="D380" s="89">
        <f>'7.5. Stage 5&amp;6 budget'!D345*(1+'7.5. Stage 5&amp;6 budget'!$K$68)</f>
        <v>12534579.874181876</v>
      </c>
      <c r="E380" s="89">
        <f>'7.5. Stage 5&amp;6 budget'!E345*(1+'7.5. Stage 5&amp;6 budget'!$K$68)</f>
        <v>12162740.662603283</v>
      </c>
      <c r="F380" s="89">
        <f>'7.5. Stage 5&amp;6 budget'!F345*(1+'7.5. Stage 5&amp;6 budget'!$K$68)</f>
        <v>15869137.965112558</v>
      </c>
      <c r="G380" s="89">
        <f>'7.5. Stage 5&amp;6 budget'!G345*(1+'7.5. Stage 5&amp;6 budget'!$K$68)</f>
        <v>14765615.143653488</v>
      </c>
      <c r="H380" s="89">
        <f>'7.5. Stage 5&amp;6 budget'!H345*(1+'7.5. Stage 5&amp;6 budget'!$K$68)</f>
        <v>12294683.6086473</v>
      </c>
      <c r="I380" s="89">
        <f>'7.5. Stage 5&amp;6 budget'!I345*(1+'7.5. Stage 5&amp;6 budget'!$K$68)</f>
        <v>16672790.454653408</v>
      </c>
      <c r="J380" s="89">
        <f>'7.5. Stage 5&amp;6 budget'!J345*(1+'7.5. Stage 5&amp;6 budget'!$K$68)</f>
        <v>16001080.911156584</v>
      </c>
      <c r="K380" s="89">
        <f>'7.5. Stage 5&amp;6 budget'!K345*(1+'7.5. Stage 5&amp;6 budget'!$K$68)</f>
        <v>12882429.459207024</v>
      </c>
      <c r="L380" s="89">
        <f>'7.5. Stage 5&amp;6 budget'!L345*(1+'7.5. Stage 5&amp;6 budget'!$K$68)</f>
        <v>13326237.550445998</v>
      </c>
      <c r="M380" s="89">
        <f>'7.5. Stage 5&amp;6 budget'!M345*(1+'7.5. Stage 5&amp;6 budget'!$K$68)</f>
        <v>16204992.736860974</v>
      </c>
      <c r="N380" s="89">
        <f>'7.5. Stage 5&amp;6 budget'!N345*(1+'7.5. Stage 5&amp;6 budget'!$K$68)</f>
        <v>17056624.479508746</v>
      </c>
      <c r="O380" s="92">
        <f t="shared" si="368"/>
        <v>172449430.47953385</v>
      </c>
    </row>
    <row r="381" spans="1:25" x14ac:dyDescent="0.25">
      <c r="A381" s="82"/>
      <c r="B381" s="46" t="s">
        <v>208</v>
      </c>
      <c r="C381" s="47">
        <f t="shared" ref="C381:N381" si="374">SUM(C373:C380)</f>
        <v>87873394.100426763</v>
      </c>
      <c r="D381" s="47">
        <f t="shared" si="374"/>
        <v>88461139.950986519</v>
      </c>
      <c r="E381" s="47">
        <f t="shared" si="374"/>
        <v>87177694.9303765</v>
      </c>
      <c r="F381" s="47">
        <f t="shared" si="374"/>
        <v>88557098.457200333</v>
      </c>
      <c r="G381" s="47">
        <f t="shared" si="374"/>
        <v>95322173.145275533</v>
      </c>
      <c r="H381" s="47">
        <f t="shared" si="374"/>
        <v>87165700.117099762</v>
      </c>
      <c r="I381" s="47">
        <f t="shared" si="374"/>
        <v>94122691.817602634</v>
      </c>
      <c r="J381" s="47">
        <f t="shared" si="374"/>
        <v>97865073.559942082</v>
      </c>
      <c r="K381" s="47">
        <f t="shared" si="374"/>
        <v>91567796.589659333</v>
      </c>
      <c r="L381" s="47">
        <f t="shared" si="374"/>
        <v>89816553.851256892</v>
      </c>
      <c r="M381" s="47">
        <f t="shared" si="374"/>
        <v>93127122.315634102</v>
      </c>
      <c r="N381" s="47">
        <f t="shared" si="374"/>
        <v>92983184.556313381</v>
      </c>
      <c r="O381" s="47">
        <f t="shared" si="368"/>
        <v>1094039623.3917739</v>
      </c>
    </row>
    <row r="382" spans="1:25" x14ac:dyDescent="0.25">
      <c r="A382" s="82"/>
      <c r="B382" s="60" t="s">
        <v>87</v>
      </c>
      <c r="C382" s="47">
        <f t="shared" ref="C382:N382" si="375">C371+C381</f>
        <v>91627770.656042963</v>
      </c>
      <c r="D382" s="47">
        <f t="shared" si="375"/>
        <v>91819687.668470666</v>
      </c>
      <c r="E382" s="47">
        <f t="shared" si="375"/>
        <v>90536242.647860646</v>
      </c>
      <c r="F382" s="47">
        <f t="shared" si="375"/>
        <v>91915646.17468448</v>
      </c>
      <c r="G382" s="47">
        <f t="shared" si="375"/>
        <v>98680720.86275968</v>
      </c>
      <c r="H382" s="47">
        <f t="shared" si="375"/>
        <v>90524247.834583908</v>
      </c>
      <c r="I382" s="47">
        <f t="shared" si="375"/>
        <v>97481239.535086781</v>
      </c>
      <c r="J382" s="47">
        <f t="shared" si="375"/>
        <v>101223621.27742623</v>
      </c>
      <c r="K382" s="47">
        <f t="shared" si="375"/>
        <v>94926344.30714348</v>
      </c>
      <c r="L382" s="47">
        <f t="shared" si="375"/>
        <v>93175101.568741038</v>
      </c>
      <c r="M382" s="47">
        <f t="shared" si="375"/>
        <v>96485670.033118248</v>
      </c>
      <c r="N382" s="47">
        <f t="shared" si="375"/>
        <v>96341732.273797527</v>
      </c>
      <c r="O382" s="47">
        <f t="shared" si="368"/>
        <v>1134738024.8397157</v>
      </c>
    </row>
    <row r="383" spans="1:25" s="11" customFormat="1" x14ac:dyDescent="0.25">
      <c r="A383" s="82"/>
      <c r="B383" s="108" t="s">
        <v>204</v>
      </c>
      <c r="C383" s="109">
        <f>$O382*(3/12)/12</f>
        <v>23640375.517494079</v>
      </c>
      <c r="D383" s="109">
        <f t="shared" ref="D383" si="376">$O382*(3/12)/12</f>
        <v>23640375.517494079</v>
      </c>
      <c r="E383" s="109">
        <f t="shared" ref="E383" si="377">$O382*(3/12)/12</f>
        <v>23640375.517494079</v>
      </c>
      <c r="F383" s="109">
        <f t="shared" ref="F383" si="378">$O382*(3/12)/12</f>
        <v>23640375.517494079</v>
      </c>
      <c r="G383" s="109">
        <f t="shared" ref="G383" si="379">$O382*(3/12)/12</f>
        <v>23640375.517494079</v>
      </c>
      <c r="H383" s="109">
        <f t="shared" ref="H383" si="380">$O382*(3/12)/12</f>
        <v>23640375.517494079</v>
      </c>
      <c r="I383" s="109">
        <f t="shared" ref="I383" si="381">$O382*(3/12)/12</f>
        <v>23640375.517494079</v>
      </c>
      <c r="J383" s="109">
        <f t="shared" ref="J383" si="382">$O382*(3/12)/12</f>
        <v>23640375.517494079</v>
      </c>
      <c r="K383" s="109">
        <f t="shared" ref="K383" si="383">$O382*(3/12)/12</f>
        <v>23640375.517494079</v>
      </c>
      <c r="L383" s="109">
        <f t="shared" ref="L383" si="384">$O382*(3/12)/12</f>
        <v>23640375.517494079</v>
      </c>
      <c r="M383" s="109">
        <f t="shared" ref="M383" si="385">$O382*(3/12)/12</f>
        <v>23640375.517494079</v>
      </c>
      <c r="N383" s="109">
        <f t="shared" ref="N383" si="386">$O382*(3/12)/12</f>
        <v>23640375.517494079</v>
      </c>
      <c r="O383" s="109">
        <f t="shared" ref="O383:O387" si="387">SUM(C383:N383)</f>
        <v>283684506.20992893</v>
      </c>
      <c r="P383" s="43"/>
      <c r="Q383" s="43"/>
      <c r="R383" s="40"/>
      <c r="S383" s="40"/>
      <c r="T383" s="40"/>
      <c r="U383" s="40"/>
      <c r="V383" s="40"/>
      <c r="W383" s="40"/>
      <c r="X383" s="40"/>
      <c r="Y383" s="40"/>
    </row>
    <row r="384" spans="1:25" s="11" customFormat="1" x14ac:dyDescent="0.25">
      <c r="A384" s="82"/>
      <c r="B384" s="108" t="s">
        <v>82</v>
      </c>
      <c r="C384" s="109">
        <f>'6. Mortgage payment'!$C$7</f>
        <v>28168245.060798287</v>
      </c>
      <c r="D384" s="109">
        <f>'6. Mortgage payment'!$C$7</f>
        <v>28168245.060798287</v>
      </c>
      <c r="E384" s="109">
        <f>'6. Mortgage payment'!$C$7</f>
        <v>28168245.060798287</v>
      </c>
      <c r="F384" s="109">
        <f>'6. Mortgage payment'!$C$7</f>
        <v>28168245.060798287</v>
      </c>
      <c r="G384" s="109">
        <f>'6. Mortgage payment'!$C$7</f>
        <v>28168245.060798287</v>
      </c>
      <c r="H384" s="109">
        <f>'6. Mortgage payment'!$C$7</f>
        <v>28168245.060798287</v>
      </c>
      <c r="I384" s="109">
        <f>'6. Mortgage payment'!$C$7</f>
        <v>28168245.060798287</v>
      </c>
      <c r="J384" s="109">
        <f>'6. Mortgage payment'!$C$7</f>
        <v>28168245.060798287</v>
      </c>
      <c r="K384" s="109">
        <f>'6. Mortgage payment'!$C$7</f>
        <v>28168245.060798287</v>
      </c>
      <c r="L384" s="109">
        <f>'6. Mortgage payment'!$C$7</f>
        <v>28168245.060798287</v>
      </c>
      <c r="M384" s="109">
        <f>'6. Mortgage payment'!$C$7</f>
        <v>28168245.060798287</v>
      </c>
      <c r="N384" s="109">
        <f>'6. Mortgage payment'!$C$7</f>
        <v>28168245.060798287</v>
      </c>
      <c r="O384" s="109">
        <f t="shared" si="387"/>
        <v>338018940.72957945</v>
      </c>
      <c r="P384" s="43"/>
      <c r="Q384" s="43"/>
      <c r="R384" s="40"/>
      <c r="S384" s="40"/>
      <c r="T384" s="40"/>
      <c r="U384" s="40"/>
      <c r="V384" s="40"/>
      <c r="W384" s="40"/>
      <c r="X384" s="40"/>
      <c r="Y384" s="40"/>
    </row>
    <row r="385" spans="1:25" s="11" customFormat="1" x14ac:dyDescent="0.25">
      <c r="A385" s="82"/>
      <c r="B385" s="108" t="s">
        <v>251</v>
      </c>
      <c r="C385" s="109">
        <f>-PMT(4%,18*12,(150000000*8)/(1+4%)^18)</f>
        <v>23699110.369091634</v>
      </c>
      <c r="D385" s="109">
        <f t="shared" ref="D385:N385" si="388">-PMT(4%,18*12,(150000000*8)/(1+4%)^18)</f>
        <v>23699110.369091634</v>
      </c>
      <c r="E385" s="109">
        <f t="shared" si="388"/>
        <v>23699110.369091634</v>
      </c>
      <c r="F385" s="109">
        <f t="shared" si="388"/>
        <v>23699110.369091634</v>
      </c>
      <c r="G385" s="109">
        <f t="shared" si="388"/>
        <v>23699110.369091634</v>
      </c>
      <c r="H385" s="109">
        <f t="shared" si="388"/>
        <v>23699110.369091634</v>
      </c>
      <c r="I385" s="109">
        <f t="shared" si="388"/>
        <v>23699110.369091634</v>
      </c>
      <c r="J385" s="109">
        <f t="shared" si="388"/>
        <v>23699110.369091634</v>
      </c>
      <c r="K385" s="109">
        <f t="shared" si="388"/>
        <v>23699110.369091634</v>
      </c>
      <c r="L385" s="109">
        <f t="shared" si="388"/>
        <v>23699110.369091634</v>
      </c>
      <c r="M385" s="109">
        <f t="shared" si="388"/>
        <v>23699110.369091634</v>
      </c>
      <c r="N385" s="109">
        <f t="shared" si="388"/>
        <v>23699110.369091634</v>
      </c>
      <c r="O385" s="109">
        <f>SUM(C385:N385)</f>
        <v>284389324.42909962</v>
      </c>
      <c r="P385" s="43"/>
      <c r="Q385" s="43"/>
      <c r="R385" s="40"/>
      <c r="S385" s="40"/>
      <c r="T385" s="40"/>
      <c r="U385" s="40"/>
      <c r="V385" s="40"/>
      <c r="W385" s="40"/>
      <c r="X385" s="40"/>
      <c r="Y385" s="40"/>
    </row>
    <row r="386" spans="1:25" s="11" customFormat="1" x14ac:dyDescent="0.25">
      <c r="A386" s="82"/>
      <c r="B386" s="108" t="s">
        <v>386</v>
      </c>
      <c r="C386" s="109">
        <f>C351*(1+$K$68)</f>
        <v>3286684.714550131</v>
      </c>
      <c r="D386" s="109">
        <v>0</v>
      </c>
      <c r="E386" s="109">
        <v>0</v>
      </c>
      <c r="F386" s="109">
        <v>0</v>
      </c>
      <c r="G386" s="109">
        <v>0</v>
      </c>
      <c r="H386" s="109">
        <v>0</v>
      </c>
      <c r="I386" s="109">
        <v>0</v>
      </c>
      <c r="J386" s="109">
        <v>0</v>
      </c>
      <c r="K386" s="109">
        <v>0</v>
      </c>
      <c r="L386" s="109">
        <v>0</v>
      </c>
      <c r="M386" s="109">
        <v>0</v>
      </c>
      <c r="N386" s="109">
        <v>0</v>
      </c>
      <c r="O386" s="109">
        <f t="shared" si="387"/>
        <v>3286684.714550131</v>
      </c>
      <c r="P386" s="43"/>
      <c r="Q386" s="43"/>
      <c r="R386" s="40"/>
      <c r="S386" s="40"/>
      <c r="T386" s="40"/>
      <c r="U386" s="40"/>
      <c r="V386" s="40"/>
      <c r="W386" s="40"/>
      <c r="X386" s="40"/>
      <c r="Y386" s="40"/>
    </row>
    <row r="387" spans="1:25" s="11" customFormat="1" x14ac:dyDescent="0.25">
      <c r="A387" s="82"/>
      <c r="B387" s="60" t="s">
        <v>206</v>
      </c>
      <c r="C387" s="61">
        <f>C365-C382-C383-C384-C386-C385</f>
        <v>34916857.681816608</v>
      </c>
      <c r="D387" s="61">
        <f t="shared" ref="D387:N387" si="389">D365-D382-D383-D384-D386-D385</f>
        <v>38011625.383939043</v>
      </c>
      <c r="E387" s="61">
        <f t="shared" si="389"/>
        <v>39295070.404549062</v>
      </c>
      <c r="F387" s="61">
        <f t="shared" si="389"/>
        <v>37915666.877725229</v>
      </c>
      <c r="G387" s="61">
        <f t="shared" si="389"/>
        <v>31150592.189650025</v>
      </c>
      <c r="H387" s="61">
        <f t="shared" si="389"/>
        <v>39307065.2178258</v>
      </c>
      <c r="I387" s="61">
        <f t="shared" si="389"/>
        <v>32350073.517322924</v>
      </c>
      <c r="J387" s="61">
        <f t="shared" si="389"/>
        <v>28607691.774983477</v>
      </c>
      <c r="K387" s="61">
        <f t="shared" si="389"/>
        <v>34904968.745266229</v>
      </c>
      <c r="L387" s="61">
        <f t="shared" si="389"/>
        <v>36656211.48366867</v>
      </c>
      <c r="M387" s="61">
        <f t="shared" si="389"/>
        <v>33345643.019291457</v>
      </c>
      <c r="N387" s="61">
        <f t="shared" si="389"/>
        <v>33489580.778612178</v>
      </c>
      <c r="O387" s="47">
        <f t="shared" si="387"/>
        <v>419951047.07465076</v>
      </c>
      <c r="P387" s="43"/>
      <c r="Q387" s="43"/>
      <c r="R387" s="40"/>
      <c r="S387" s="40"/>
      <c r="T387" s="40"/>
      <c r="U387" s="40"/>
      <c r="V387" s="40"/>
      <c r="W387" s="40"/>
      <c r="X387" s="40"/>
      <c r="Y387" s="40"/>
    </row>
    <row r="388" spans="1:25" x14ac:dyDescent="0.25">
      <c r="A388" s="85"/>
      <c r="B388" s="40"/>
      <c r="C388" s="40"/>
      <c r="D388" s="40"/>
      <c r="E388" s="40"/>
      <c r="F388" s="40"/>
      <c r="G388" s="40"/>
      <c r="H388" s="40"/>
      <c r="I388" s="40"/>
      <c r="J388" s="40"/>
      <c r="K388" s="40"/>
      <c r="L388" s="353" t="s">
        <v>217</v>
      </c>
      <c r="M388" s="354"/>
      <c r="N388" s="350">
        <f>SUM(C387:N387)+N353</f>
        <v>11846853986.164463</v>
      </c>
      <c r="O388" s="40"/>
    </row>
    <row r="389" spans="1:25" x14ac:dyDescent="0.25">
      <c r="A389" s="85"/>
      <c r="B389" s="40"/>
      <c r="C389" s="40"/>
      <c r="D389" s="40"/>
      <c r="E389" s="40"/>
      <c r="F389" s="40"/>
      <c r="G389" s="40"/>
      <c r="H389" s="40"/>
      <c r="I389" s="40"/>
      <c r="J389" s="40"/>
      <c r="K389" s="40"/>
      <c r="L389" s="320"/>
      <c r="M389" s="355"/>
      <c r="N389" s="351"/>
      <c r="O389" s="40"/>
    </row>
    <row r="390" spans="1:25" x14ac:dyDescent="0.25">
      <c r="A390" s="85"/>
      <c r="B390" s="319" t="s">
        <v>632</v>
      </c>
      <c r="C390" s="352" t="s">
        <v>173</v>
      </c>
      <c r="D390" s="352"/>
      <c r="E390" s="352"/>
      <c r="F390" s="352"/>
      <c r="G390" s="352"/>
      <c r="H390" s="352"/>
      <c r="I390" s="40"/>
      <c r="J390" s="358" t="s">
        <v>231</v>
      </c>
      <c r="K390" s="359">
        <v>0.04</v>
      </c>
      <c r="L390" s="40"/>
      <c r="M390" s="40"/>
      <c r="N390" s="40"/>
      <c r="O390" s="361"/>
    </row>
    <row r="391" spans="1:25" x14ac:dyDescent="0.25">
      <c r="A391" s="85"/>
      <c r="B391" s="319"/>
      <c r="C391" s="352"/>
      <c r="D391" s="352"/>
      <c r="E391" s="352"/>
      <c r="F391" s="352"/>
      <c r="G391" s="352"/>
      <c r="H391" s="352"/>
      <c r="I391" s="40"/>
      <c r="J391" s="358"/>
      <c r="K391" s="360"/>
      <c r="L391" s="40"/>
      <c r="M391" s="40"/>
      <c r="N391" s="40"/>
      <c r="O391" s="362"/>
    </row>
    <row r="392" spans="1:25" x14ac:dyDescent="0.25">
      <c r="A392" s="85"/>
      <c r="B392" s="319"/>
      <c r="C392" s="352"/>
      <c r="D392" s="352"/>
      <c r="E392" s="352"/>
      <c r="F392" s="352"/>
      <c r="G392" s="352"/>
      <c r="H392" s="352"/>
      <c r="I392" s="40"/>
      <c r="J392" s="40"/>
      <c r="K392" s="40"/>
      <c r="L392" s="40"/>
      <c r="M392" s="40"/>
      <c r="N392" s="40"/>
      <c r="O392" s="40"/>
    </row>
    <row r="395" spans="1:25" ht="24.6" x14ac:dyDescent="0.25">
      <c r="A395" s="96"/>
      <c r="B395" s="348" t="s">
        <v>271</v>
      </c>
      <c r="C395" s="348"/>
      <c r="D395" s="348"/>
      <c r="E395" s="348"/>
      <c r="F395" s="348"/>
      <c r="G395" s="348"/>
      <c r="H395" s="348"/>
      <c r="I395" s="348"/>
      <c r="J395" s="348"/>
      <c r="K395" s="348"/>
      <c r="L395" s="348"/>
      <c r="M395" s="348"/>
      <c r="N395" s="348"/>
      <c r="O395" s="348"/>
    </row>
    <row r="396" spans="1:25" ht="24.6" x14ac:dyDescent="0.25">
      <c r="A396" s="96"/>
      <c r="B396" s="349"/>
      <c r="C396" s="349"/>
      <c r="D396" s="349"/>
      <c r="E396" s="349"/>
      <c r="F396" s="349"/>
      <c r="G396" s="349"/>
      <c r="H396" s="349"/>
      <c r="I396" s="349"/>
      <c r="J396" s="349"/>
      <c r="K396" s="349"/>
      <c r="L396" s="349"/>
      <c r="M396" s="349"/>
      <c r="N396" s="349"/>
      <c r="O396" s="349"/>
    </row>
    <row r="397" spans="1:25" x14ac:dyDescent="0.25">
      <c r="A397" s="82"/>
      <c r="B397" s="41"/>
      <c r="C397" s="42" t="s">
        <v>66</v>
      </c>
      <c r="D397" s="42" t="s">
        <v>67</v>
      </c>
      <c r="E397" s="42" t="s">
        <v>68</v>
      </c>
      <c r="F397" s="42" t="s">
        <v>69</v>
      </c>
      <c r="G397" s="42" t="s">
        <v>70</v>
      </c>
      <c r="H397" s="42" t="s">
        <v>71</v>
      </c>
      <c r="I397" s="42" t="s">
        <v>72</v>
      </c>
      <c r="J397" s="42" t="s">
        <v>73</v>
      </c>
      <c r="K397" s="42" t="s">
        <v>74</v>
      </c>
      <c r="L397" s="42" t="s">
        <v>75</v>
      </c>
      <c r="M397" s="42" t="s">
        <v>76</v>
      </c>
      <c r="N397" s="42" t="s">
        <v>77</v>
      </c>
      <c r="O397" s="42" t="s">
        <v>236</v>
      </c>
    </row>
    <row r="398" spans="1:25" x14ac:dyDescent="0.25">
      <c r="A398" s="82"/>
      <c r="B398" s="44" t="s">
        <v>194</v>
      </c>
      <c r="C398" s="45">
        <f>'3.1. My Income Tax Calculation'!$P$31/12</f>
        <v>142328164.72180462</v>
      </c>
      <c r="D398" s="45">
        <f>'3.1. My Income Tax Calculation'!$P$31/12</f>
        <v>142328164.72180462</v>
      </c>
      <c r="E398" s="45">
        <f>'3.1. My Income Tax Calculation'!$P$31/12</f>
        <v>142328164.72180462</v>
      </c>
      <c r="F398" s="45">
        <f>'3.1. My Income Tax Calculation'!$P$31/12</f>
        <v>142328164.72180462</v>
      </c>
      <c r="G398" s="45">
        <f>'3.1. My Income Tax Calculation'!$P$31/12</f>
        <v>142328164.72180462</v>
      </c>
      <c r="H398" s="45">
        <f>'3.1. My Income Tax Calculation'!$P$31/12</f>
        <v>142328164.72180462</v>
      </c>
      <c r="I398" s="45">
        <f>'3.1. My Income Tax Calculation'!$P$31/12</f>
        <v>142328164.72180462</v>
      </c>
      <c r="J398" s="45">
        <f>'3.1. My Income Tax Calculation'!$P$31/12</f>
        <v>142328164.72180462</v>
      </c>
      <c r="K398" s="45">
        <f>'3.1. My Income Tax Calculation'!$P$31/12</f>
        <v>142328164.72180462</v>
      </c>
      <c r="L398" s="45">
        <f>'3.1. My Income Tax Calculation'!$P$31/12</f>
        <v>142328164.72180462</v>
      </c>
      <c r="M398" s="45">
        <f>'3.1. My Income Tax Calculation'!$P$31/12</f>
        <v>142328164.72180462</v>
      </c>
      <c r="N398" s="45">
        <f>'3.1. My Income Tax Calculation'!$P$31/12</f>
        <v>142328164.72180462</v>
      </c>
      <c r="O398" s="45" t="s">
        <v>173</v>
      </c>
    </row>
    <row r="399" spans="1:25" x14ac:dyDescent="0.25">
      <c r="A399" s="82"/>
      <c r="B399" s="44" t="s">
        <v>246</v>
      </c>
      <c r="C399" s="45">
        <f>'3.2. My wife''s Tax Calc'!$P$31/12</f>
        <v>63976997.746223338</v>
      </c>
      <c r="D399" s="45">
        <f>'3.2. My wife''s Tax Calc'!$P$31/12</f>
        <v>63976997.746223338</v>
      </c>
      <c r="E399" s="45">
        <f>'3.2. My wife''s Tax Calc'!$P$31/12</f>
        <v>63976997.746223338</v>
      </c>
      <c r="F399" s="45">
        <f>'3.2. My wife''s Tax Calc'!$P$31/12</f>
        <v>63976997.746223338</v>
      </c>
      <c r="G399" s="45">
        <f>'3.2. My wife''s Tax Calc'!$P$31/12</f>
        <v>63976997.746223338</v>
      </c>
      <c r="H399" s="45">
        <f>'3.2. My wife''s Tax Calc'!$P$31/12</f>
        <v>63976997.746223338</v>
      </c>
      <c r="I399" s="45">
        <f>'3.2. My wife''s Tax Calc'!$P$31/12</f>
        <v>63976997.746223338</v>
      </c>
      <c r="J399" s="45">
        <f>'3.2. My wife''s Tax Calc'!$P$31/12</f>
        <v>63976997.746223338</v>
      </c>
      <c r="K399" s="45">
        <f>'3.2. My wife''s Tax Calc'!$P$31/12</f>
        <v>63976997.746223338</v>
      </c>
      <c r="L399" s="45">
        <f>'3.2. My wife''s Tax Calc'!$P$31/12</f>
        <v>63976997.746223338</v>
      </c>
      <c r="M399" s="45">
        <f>'3.2. My wife''s Tax Calc'!$P$31/12</f>
        <v>63976997.746223338</v>
      </c>
      <c r="N399" s="45">
        <f>'3.2. My wife''s Tax Calc'!$P$31/12</f>
        <v>63976997.746223338</v>
      </c>
      <c r="O399" s="45" t="s">
        <v>173</v>
      </c>
    </row>
    <row r="400" spans="1:25" x14ac:dyDescent="0.25">
      <c r="A400" s="82"/>
      <c r="B400" s="46" t="s">
        <v>209</v>
      </c>
      <c r="C400" s="47">
        <f>SUM(C398:C399)</f>
        <v>206305162.46802795</v>
      </c>
      <c r="D400" s="47">
        <f t="shared" ref="D400" si="390">SUM(D398:D399)</f>
        <v>206305162.46802795</v>
      </c>
      <c r="E400" s="47">
        <f t="shared" ref="E400" si="391">SUM(E398:E399)</f>
        <v>206305162.46802795</v>
      </c>
      <c r="F400" s="47">
        <f t="shared" ref="F400" si="392">SUM(F398:F399)</f>
        <v>206305162.46802795</v>
      </c>
      <c r="G400" s="47">
        <f t="shared" ref="G400" si="393">SUM(G398:G399)</f>
        <v>206305162.46802795</v>
      </c>
      <c r="H400" s="47">
        <f t="shared" ref="H400" si="394">SUM(H398:H399)</f>
        <v>206305162.46802795</v>
      </c>
      <c r="I400" s="47">
        <f t="shared" ref="I400" si="395">SUM(I398:I399)</f>
        <v>206305162.46802795</v>
      </c>
      <c r="J400" s="47">
        <f t="shared" ref="J400" si="396">SUM(J398:J399)</f>
        <v>206305162.46802795</v>
      </c>
      <c r="K400" s="47">
        <f>SUM(K398:K399)</f>
        <v>206305162.46802795</v>
      </c>
      <c r="L400" s="47">
        <f t="shared" ref="L400" si="397">SUM(L398:L399)</f>
        <v>206305162.46802795</v>
      </c>
      <c r="M400" s="47">
        <f t="shared" ref="M400" si="398">SUM(M398:M399)</f>
        <v>206305162.46802795</v>
      </c>
      <c r="N400" s="47">
        <f t="shared" ref="N400" si="399">SUM(N398:N399)</f>
        <v>206305162.46802795</v>
      </c>
      <c r="O400" s="47">
        <f>SUM(C400:N400)</f>
        <v>2475661949.6163359</v>
      </c>
    </row>
    <row r="401" spans="1:15" x14ac:dyDescent="0.25">
      <c r="A401" s="82"/>
      <c r="B401" s="52" t="s">
        <v>78</v>
      </c>
      <c r="C401" s="53" t="s">
        <v>173</v>
      </c>
      <c r="D401" s="53" t="s">
        <v>173</v>
      </c>
      <c r="E401" s="53" t="s">
        <v>173</v>
      </c>
      <c r="F401" s="53" t="s">
        <v>173</v>
      </c>
      <c r="G401" s="53" t="s">
        <v>173</v>
      </c>
      <c r="H401" s="53" t="s">
        <v>173</v>
      </c>
      <c r="I401" s="53" t="s">
        <v>173</v>
      </c>
      <c r="J401" s="53" t="s">
        <v>173</v>
      </c>
      <c r="K401" s="53" t="s">
        <v>173</v>
      </c>
      <c r="L401" s="53" t="s">
        <v>173</v>
      </c>
      <c r="M401" s="53" t="s">
        <v>173</v>
      </c>
      <c r="N401" s="53" t="s">
        <v>173</v>
      </c>
      <c r="O401" s="91" t="s">
        <v>173</v>
      </c>
    </row>
    <row r="402" spans="1:15" x14ac:dyDescent="0.25">
      <c r="A402" s="82"/>
      <c r="B402" s="48" t="s">
        <v>79</v>
      </c>
      <c r="C402" s="54" t="s">
        <v>173</v>
      </c>
      <c r="D402" s="54" t="s">
        <v>173</v>
      </c>
      <c r="E402" s="54" t="s">
        <v>173</v>
      </c>
      <c r="F402" s="54" t="s">
        <v>173</v>
      </c>
      <c r="G402" s="54" t="s">
        <v>173</v>
      </c>
      <c r="H402" s="54" t="s">
        <v>173</v>
      </c>
      <c r="I402" s="54" t="s">
        <v>173</v>
      </c>
      <c r="J402" s="54" t="s">
        <v>173</v>
      </c>
      <c r="K402" s="54" t="s">
        <v>173</v>
      </c>
      <c r="L402" s="54" t="s">
        <v>173</v>
      </c>
      <c r="M402" s="54" t="s">
        <v>173</v>
      </c>
      <c r="N402" s="54" t="s">
        <v>173</v>
      </c>
      <c r="O402" s="91" t="s">
        <v>173</v>
      </c>
    </row>
    <row r="403" spans="1:15" x14ac:dyDescent="0.25">
      <c r="A403" s="83"/>
      <c r="B403" s="49" t="s">
        <v>195</v>
      </c>
      <c r="C403" s="50">
        <f>C368*(1+$K$68)</f>
        <v>411661.99165734166</v>
      </c>
      <c r="D403" s="50">
        <v>0</v>
      </c>
      <c r="E403" s="50">
        <v>0</v>
      </c>
      <c r="F403" s="50">
        <v>0</v>
      </c>
      <c r="G403" s="50">
        <v>0</v>
      </c>
      <c r="H403" s="50">
        <v>0</v>
      </c>
      <c r="I403" s="50">
        <v>0</v>
      </c>
      <c r="J403" s="50">
        <v>0</v>
      </c>
      <c r="K403" s="50">
        <v>0</v>
      </c>
      <c r="L403" s="50">
        <v>0</v>
      </c>
      <c r="M403" s="50">
        <v>0</v>
      </c>
      <c r="N403" s="50">
        <v>0</v>
      </c>
      <c r="O403" s="90">
        <f t="shared" ref="O403:O406" si="400">SUM(C403:N403)</f>
        <v>411661.99165734166</v>
      </c>
    </row>
    <row r="404" spans="1:15" x14ac:dyDescent="0.25">
      <c r="A404" s="82"/>
      <c r="B404" s="51" t="s">
        <v>178</v>
      </c>
      <c r="C404" s="50">
        <f>C369*(1+$K$68)</f>
        <v>3118651.4519495592</v>
      </c>
      <c r="D404" s="50">
        <f t="shared" ref="D404:N404" si="401">D369*(1+$K$68)</f>
        <v>3118651.4519495592</v>
      </c>
      <c r="E404" s="50">
        <f t="shared" si="401"/>
        <v>3118651.4519495592</v>
      </c>
      <c r="F404" s="50">
        <f t="shared" si="401"/>
        <v>3118651.4519495592</v>
      </c>
      <c r="G404" s="50">
        <f t="shared" si="401"/>
        <v>3118651.4519495592</v>
      </c>
      <c r="H404" s="50">
        <f t="shared" si="401"/>
        <v>3118651.4519495592</v>
      </c>
      <c r="I404" s="50">
        <f t="shared" si="401"/>
        <v>3118651.4519495592</v>
      </c>
      <c r="J404" s="50">
        <f t="shared" si="401"/>
        <v>3118651.4519495592</v>
      </c>
      <c r="K404" s="50">
        <f t="shared" si="401"/>
        <v>3118651.4519495592</v>
      </c>
      <c r="L404" s="50">
        <f t="shared" si="401"/>
        <v>3118651.4519495592</v>
      </c>
      <c r="M404" s="50">
        <f t="shared" si="401"/>
        <v>3118651.4519495592</v>
      </c>
      <c r="N404" s="50">
        <f t="shared" si="401"/>
        <v>3118651.4519495592</v>
      </c>
      <c r="O404" s="90">
        <f t="shared" si="400"/>
        <v>37423817.42339471</v>
      </c>
    </row>
    <row r="405" spans="1:15" x14ac:dyDescent="0.25">
      <c r="A405" s="84"/>
      <c r="B405" s="51" t="s">
        <v>248</v>
      </c>
      <c r="C405" s="50">
        <f>C370*(1+$K$68)</f>
        <v>374238.17423394695</v>
      </c>
      <c r="D405" s="50">
        <f t="shared" ref="D405:N405" si="402">D370*(1+$K$68)</f>
        <v>374238.17423394695</v>
      </c>
      <c r="E405" s="50">
        <f t="shared" si="402"/>
        <v>374238.17423394695</v>
      </c>
      <c r="F405" s="50">
        <f t="shared" si="402"/>
        <v>374238.17423394695</v>
      </c>
      <c r="G405" s="50">
        <f t="shared" si="402"/>
        <v>374238.17423394695</v>
      </c>
      <c r="H405" s="50">
        <f t="shared" si="402"/>
        <v>374238.17423394695</v>
      </c>
      <c r="I405" s="50">
        <f t="shared" si="402"/>
        <v>374238.17423394695</v>
      </c>
      <c r="J405" s="50">
        <f t="shared" si="402"/>
        <v>374238.17423394695</v>
      </c>
      <c r="K405" s="50">
        <f t="shared" si="402"/>
        <v>374238.17423394695</v>
      </c>
      <c r="L405" s="50">
        <f t="shared" si="402"/>
        <v>374238.17423394695</v>
      </c>
      <c r="M405" s="50">
        <f t="shared" si="402"/>
        <v>374238.17423394695</v>
      </c>
      <c r="N405" s="50">
        <f t="shared" si="402"/>
        <v>374238.17423394695</v>
      </c>
      <c r="O405" s="90">
        <f t="shared" si="400"/>
        <v>4490858.0908073634</v>
      </c>
    </row>
    <row r="406" spans="1:15" x14ac:dyDescent="0.25">
      <c r="A406" s="82"/>
      <c r="B406" s="46" t="s">
        <v>207</v>
      </c>
      <c r="C406" s="47">
        <f t="shared" ref="C406:N406" si="403">SUM(C403:C405)</f>
        <v>3904551.6178408479</v>
      </c>
      <c r="D406" s="47">
        <f t="shared" si="403"/>
        <v>3492889.6261835061</v>
      </c>
      <c r="E406" s="47">
        <f t="shared" si="403"/>
        <v>3492889.6261835061</v>
      </c>
      <c r="F406" s="47">
        <f t="shared" si="403"/>
        <v>3492889.6261835061</v>
      </c>
      <c r="G406" s="47">
        <f t="shared" si="403"/>
        <v>3492889.6261835061</v>
      </c>
      <c r="H406" s="47">
        <f t="shared" si="403"/>
        <v>3492889.6261835061</v>
      </c>
      <c r="I406" s="47">
        <f t="shared" si="403"/>
        <v>3492889.6261835061</v>
      </c>
      <c r="J406" s="47">
        <f t="shared" si="403"/>
        <v>3492889.6261835061</v>
      </c>
      <c r="K406" s="47">
        <f t="shared" si="403"/>
        <v>3492889.6261835061</v>
      </c>
      <c r="L406" s="47">
        <f t="shared" si="403"/>
        <v>3492889.6261835061</v>
      </c>
      <c r="M406" s="47">
        <f t="shared" si="403"/>
        <v>3492889.6261835061</v>
      </c>
      <c r="N406" s="47">
        <f t="shared" si="403"/>
        <v>3492889.6261835061</v>
      </c>
      <c r="O406" s="47">
        <f t="shared" si="400"/>
        <v>42326337.50585942</v>
      </c>
    </row>
    <row r="407" spans="1:15" x14ac:dyDescent="0.25">
      <c r="A407" s="82"/>
      <c r="B407" s="55" t="s">
        <v>83</v>
      </c>
      <c r="C407" s="59" t="s">
        <v>173</v>
      </c>
      <c r="D407" s="59" t="s">
        <v>173</v>
      </c>
      <c r="E407" s="59" t="s">
        <v>173</v>
      </c>
      <c r="F407" s="59" t="s">
        <v>173</v>
      </c>
      <c r="G407" s="59" t="s">
        <v>173</v>
      </c>
      <c r="H407" s="59" t="s">
        <v>173</v>
      </c>
      <c r="I407" s="59" t="s">
        <v>173</v>
      </c>
      <c r="J407" s="59" t="s">
        <v>173</v>
      </c>
      <c r="K407" s="59" t="s">
        <v>173</v>
      </c>
      <c r="L407" s="59" t="s">
        <v>173</v>
      </c>
      <c r="M407" s="59" t="s">
        <v>173</v>
      </c>
      <c r="N407" s="59" t="s">
        <v>173</v>
      </c>
      <c r="O407" s="91" t="s">
        <v>173</v>
      </c>
    </row>
    <row r="408" spans="1:15" x14ac:dyDescent="0.25">
      <c r="A408" s="82"/>
      <c r="B408" s="57" t="s">
        <v>210</v>
      </c>
      <c r="C408" s="89">
        <f t="shared" ref="C408:N408" si="404">C373*(1+$K$68)</f>
        <v>4129094.5223812163</v>
      </c>
      <c r="D408" s="89">
        <f t="shared" si="404"/>
        <v>4977367.7173114968</v>
      </c>
      <c r="E408" s="89">
        <f t="shared" si="404"/>
        <v>4590654.9372697482</v>
      </c>
      <c r="F408" s="89">
        <f t="shared" si="404"/>
        <v>4291264.3978825929</v>
      </c>
      <c r="G408" s="89">
        <f t="shared" si="404"/>
        <v>3941975.4352642423</v>
      </c>
      <c r="H408" s="89">
        <f t="shared" si="404"/>
        <v>4939943.8998881001</v>
      </c>
      <c r="I408" s="89">
        <f t="shared" si="404"/>
        <v>5763267.8832027838</v>
      </c>
      <c r="J408" s="89">
        <f t="shared" si="404"/>
        <v>5526250.3728546174</v>
      </c>
      <c r="K408" s="89">
        <f t="shared" si="404"/>
        <v>4266315.186266995</v>
      </c>
      <c r="L408" s="89">
        <f t="shared" si="404"/>
        <v>4378586.6385371806</v>
      </c>
      <c r="M408" s="89">
        <f t="shared" si="404"/>
        <v>4166518.3398046102</v>
      </c>
      <c r="N408" s="89">
        <f t="shared" si="404"/>
        <v>4503332.6966151623</v>
      </c>
      <c r="O408" s="92">
        <f t="shared" ref="O408:O417" si="405">SUM(C408:N408)</f>
        <v>55474572.027278751</v>
      </c>
    </row>
    <row r="409" spans="1:15" x14ac:dyDescent="0.25">
      <c r="A409" s="82"/>
      <c r="B409" s="57" t="s">
        <v>203</v>
      </c>
      <c r="C409" s="89">
        <f t="shared" ref="C409:N409" si="406">C374*(1+$K$68)</f>
        <v>14907153.940318888</v>
      </c>
      <c r="D409" s="89">
        <f t="shared" si="406"/>
        <v>16054817.674636332</v>
      </c>
      <c r="E409" s="89">
        <f t="shared" si="406"/>
        <v>18000856.180652853</v>
      </c>
      <c r="F409" s="89">
        <f t="shared" si="406"/>
        <v>13647218.753731277</v>
      </c>
      <c r="G409" s="89">
        <f t="shared" si="406"/>
        <v>18163026.056154232</v>
      </c>
      <c r="H409" s="89">
        <f t="shared" si="406"/>
        <v>17115159.16829918</v>
      </c>
      <c r="I409" s="89">
        <f t="shared" si="406"/>
        <v>15705528.712017983</v>
      </c>
      <c r="J409" s="89">
        <f t="shared" si="406"/>
        <v>18674484.894273959</v>
      </c>
      <c r="K409" s="89">
        <f t="shared" si="406"/>
        <v>18250348.296808809</v>
      </c>
      <c r="L409" s="89">
        <f t="shared" si="406"/>
        <v>18250348.296808809</v>
      </c>
      <c r="M409" s="89">
        <f t="shared" si="406"/>
        <v>14183626.803466598</v>
      </c>
      <c r="N409" s="89">
        <f t="shared" si="406"/>
        <v>17489397.34253313</v>
      </c>
      <c r="O409" s="92">
        <f t="shared" si="405"/>
        <v>200441966.11970207</v>
      </c>
    </row>
    <row r="410" spans="1:15" x14ac:dyDescent="0.25">
      <c r="A410" s="82"/>
      <c r="B410" s="58" t="s">
        <v>84</v>
      </c>
      <c r="C410" s="89">
        <f t="shared" ref="C410:N410" si="407">C375*(1+$K$68)</f>
        <v>13185658.338842731</v>
      </c>
      <c r="D410" s="89">
        <f t="shared" si="407"/>
        <v>14395695.102199158</v>
      </c>
      <c r="E410" s="89">
        <f t="shared" si="407"/>
        <v>14445593.525430355</v>
      </c>
      <c r="F410" s="89">
        <f t="shared" si="407"/>
        <v>14919628.546126688</v>
      </c>
      <c r="G410" s="89">
        <f t="shared" si="407"/>
        <v>17651567.218034502</v>
      </c>
      <c r="H410" s="89">
        <f t="shared" si="407"/>
        <v>15268917.508745035</v>
      </c>
      <c r="I410" s="89">
        <f t="shared" si="407"/>
        <v>15855223.981711559</v>
      </c>
      <c r="J410" s="89">
        <f t="shared" si="407"/>
        <v>18250348.296808809</v>
      </c>
      <c r="K410" s="89">
        <f t="shared" si="407"/>
        <v>16703497.17664184</v>
      </c>
      <c r="L410" s="89">
        <f t="shared" si="407"/>
        <v>16678547.965026241</v>
      </c>
      <c r="M410" s="89">
        <f t="shared" si="407"/>
        <v>17851160.91095927</v>
      </c>
      <c r="N410" s="89">
        <f t="shared" si="407"/>
        <v>14333322.073160173</v>
      </c>
      <c r="O410" s="92">
        <f t="shared" si="405"/>
        <v>189539160.64368635</v>
      </c>
    </row>
    <row r="411" spans="1:15" x14ac:dyDescent="0.25">
      <c r="A411" s="82"/>
      <c r="B411" s="58" t="s">
        <v>81</v>
      </c>
      <c r="C411" s="89">
        <f t="shared" ref="C411:N411" si="408">C376*(1+$K$284)</f>
        <v>1871190.8711697361</v>
      </c>
      <c r="D411" s="89">
        <f t="shared" si="408"/>
        <v>1871190.8711697361</v>
      </c>
      <c r="E411" s="89">
        <f t="shared" si="408"/>
        <v>1871190.8711697361</v>
      </c>
      <c r="F411" s="89">
        <f t="shared" si="408"/>
        <v>1871190.8711697361</v>
      </c>
      <c r="G411" s="89">
        <f t="shared" si="408"/>
        <v>1871190.8711697361</v>
      </c>
      <c r="H411" s="89">
        <f t="shared" si="408"/>
        <v>1871190.8711697361</v>
      </c>
      <c r="I411" s="89">
        <f t="shared" si="408"/>
        <v>1871190.8711697361</v>
      </c>
      <c r="J411" s="89">
        <f t="shared" si="408"/>
        <v>1871190.8711697361</v>
      </c>
      <c r="K411" s="89">
        <f t="shared" si="408"/>
        <v>1871190.8711697361</v>
      </c>
      <c r="L411" s="89">
        <f t="shared" si="408"/>
        <v>1871190.8711697361</v>
      </c>
      <c r="M411" s="89">
        <f t="shared" si="408"/>
        <v>1871190.8711697361</v>
      </c>
      <c r="N411" s="89">
        <f t="shared" si="408"/>
        <v>1871190.8711697361</v>
      </c>
      <c r="O411" s="92">
        <f t="shared" si="405"/>
        <v>22454290.454036832</v>
      </c>
    </row>
    <row r="412" spans="1:15" x14ac:dyDescent="0.25">
      <c r="A412" s="82"/>
      <c r="B412" s="57" t="s">
        <v>85</v>
      </c>
      <c r="C412" s="89">
        <f t="shared" ref="C412:N412" si="409">C377*(1+$K$68)</f>
        <v>15318815.931976235</v>
      </c>
      <c r="D412" s="89">
        <f t="shared" si="409"/>
        <v>13110810.703995954</v>
      </c>
      <c r="E412" s="89">
        <f t="shared" si="409"/>
        <v>13572371.118884478</v>
      </c>
      <c r="F412" s="89">
        <f t="shared" si="409"/>
        <v>13784439.417617047</v>
      </c>
      <c r="G412" s="89">
        <f t="shared" si="409"/>
        <v>18537264.230388172</v>
      </c>
      <c r="H412" s="89">
        <f t="shared" si="409"/>
        <v>13609794.936307881</v>
      </c>
      <c r="I412" s="89">
        <f t="shared" si="409"/>
        <v>15792850.952672565</v>
      </c>
      <c r="J412" s="89">
        <f t="shared" si="409"/>
        <v>12499555.019413833</v>
      </c>
      <c r="K412" s="89">
        <f t="shared" si="409"/>
        <v>16254411.367561104</v>
      </c>
      <c r="L412" s="89">
        <f t="shared" si="409"/>
        <v>12911217.011071172</v>
      </c>
      <c r="M412" s="89">
        <f t="shared" si="409"/>
        <v>16441530.454678074</v>
      </c>
      <c r="N412" s="89">
        <f t="shared" si="409"/>
        <v>15655630.288786782</v>
      </c>
      <c r="O412" s="92">
        <f t="shared" si="405"/>
        <v>177488691.43335325</v>
      </c>
    </row>
    <row r="413" spans="1:15" x14ac:dyDescent="0.25">
      <c r="A413" s="84"/>
      <c r="B413" s="58" t="s">
        <v>249</v>
      </c>
      <c r="C413" s="89">
        <f t="shared" ref="C413:N413" si="410">C400*5%</f>
        <v>10315258.123401398</v>
      </c>
      <c r="D413" s="89">
        <f t="shared" si="410"/>
        <v>10315258.123401398</v>
      </c>
      <c r="E413" s="89">
        <f t="shared" si="410"/>
        <v>10315258.123401398</v>
      </c>
      <c r="F413" s="89">
        <f t="shared" si="410"/>
        <v>10315258.123401398</v>
      </c>
      <c r="G413" s="89">
        <f t="shared" si="410"/>
        <v>10315258.123401398</v>
      </c>
      <c r="H413" s="89">
        <f t="shared" si="410"/>
        <v>10315258.123401398</v>
      </c>
      <c r="I413" s="89">
        <f t="shared" si="410"/>
        <v>10315258.123401398</v>
      </c>
      <c r="J413" s="89">
        <f t="shared" si="410"/>
        <v>10315258.123401398</v>
      </c>
      <c r="K413" s="89">
        <f t="shared" si="410"/>
        <v>10315258.123401398</v>
      </c>
      <c r="L413" s="89">
        <f t="shared" si="410"/>
        <v>10315258.123401398</v>
      </c>
      <c r="M413" s="89">
        <f t="shared" si="410"/>
        <v>10315258.123401398</v>
      </c>
      <c r="N413" s="89">
        <f t="shared" si="410"/>
        <v>10315258.123401398</v>
      </c>
      <c r="O413" s="92">
        <f t="shared" si="405"/>
        <v>123783097.4808168</v>
      </c>
    </row>
    <row r="414" spans="1:15" x14ac:dyDescent="0.25">
      <c r="A414" s="84"/>
      <c r="B414" s="58" t="s">
        <v>180</v>
      </c>
      <c r="C414" s="89">
        <f>'7.5. Stage 5&amp;6 budget'!C379*(1+'7.5. Stage 5&amp;6 budget'!$K$68)</f>
        <v>18113127.632923033</v>
      </c>
      <c r="D414" s="89">
        <f>'7.5. Stage 5&amp;6 budget'!D379*(1+'7.5. Stage 5&amp;6 budget'!$K$68)</f>
        <v>17876110.122574866</v>
      </c>
      <c r="E414" s="89">
        <f>'7.5. Stage 5&amp;6 budget'!E379*(1+'7.5. Stage 5&amp;6 budget'!$K$68)</f>
        <v>14857255.5170877</v>
      </c>
      <c r="F414" s="89">
        <f>'7.5. Stage 5&amp;6 budget'!F379*(1+'7.5. Stage 5&amp;6 budget'!$K$68)</f>
        <v>16404106.637254685</v>
      </c>
      <c r="G414" s="89">
        <f>'7.5. Stage 5&amp;6 budget'!G379*(1+'7.5. Stage 5&amp;6 budget'!$K$68)</f>
        <v>12936166.222686771</v>
      </c>
      <c r="H414" s="89">
        <f>'7.5. Stage 5&amp;6 budget'!H379*(1+'7.5. Stage 5&amp;6 budget'!$K$68)</f>
        <v>14383220.496391367</v>
      </c>
      <c r="I414" s="89">
        <f>'7.5. Stage 5&amp;6 budget'!I379*(1+'7.5. Stage 5&amp;6 budget'!$K$68)</f>
        <v>14882204.728703301</v>
      </c>
      <c r="J414" s="89">
        <f>'7.5. Stage 5&amp;6 budget'!J379*(1+'7.5. Stage 5&amp;6 budget'!$K$68)</f>
        <v>17639092.612226699</v>
      </c>
      <c r="K414" s="89">
        <f>'7.5. Stage 5&amp;6 budget'!K379*(1+'7.5. Stage 5&amp;6 budget'!$K$68)</f>
        <v>13809388.629232643</v>
      </c>
      <c r="L414" s="89">
        <f>'7.5. Stage 5&amp;6 budget'!L379*(1+'7.5. Stage 5&amp;6 budget'!$K$68)</f>
        <v>14782407.882240901</v>
      </c>
      <c r="M414" s="89">
        <f>'7.5. Stage 5&amp;6 budget'!M379*(1+'7.5. Stage 5&amp;6 budget'!$K$68)</f>
        <v>14807357.093856499</v>
      </c>
      <c r="N414" s="89">
        <f>'7.5. Stage 5&amp;6 budget'!N379*(1+'7.5. Stage 5&amp;6 budget'!$K$68)</f>
        <v>14433118.919622567</v>
      </c>
      <c r="O414" s="92">
        <f t="shared" si="405"/>
        <v>184923556.49480101</v>
      </c>
    </row>
    <row r="415" spans="1:15" x14ac:dyDescent="0.25">
      <c r="A415" s="84"/>
      <c r="B415" s="58" t="s">
        <v>86</v>
      </c>
      <c r="C415" s="89">
        <f>'7.5. Stage 5&amp;6 budget'!C380*(1+'7.5. Stage 5&amp;6 budget'!$K$68)</f>
        <v>13185658.338842731</v>
      </c>
      <c r="D415" s="89">
        <f>'7.5. Stage 5&amp;6 budget'!D380*(1+'7.5. Stage 5&amp;6 budget'!$K$68)</f>
        <v>13035963.069149151</v>
      </c>
      <c r="E415" s="89">
        <f>'7.5. Stage 5&amp;6 budget'!E380*(1+'7.5. Stage 5&amp;6 budget'!$K$68)</f>
        <v>12649250.289107416</v>
      </c>
      <c r="F415" s="89">
        <f>'7.5. Stage 5&amp;6 budget'!F380*(1+'7.5. Stage 5&amp;6 budget'!$K$68)</f>
        <v>16503903.48371706</v>
      </c>
      <c r="G415" s="89">
        <f>'7.5. Stage 5&amp;6 budget'!G380*(1+'7.5. Stage 5&amp;6 budget'!$K$68)</f>
        <v>15356239.749399628</v>
      </c>
      <c r="H415" s="89">
        <f>'7.5. Stage 5&amp;6 budget'!H380*(1+'7.5. Stage 5&amp;6 budget'!$K$68)</f>
        <v>12786470.952993192</v>
      </c>
      <c r="I415" s="89">
        <f>'7.5. Stage 5&amp;6 budget'!I380*(1+'7.5. Stage 5&amp;6 budget'!$K$68)</f>
        <v>17339702.072839547</v>
      </c>
      <c r="J415" s="89">
        <f>'7.5. Stage 5&amp;6 budget'!J380*(1+'7.5. Stage 5&amp;6 budget'!$K$68)</f>
        <v>16641124.147602847</v>
      </c>
      <c r="K415" s="89">
        <f>'7.5. Stage 5&amp;6 budget'!K380*(1+'7.5. Stage 5&amp;6 budget'!$K$68)</f>
        <v>13397726.637575306</v>
      </c>
      <c r="L415" s="89">
        <f>'7.5. Stage 5&amp;6 budget'!L380*(1+'7.5. Stage 5&amp;6 budget'!$K$68)</f>
        <v>13859287.052463839</v>
      </c>
      <c r="M415" s="89">
        <f>'7.5. Stage 5&amp;6 budget'!M380*(1+'7.5. Stage 5&amp;6 budget'!$K$68)</f>
        <v>16853192.446335413</v>
      </c>
      <c r="N415" s="89">
        <f>'7.5. Stage 5&amp;6 budget'!N380*(1+'7.5. Stage 5&amp;6 budget'!$K$68)</f>
        <v>17738889.458689097</v>
      </c>
      <c r="O415" s="92">
        <f t="shared" si="405"/>
        <v>179347407.69871518</v>
      </c>
    </row>
    <row r="416" spans="1:15" x14ac:dyDescent="0.25">
      <c r="A416" s="82"/>
      <c r="B416" s="46" t="s">
        <v>208</v>
      </c>
      <c r="C416" s="47">
        <f t="shared" ref="C416:N416" si="411">SUM(C408:C415)</f>
        <v>91025957.699855968</v>
      </c>
      <c r="D416" s="47">
        <f t="shared" si="411"/>
        <v>91637213.384438083</v>
      </c>
      <c r="E416" s="47">
        <f t="shared" si="411"/>
        <v>90302430.563003689</v>
      </c>
      <c r="F416" s="47">
        <f t="shared" si="411"/>
        <v>91737010.230900466</v>
      </c>
      <c r="G416" s="47">
        <f t="shared" si="411"/>
        <v>98772687.906498685</v>
      </c>
      <c r="H416" s="47">
        <f t="shared" si="411"/>
        <v>90289955.957195878</v>
      </c>
      <c r="I416" s="47">
        <f t="shared" si="411"/>
        <v>97525227.325718865</v>
      </c>
      <c r="J416" s="47">
        <f t="shared" si="411"/>
        <v>101417304.3377519</v>
      </c>
      <c r="K416" s="47">
        <f t="shared" si="411"/>
        <v>94868136.288657844</v>
      </c>
      <c r="L416" s="47">
        <f t="shared" si="411"/>
        <v>93046843.840719283</v>
      </c>
      <c r="M416" s="47">
        <f t="shared" si="411"/>
        <v>96489835.043671608</v>
      </c>
      <c r="N416" s="47">
        <f t="shared" si="411"/>
        <v>96340139.77397804</v>
      </c>
      <c r="O416" s="47">
        <f t="shared" si="405"/>
        <v>1133452742.3523903</v>
      </c>
    </row>
    <row r="417" spans="1:25" x14ac:dyDescent="0.25">
      <c r="A417" s="82"/>
      <c r="B417" s="60" t="s">
        <v>87</v>
      </c>
      <c r="C417" s="47">
        <f t="shared" ref="C417:N417" si="412">C406+C416</f>
        <v>94930509.31769681</v>
      </c>
      <c r="D417" s="47">
        <f t="shared" si="412"/>
        <v>95130103.010621592</v>
      </c>
      <c r="E417" s="47">
        <f t="shared" si="412"/>
        <v>93795320.189187199</v>
      </c>
      <c r="F417" s="47">
        <f t="shared" si="412"/>
        <v>95229899.857083976</v>
      </c>
      <c r="G417" s="47">
        <f t="shared" si="412"/>
        <v>102265577.5326822</v>
      </c>
      <c r="H417" s="47">
        <f t="shared" si="412"/>
        <v>93782845.583379388</v>
      </c>
      <c r="I417" s="47">
        <f t="shared" si="412"/>
        <v>101018116.95190237</v>
      </c>
      <c r="J417" s="47">
        <f t="shared" si="412"/>
        <v>104910193.96393541</v>
      </c>
      <c r="K417" s="47">
        <f t="shared" si="412"/>
        <v>98361025.914841354</v>
      </c>
      <c r="L417" s="47">
        <f t="shared" si="412"/>
        <v>96539733.466902792</v>
      </c>
      <c r="M417" s="47">
        <f t="shared" si="412"/>
        <v>99982724.669855118</v>
      </c>
      <c r="N417" s="47">
        <f t="shared" si="412"/>
        <v>99833029.400161549</v>
      </c>
      <c r="O417" s="47">
        <f t="shared" si="405"/>
        <v>1175779079.8582497</v>
      </c>
    </row>
    <row r="418" spans="1:25" s="11" customFormat="1" x14ac:dyDescent="0.25">
      <c r="A418" s="82"/>
      <c r="B418" s="108" t="s">
        <v>204</v>
      </c>
      <c r="C418" s="109">
        <f>$O417*(3/12)/12</f>
        <v>24495397.497046869</v>
      </c>
      <c r="D418" s="109">
        <f t="shared" ref="D418" si="413">$O417*(3/12)/12</f>
        <v>24495397.497046869</v>
      </c>
      <c r="E418" s="109">
        <f t="shared" ref="E418" si="414">$O417*(3/12)/12</f>
        <v>24495397.497046869</v>
      </c>
      <c r="F418" s="109">
        <f t="shared" ref="F418" si="415">$O417*(3/12)/12</f>
        <v>24495397.497046869</v>
      </c>
      <c r="G418" s="109">
        <f t="shared" ref="G418" si="416">$O417*(3/12)/12</f>
        <v>24495397.497046869</v>
      </c>
      <c r="H418" s="109">
        <f t="shared" ref="H418" si="417">$O417*(3/12)/12</f>
        <v>24495397.497046869</v>
      </c>
      <c r="I418" s="109">
        <f t="shared" ref="I418" si="418">$O417*(3/12)/12</f>
        <v>24495397.497046869</v>
      </c>
      <c r="J418" s="109">
        <f t="shared" ref="J418" si="419">$O417*(3/12)/12</f>
        <v>24495397.497046869</v>
      </c>
      <c r="K418" s="109">
        <f t="shared" ref="K418" si="420">$O417*(3/12)/12</f>
        <v>24495397.497046869</v>
      </c>
      <c r="L418" s="109">
        <f t="shared" ref="L418" si="421">$O417*(3/12)/12</f>
        <v>24495397.497046869</v>
      </c>
      <c r="M418" s="109">
        <f t="shared" ref="M418" si="422">$O417*(3/12)/12</f>
        <v>24495397.497046869</v>
      </c>
      <c r="N418" s="109">
        <f t="shared" ref="N418" si="423">$O417*(3/12)/12</f>
        <v>24495397.497046869</v>
      </c>
      <c r="O418" s="109">
        <f t="shared" ref="O418:O422" si="424">SUM(C418:N418)</f>
        <v>293944769.96456242</v>
      </c>
      <c r="P418" s="43"/>
      <c r="Q418" s="43"/>
      <c r="R418" s="40"/>
      <c r="S418" s="40"/>
      <c r="T418" s="40"/>
      <c r="U418" s="40"/>
      <c r="V418" s="40"/>
      <c r="W418" s="40"/>
      <c r="X418" s="40"/>
      <c r="Y418" s="40"/>
    </row>
    <row r="419" spans="1:25" s="11" customFormat="1" x14ac:dyDescent="0.25">
      <c r="A419" s="82"/>
      <c r="B419" s="108" t="s">
        <v>82</v>
      </c>
      <c r="C419" s="109">
        <f>'6. Mortgage payment'!$C$7</f>
        <v>28168245.060798287</v>
      </c>
      <c r="D419" s="109">
        <f>'6. Mortgage payment'!$C$7</f>
        <v>28168245.060798287</v>
      </c>
      <c r="E419" s="109">
        <f>'6. Mortgage payment'!$C$7</f>
        <v>28168245.060798287</v>
      </c>
      <c r="F419" s="109">
        <f>'6. Mortgage payment'!$C$7</f>
        <v>28168245.060798287</v>
      </c>
      <c r="G419" s="109">
        <f>'6. Mortgage payment'!$C$7</f>
        <v>28168245.060798287</v>
      </c>
      <c r="H419" s="109">
        <f>'6. Mortgage payment'!$C$7</f>
        <v>28168245.060798287</v>
      </c>
      <c r="I419" s="109">
        <f>'6. Mortgage payment'!$C$7</f>
        <v>28168245.060798287</v>
      </c>
      <c r="J419" s="109">
        <f>'6. Mortgage payment'!$C$7</f>
        <v>28168245.060798287</v>
      </c>
      <c r="K419" s="109">
        <f>'6. Mortgage payment'!$C$7</f>
        <v>28168245.060798287</v>
      </c>
      <c r="L419" s="109">
        <f>'6. Mortgage payment'!$C$7</f>
        <v>28168245.060798287</v>
      </c>
      <c r="M419" s="109">
        <f>'6. Mortgage payment'!$C$7</f>
        <v>28168245.060798287</v>
      </c>
      <c r="N419" s="109">
        <f>'6. Mortgage payment'!$C$7</f>
        <v>28168245.060798287</v>
      </c>
      <c r="O419" s="109">
        <f t="shared" si="424"/>
        <v>338018940.72957945</v>
      </c>
      <c r="P419" s="43"/>
      <c r="Q419" s="43"/>
      <c r="R419" s="40"/>
      <c r="S419" s="40"/>
      <c r="T419" s="40"/>
      <c r="U419" s="40"/>
      <c r="V419" s="40"/>
      <c r="W419" s="40"/>
      <c r="X419" s="40"/>
      <c r="Y419" s="40"/>
    </row>
    <row r="420" spans="1:25" s="11" customFormat="1" x14ac:dyDescent="0.25">
      <c r="A420" s="82"/>
      <c r="B420" s="108" t="s">
        <v>251</v>
      </c>
      <c r="C420" s="109">
        <f>-PMT(4%,18*12,(150000000*8)/(1+4%)^18)</f>
        <v>23699110.369091634</v>
      </c>
      <c r="D420" s="109">
        <f t="shared" ref="D420:N420" si="425">-PMT(4%,18*12,(150000000*8)/(1+4%)^18)</f>
        <v>23699110.369091634</v>
      </c>
      <c r="E420" s="109">
        <f t="shared" si="425"/>
        <v>23699110.369091634</v>
      </c>
      <c r="F420" s="109">
        <f t="shared" si="425"/>
        <v>23699110.369091634</v>
      </c>
      <c r="G420" s="109">
        <f t="shared" si="425"/>
        <v>23699110.369091634</v>
      </c>
      <c r="H420" s="109">
        <f t="shared" si="425"/>
        <v>23699110.369091634</v>
      </c>
      <c r="I420" s="109">
        <f t="shared" si="425"/>
        <v>23699110.369091634</v>
      </c>
      <c r="J420" s="109">
        <f t="shared" si="425"/>
        <v>23699110.369091634</v>
      </c>
      <c r="K420" s="109">
        <f t="shared" si="425"/>
        <v>23699110.369091634</v>
      </c>
      <c r="L420" s="109">
        <f t="shared" si="425"/>
        <v>23699110.369091634</v>
      </c>
      <c r="M420" s="109">
        <f t="shared" si="425"/>
        <v>23699110.369091634</v>
      </c>
      <c r="N420" s="109">
        <f t="shared" si="425"/>
        <v>23699110.369091634</v>
      </c>
      <c r="O420" s="109">
        <f>SUM(C420:N420)</f>
        <v>284389324.42909962</v>
      </c>
      <c r="P420" s="43"/>
      <c r="Q420" s="43"/>
      <c r="R420" s="40"/>
      <c r="S420" s="40"/>
      <c r="T420" s="40"/>
      <c r="U420" s="40"/>
      <c r="V420" s="40"/>
      <c r="W420" s="40"/>
      <c r="X420" s="40"/>
      <c r="Y420" s="40"/>
    </row>
    <row r="421" spans="1:25" s="11" customFormat="1" x14ac:dyDescent="0.25">
      <c r="A421" s="82"/>
      <c r="B421" s="108" t="s">
        <v>386</v>
      </c>
      <c r="C421" s="109">
        <f>C386*(1+$K$68)</f>
        <v>3418152.1031321362</v>
      </c>
      <c r="D421" s="109">
        <v>0</v>
      </c>
      <c r="E421" s="109">
        <v>0</v>
      </c>
      <c r="F421" s="109">
        <v>0</v>
      </c>
      <c r="G421" s="109">
        <v>0</v>
      </c>
      <c r="H421" s="109">
        <v>0</v>
      </c>
      <c r="I421" s="109">
        <v>0</v>
      </c>
      <c r="J421" s="109">
        <v>0</v>
      </c>
      <c r="K421" s="109">
        <v>0</v>
      </c>
      <c r="L421" s="109">
        <v>0</v>
      </c>
      <c r="M421" s="109">
        <v>0</v>
      </c>
      <c r="N421" s="109">
        <v>0</v>
      </c>
      <c r="O421" s="109">
        <f t="shared" si="424"/>
        <v>3418152.1031321362</v>
      </c>
      <c r="P421" s="43"/>
      <c r="Q421" s="43"/>
      <c r="R421" s="40"/>
      <c r="S421" s="40"/>
      <c r="T421" s="40"/>
      <c r="U421" s="40"/>
      <c r="V421" s="40"/>
      <c r="W421" s="40"/>
      <c r="X421" s="40"/>
      <c r="Y421" s="40"/>
    </row>
    <row r="422" spans="1:25" s="11" customFormat="1" x14ac:dyDescent="0.25">
      <c r="A422" s="82"/>
      <c r="B422" s="60" t="s">
        <v>206</v>
      </c>
      <c r="C422" s="61">
        <f>C400-C417-C418-C419-C421-C420</f>
        <v>31593748.120262209</v>
      </c>
      <c r="D422" s="61">
        <f t="shared" ref="D422:N422" si="426">D400-D417-D418-D419-D421-D420</f>
        <v>34812306.530469567</v>
      </c>
      <c r="E422" s="61">
        <f t="shared" si="426"/>
        <v>36147089.35190396</v>
      </c>
      <c r="F422" s="61">
        <f t="shared" si="426"/>
        <v>34712509.684007183</v>
      </c>
      <c r="G422" s="61">
        <f t="shared" si="426"/>
        <v>27676832.00840896</v>
      </c>
      <c r="H422" s="61">
        <f t="shared" si="426"/>
        <v>36159563.957711771</v>
      </c>
      <c r="I422" s="61">
        <f t="shared" si="426"/>
        <v>28924292.589188781</v>
      </c>
      <c r="J422" s="61">
        <f t="shared" si="426"/>
        <v>25032215.57715575</v>
      </c>
      <c r="K422" s="61">
        <f t="shared" si="426"/>
        <v>31581383.626249801</v>
      </c>
      <c r="L422" s="61">
        <f t="shared" si="426"/>
        <v>33402676.074188363</v>
      </c>
      <c r="M422" s="61">
        <f t="shared" si="426"/>
        <v>29959684.871236037</v>
      </c>
      <c r="N422" s="61">
        <f t="shared" si="426"/>
        <v>30109380.140929606</v>
      </c>
      <c r="O422" s="47">
        <f t="shared" si="424"/>
        <v>380111682.53171194</v>
      </c>
      <c r="P422" s="43"/>
      <c r="Q422" s="43"/>
      <c r="R422" s="40"/>
      <c r="S422" s="40"/>
      <c r="T422" s="40"/>
      <c r="U422" s="40"/>
      <c r="V422" s="40"/>
      <c r="W422" s="40"/>
      <c r="X422" s="40"/>
      <c r="Y422" s="40"/>
    </row>
    <row r="423" spans="1:25" x14ac:dyDescent="0.25">
      <c r="A423" s="85"/>
      <c r="B423" s="40"/>
      <c r="C423" s="40"/>
      <c r="D423" s="40"/>
      <c r="E423" s="40"/>
      <c r="F423" s="40"/>
      <c r="G423" s="40"/>
      <c r="H423" s="40"/>
      <c r="I423" s="40"/>
      <c r="J423" s="40"/>
      <c r="K423" s="40"/>
      <c r="L423" s="353" t="s">
        <v>217</v>
      </c>
      <c r="M423" s="354"/>
      <c r="N423" s="350">
        <f>SUM(C422:N422)+N388</f>
        <v>12226965668.696175</v>
      </c>
      <c r="O423" s="40"/>
    </row>
    <row r="424" spans="1:25" x14ac:dyDescent="0.25">
      <c r="A424" s="85"/>
      <c r="B424" s="40"/>
      <c r="C424" s="40"/>
      <c r="D424" s="40"/>
      <c r="E424" s="40"/>
      <c r="F424" s="40"/>
      <c r="G424" s="40"/>
      <c r="H424" s="40"/>
      <c r="I424" s="40"/>
      <c r="J424" s="40"/>
      <c r="K424" s="40"/>
      <c r="L424" s="320"/>
      <c r="M424" s="355"/>
      <c r="N424" s="351"/>
      <c r="O424" s="40"/>
    </row>
    <row r="425" spans="1:25" x14ac:dyDescent="0.25">
      <c r="A425" s="85"/>
      <c r="B425" s="319" t="s">
        <v>632</v>
      </c>
      <c r="C425" s="352" t="s">
        <v>173</v>
      </c>
      <c r="D425" s="352"/>
      <c r="E425" s="352"/>
      <c r="F425" s="352"/>
      <c r="G425" s="352"/>
      <c r="H425" s="352"/>
      <c r="I425" s="40"/>
      <c r="J425" s="358" t="s">
        <v>231</v>
      </c>
      <c r="K425" s="359">
        <v>0.04</v>
      </c>
      <c r="L425" s="40"/>
      <c r="M425" s="40"/>
      <c r="N425" s="40"/>
      <c r="O425" s="361"/>
    </row>
    <row r="426" spans="1:25" x14ac:dyDescent="0.25">
      <c r="A426" s="85"/>
      <c r="B426" s="319"/>
      <c r="C426" s="352"/>
      <c r="D426" s="352"/>
      <c r="E426" s="352"/>
      <c r="F426" s="352"/>
      <c r="G426" s="352"/>
      <c r="H426" s="352"/>
      <c r="I426" s="40"/>
      <c r="J426" s="358"/>
      <c r="K426" s="360"/>
      <c r="L426" s="40"/>
      <c r="M426" s="40"/>
      <c r="N426" s="40"/>
      <c r="O426" s="362"/>
    </row>
    <row r="427" spans="1:25" x14ac:dyDescent="0.25">
      <c r="A427" s="85"/>
      <c r="B427" s="319"/>
      <c r="C427" s="352"/>
      <c r="D427" s="352"/>
      <c r="E427" s="352"/>
      <c r="F427" s="352"/>
      <c r="G427" s="352"/>
      <c r="H427" s="352"/>
      <c r="I427" s="40"/>
      <c r="J427" s="40"/>
      <c r="K427" s="40"/>
      <c r="L427" s="40"/>
      <c r="M427" s="40"/>
      <c r="N427" s="40"/>
      <c r="O427" s="40"/>
    </row>
  </sheetData>
  <mergeCells count="96">
    <mergeCell ref="B1:O2"/>
    <mergeCell ref="L30:M31"/>
    <mergeCell ref="N30:N31"/>
    <mergeCell ref="B32:B34"/>
    <mergeCell ref="C32:H34"/>
    <mergeCell ref="J32:J33"/>
    <mergeCell ref="K32:K33"/>
    <mergeCell ref="O32:O33"/>
    <mergeCell ref="B37:O38"/>
    <mergeCell ref="L66:M67"/>
    <mergeCell ref="N66:N67"/>
    <mergeCell ref="B68:B70"/>
    <mergeCell ref="C68:H70"/>
    <mergeCell ref="J68:J69"/>
    <mergeCell ref="K68:K69"/>
    <mergeCell ref="O68:O69"/>
    <mergeCell ref="B73:O74"/>
    <mergeCell ref="L102:M103"/>
    <mergeCell ref="N102:N103"/>
    <mergeCell ref="B104:B106"/>
    <mergeCell ref="C104:H106"/>
    <mergeCell ref="J104:J105"/>
    <mergeCell ref="K104:K105"/>
    <mergeCell ref="O104:O105"/>
    <mergeCell ref="B109:O110"/>
    <mergeCell ref="L138:M139"/>
    <mergeCell ref="N138:N139"/>
    <mergeCell ref="B140:B142"/>
    <mergeCell ref="C140:H142"/>
    <mergeCell ref="J140:J141"/>
    <mergeCell ref="K140:K141"/>
    <mergeCell ref="O140:O141"/>
    <mergeCell ref="B145:O146"/>
    <mergeCell ref="L174:M175"/>
    <mergeCell ref="N174:N175"/>
    <mergeCell ref="B176:B178"/>
    <mergeCell ref="C176:H178"/>
    <mergeCell ref="J176:J177"/>
    <mergeCell ref="K176:K177"/>
    <mergeCell ref="O176:O177"/>
    <mergeCell ref="B181:O182"/>
    <mergeCell ref="L210:M211"/>
    <mergeCell ref="N210:N211"/>
    <mergeCell ref="B212:B214"/>
    <mergeCell ref="C212:H214"/>
    <mergeCell ref="J212:J213"/>
    <mergeCell ref="K212:K213"/>
    <mergeCell ref="O212:O213"/>
    <mergeCell ref="B217:O218"/>
    <mergeCell ref="L246:M247"/>
    <mergeCell ref="N246:N247"/>
    <mergeCell ref="B248:B250"/>
    <mergeCell ref="C248:H250"/>
    <mergeCell ref="J248:J249"/>
    <mergeCell ref="K248:K249"/>
    <mergeCell ref="O248:O249"/>
    <mergeCell ref="B253:O254"/>
    <mergeCell ref="L282:M283"/>
    <mergeCell ref="N282:N283"/>
    <mergeCell ref="B284:B286"/>
    <mergeCell ref="C284:H286"/>
    <mergeCell ref="J284:J285"/>
    <mergeCell ref="K284:K285"/>
    <mergeCell ref="O284:O285"/>
    <mergeCell ref="B289:O290"/>
    <mergeCell ref="L318:M319"/>
    <mergeCell ref="N318:N319"/>
    <mergeCell ref="B320:B322"/>
    <mergeCell ref="C320:H322"/>
    <mergeCell ref="J320:J321"/>
    <mergeCell ref="K320:K321"/>
    <mergeCell ref="O320:O321"/>
    <mergeCell ref="B325:O326"/>
    <mergeCell ref="L353:M354"/>
    <mergeCell ref="N353:N354"/>
    <mergeCell ref="B355:B357"/>
    <mergeCell ref="C355:H357"/>
    <mergeCell ref="J355:J356"/>
    <mergeCell ref="K355:K356"/>
    <mergeCell ref="O355:O356"/>
    <mergeCell ref="B360:O361"/>
    <mergeCell ref="L388:M389"/>
    <mergeCell ref="N388:N389"/>
    <mergeCell ref="B390:B392"/>
    <mergeCell ref="C390:H392"/>
    <mergeCell ref="J390:J391"/>
    <mergeCell ref="K390:K391"/>
    <mergeCell ref="O390:O391"/>
    <mergeCell ref="B395:O396"/>
    <mergeCell ref="L423:M424"/>
    <mergeCell ref="N423:N424"/>
    <mergeCell ref="B425:B427"/>
    <mergeCell ref="C425:H427"/>
    <mergeCell ref="J425:J426"/>
    <mergeCell ref="K425:K426"/>
    <mergeCell ref="O425:O42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4BF46-B315-4C7B-B7BC-DDAD457689F9}">
  <dimension ref="A1:Y201"/>
  <sheetViews>
    <sheetView showGridLines="0" topLeftCell="A181" zoomScale="85" zoomScaleNormal="85" workbookViewId="0">
      <selection activeCell="P12" sqref="P12"/>
    </sheetView>
  </sheetViews>
  <sheetFormatPr defaultRowHeight="13.2" x14ac:dyDescent="0.25"/>
  <cols>
    <col min="2" max="2" width="43.88671875" bestFit="1" customWidth="1"/>
    <col min="3" max="9" width="12.33203125" bestFit="1" customWidth="1"/>
    <col min="10" max="10" width="13.6640625" customWidth="1"/>
    <col min="11" max="13" width="12.33203125" bestFit="1" customWidth="1"/>
    <col min="14" max="14" width="14.88671875" bestFit="1" customWidth="1"/>
    <col min="15" max="15" width="15.109375" bestFit="1" customWidth="1"/>
  </cols>
  <sheetData>
    <row r="1" spans="1:15" ht="24.6" x14ac:dyDescent="0.25">
      <c r="A1" s="96"/>
      <c r="B1" s="348" t="s">
        <v>272</v>
      </c>
      <c r="C1" s="348"/>
      <c r="D1" s="348"/>
      <c r="E1" s="348"/>
      <c r="F1" s="348"/>
      <c r="G1" s="348"/>
      <c r="H1" s="348"/>
      <c r="I1" s="348"/>
      <c r="J1" s="348"/>
      <c r="K1" s="348"/>
      <c r="L1" s="348"/>
      <c r="M1" s="348"/>
      <c r="N1" s="348"/>
      <c r="O1" s="348"/>
    </row>
    <row r="2" spans="1:15" ht="24.6" x14ac:dyDescent="0.25">
      <c r="A2" s="96"/>
      <c r="B2" s="349"/>
      <c r="C2" s="349"/>
      <c r="D2" s="349"/>
      <c r="E2" s="349"/>
      <c r="F2" s="349"/>
      <c r="G2" s="349"/>
      <c r="H2" s="349"/>
      <c r="I2" s="349"/>
      <c r="J2" s="349"/>
      <c r="K2" s="349"/>
      <c r="L2" s="349"/>
      <c r="M2" s="349"/>
      <c r="N2" s="349"/>
      <c r="O2" s="349"/>
    </row>
    <row r="3" spans="1:15"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row>
    <row r="4" spans="1:15" x14ac:dyDescent="0.25">
      <c r="A4" s="82"/>
      <c r="B4" s="44" t="s">
        <v>194</v>
      </c>
      <c r="C4" s="45">
        <f>'3.1. My Income Tax Calculation'!$P$32/12</f>
        <v>143009137.35856709</v>
      </c>
      <c r="D4" s="45">
        <f>'3.1. My Income Tax Calculation'!$P$32/12</f>
        <v>143009137.35856709</v>
      </c>
      <c r="E4" s="45">
        <f>'3.1. My Income Tax Calculation'!$P$32/12</f>
        <v>143009137.35856709</v>
      </c>
      <c r="F4" s="45">
        <f>'3.1. My Income Tax Calculation'!$P$32/12</f>
        <v>143009137.35856709</v>
      </c>
      <c r="G4" s="45">
        <f>'3.1. My Income Tax Calculation'!$P$32/12</f>
        <v>143009137.35856709</v>
      </c>
      <c r="H4" s="45">
        <f>'3.1. My Income Tax Calculation'!$P$32/12</f>
        <v>143009137.35856709</v>
      </c>
      <c r="I4" s="45">
        <f>'3.1. My Income Tax Calculation'!$P$32/12</f>
        <v>143009137.35856709</v>
      </c>
      <c r="J4" s="45">
        <f>'3.1. My Income Tax Calculation'!$P$32/12</f>
        <v>143009137.35856709</v>
      </c>
      <c r="K4" s="45">
        <f>'3.1. My Income Tax Calculation'!$P$32/12</f>
        <v>143009137.35856709</v>
      </c>
      <c r="L4" s="45">
        <f>'3.1. My Income Tax Calculation'!$P$32/12</f>
        <v>143009137.35856709</v>
      </c>
      <c r="M4" s="45">
        <f>'3.1. My Income Tax Calculation'!$P$32/12</f>
        <v>143009137.35856709</v>
      </c>
      <c r="N4" s="45">
        <f>'3.1. My Income Tax Calculation'!$P$32/12</f>
        <v>143009137.35856709</v>
      </c>
      <c r="O4" s="45" t="s">
        <v>173</v>
      </c>
    </row>
    <row r="5" spans="1:15" x14ac:dyDescent="0.25">
      <c r="A5" s="82"/>
      <c r="B5" s="44" t="s">
        <v>246</v>
      </c>
      <c r="C5" s="45">
        <f>'3.2. My wife''s Tax Calc'!$P$32/12</f>
        <v>64267258.322526872</v>
      </c>
      <c r="D5" s="45">
        <f>'3.2. My wife''s Tax Calc'!$P$32/12</f>
        <v>64267258.322526872</v>
      </c>
      <c r="E5" s="45">
        <f>'3.2. My wife''s Tax Calc'!$P$32/12</f>
        <v>64267258.322526872</v>
      </c>
      <c r="F5" s="45">
        <f>'3.2. My wife''s Tax Calc'!$P$32/12</f>
        <v>64267258.322526872</v>
      </c>
      <c r="G5" s="45">
        <f>'3.2. My wife''s Tax Calc'!$P$32/12</f>
        <v>64267258.322526872</v>
      </c>
      <c r="H5" s="45">
        <f>'3.2. My wife''s Tax Calc'!$P$32/12</f>
        <v>64267258.322526872</v>
      </c>
      <c r="I5" s="45">
        <f>'3.2. My wife''s Tax Calc'!$P$32/12</f>
        <v>64267258.322526872</v>
      </c>
      <c r="J5" s="45">
        <f>'3.2. My wife''s Tax Calc'!$P$32/12</f>
        <v>64267258.322526872</v>
      </c>
      <c r="K5" s="45">
        <f>'3.2. My wife''s Tax Calc'!$P$32/12</f>
        <v>64267258.322526872</v>
      </c>
      <c r="L5" s="45">
        <f>'3.2. My wife''s Tax Calc'!$P$32/12</f>
        <v>64267258.322526872</v>
      </c>
      <c r="M5" s="45">
        <f>'3.2. My wife''s Tax Calc'!$P$32/12</f>
        <v>64267258.322526872</v>
      </c>
      <c r="N5" s="45">
        <f>'3.2. My wife''s Tax Calc'!$P$32/12</f>
        <v>64267258.322526872</v>
      </c>
      <c r="O5" s="45" t="s">
        <v>173</v>
      </c>
    </row>
    <row r="6" spans="1:15" x14ac:dyDescent="0.25">
      <c r="A6" s="82"/>
      <c r="B6" s="46" t="s">
        <v>209</v>
      </c>
      <c r="C6" s="47">
        <f>SUM(C4:C5)</f>
        <v>207276395.68109396</v>
      </c>
      <c r="D6" s="47">
        <f t="shared" ref="D6:J6" si="0">SUM(D4:D5)</f>
        <v>207276395.68109396</v>
      </c>
      <c r="E6" s="47">
        <f t="shared" si="0"/>
        <v>207276395.68109396</v>
      </c>
      <c r="F6" s="47">
        <f t="shared" si="0"/>
        <v>207276395.68109396</v>
      </c>
      <c r="G6" s="47">
        <f t="shared" si="0"/>
        <v>207276395.68109396</v>
      </c>
      <c r="H6" s="47">
        <f t="shared" si="0"/>
        <v>207276395.68109396</v>
      </c>
      <c r="I6" s="47">
        <f t="shared" si="0"/>
        <v>207276395.68109396</v>
      </c>
      <c r="J6" s="47">
        <f t="shared" si="0"/>
        <v>207276395.68109396</v>
      </c>
      <c r="K6" s="47">
        <f>SUM(K4:K5)</f>
        <v>207276395.68109396</v>
      </c>
      <c r="L6" s="47">
        <f t="shared" ref="L6:N6" si="1">SUM(L4:L5)</f>
        <v>207276395.68109396</v>
      </c>
      <c r="M6" s="47">
        <f t="shared" si="1"/>
        <v>207276395.68109396</v>
      </c>
      <c r="N6" s="47">
        <f t="shared" si="1"/>
        <v>207276395.68109396</v>
      </c>
      <c r="O6" s="47">
        <f>SUM(C6:N6)</f>
        <v>2487316748.1731277</v>
      </c>
    </row>
    <row r="7" spans="1:15" x14ac:dyDescent="0.25">
      <c r="A7" s="82"/>
      <c r="B7" s="52" t="s">
        <v>78</v>
      </c>
      <c r="C7" s="53" t="s">
        <v>173</v>
      </c>
      <c r="D7" s="53" t="s">
        <v>173</v>
      </c>
      <c r="E7" s="53" t="s">
        <v>173</v>
      </c>
      <c r="F7" s="53" t="s">
        <v>173</v>
      </c>
      <c r="G7" s="53" t="s">
        <v>173</v>
      </c>
      <c r="H7" s="53" t="s">
        <v>173</v>
      </c>
      <c r="I7" s="53" t="s">
        <v>173</v>
      </c>
      <c r="J7" s="53" t="s">
        <v>173</v>
      </c>
      <c r="K7" s="53" t="s">
        <v>173</v>
      </c>
      <c r="L7" s="53" t="s">
        <v>173</v>
      </c>
      <c r="M7" s="53" t="s">
        <v>173</v>
      </c>
      <c r="N7" s="53" t="s">
        <v>173</v>
      </c>
      <c r="O7" s="91" t="s">
        <v>173</v>
      </c>
    </row>
    <row r="8" spans="1:15" x14ac:dyDescent="0.25">
      <c r="A8" s="82"/>
      <c r="B8" s="48" t="s">
        <v>79</v>
      </c>
      <c r="C8" s="54" t="s">
        <v>173</v>
      </c>
      <c r="D8" s="54" t="s">
        <v>173</v>
      </c>
      <c r="E8" s="54" t="s">
        <v>173</v>
      </c>
      <c r="F8" s="54" t="s">
        <v>173</v>
      </c>
      <c r="G8" s="54" t="s">
        <v>173</v>
      </c>
      <c r="H8" s="54" t="s">
        <v>173</v>
      </c>
      <c r="I8" s="54" t="s">
        <v>173</v>
      </c>
      <c r="J8" s="54" t="s">
        <v>173</v>
      </c>
      <c r="K8" s="54" t="s">
        <v>173</v>
      </c>
      <c r="L8" s="54" t="s">
        <v>173</v>
      </c>
      <c r="M8" s="54" t="s">
        <v>173</v>
      </c>
      <c r="N8" s="54" t="s">
        <v>173</v>
      </c>
      <c r="O8" s="91" t="s">
        <v>173</v>
      </c>
    </row>
    <row r="9" spans="1:15" x14ac:dyDescent="0.25">
      <c r="A9" s="83"/>
      <c r="B9" s="49" t="s">
        <v>195</v>
      </c>
      <c r="C9" s="50">
        <f>'7.5. Stage 5&amp;6 budget'!C403*(1+'7.6. Stage 7&amp;8 budget'!$K$30)</f>
        <v>428128.47132363531</v>
      </c>
      <c r="D9" s="50">
        <v>0</v>
      </c>
      <c r="E9" s="50">
        <v>0</v>
      </c>
      <c r="F9" s="50">
        <v>0</v>
      </c>
      <c r="G9" s="50">
        <v>0</v>
      </c>
      <c r="H9" s="50">
        <v>0</v>
      </c>
      <c r="I9" s="50">
        <v>0</v>
      </c>
      <c r="J9" s="50">
        <v>0</v>
      </c>
      <c r="K9" s="50">
        <v>0</v>
      </c>
      <c r="L9" s="50">
        <v>0</v>
      </c>
      <c r="M9" s="50">
        <v>0</v>
      </c>
      <c r="N9" s="50">
        <v>0</v>
      </c>
      <c r="O9" s="90">
        <f t="shared" ref="O9:O12" si="2">SUM(C9:N9)</f>
        <v>428128.47132363531</v>
      </c>
    </row>
    <row r="10" spans="1:15" x14ac:dyDescent="0.25">
      <c r="A10" s="82"/>
      <c r="B10" s="51" t="s">
        <v>178</v>
      </c>
      <c r="C10" s="50">
        <f>'7.5. Stage 5&amp;6 budget'!C404*(1+'7.6. Stage 7&amp;8 budget'!$K$30)</f>
        <v>3243397.5100275418</v>
      </c>
      <c r="D10" s="50">
        <f>'7.5. Stage 5&amp;6 budget'!D404*(1+'7.6. Stage 7&amp;8 budget'!$K$30)</f>
        <v>3243397.5100275418</v>
      </c>
      <c r="E10" s="50">
        <f>'7.5. Stage 5&amp;6 budget'!E404*(1+'7.6. Stage 7&amp;8 budget'!$K$30)</f>
        <v>3243397.5100275418</v>
      </c>
      <c r="F10" s="50">
        <f>'7.5. Stage 5&amp;6 budget'!F404*(1+'7.6. Stage 7&amp;8 budget'!$K$30)</f>
        <v>3243397.5100275418</v>
      </c>
      <c r="G10" s="50">
        <f>'7.5. Stage 5&amp;6 budget'!G404*(1+'7.6. Stage 7&amp;8 budget'!$K$30)</f>
        <v>3243397.5100275418</v>
      </c>
      <c r="H10" s="50">
        <f>'7.5. Stage 5&amp;6 budget'!H404*(1+'7.6. Stage 7&amp;8 budget'!$K$30)</f>
        <v>3243397.5100275418</v>
      </c>
      <c r="I10" s="50">
        <f>'7.5. Stage 5&amp;6 budget'!I404*(1+'7.6. Stage 7&amp;8 budget'!$K$30)</f>
        <v>3243397.5100275418</v>
      </c>
      <c r="J10" s="50">
        <f>'7.5. Stage 5&amp;6 budget'!J404*(1+'7.6. Stage 7&amp;8 budget'!$K$30)</f>
        <v>3243397.5100275418</v>
      </c>
      <c r="K10" s="50">
        <f>'7.5. Stage 5&amp;6 budget'!K404*(1+'7.6. Stage 7&amp;8 budget'!$K$30)</f>
        <v>3243397.5100275418</v>
      </c>
      <c r="L10" s="50">
        <f>'7.5. Stage 5&amp;6 budget'!L404*(1+'7.6. Stage 7&amp;8 budget'!$K$30)</f>
        <v>3243397.5100275418</v>
      </c>
      <c r="M10" s="50">
        <f>'7.5. Stage 5&amp;6 budget'!M404*(1+'7.6. Stage 7&amp;8 budget'!$K$30)</f>
        <v>3243397.5100275418</v>
      </c>
      <c r="N10" s="50">
        <f>'7.5. Stage 5&amp;6 budget'!N404*(1+'7.6. Stage 7&amp;8 budget'!$K$30)</f>
        <v>3243397.5100275418</v>
      </c>
      <c r="O10" s="90">
        <f t="shared" si="2"/>
        <v>38920770.120330505</v>
      </c>
    </row>
    <row r="11" spans="1:15" x14ac:dyDescent="0.25">
      <c r="A11" s="84"/>
      <c r="B11" s="51" t="s">
        <v>248</v>
      </c>
      <c r="C11" s="50">
        <f>'7.5. Stage 5&amp;6 budget'!C405*(1+'7.6. Stage 7&amp;8 budget'!$K$30)</f>
        <v>389207.70120330487</v>
      </c>
      <c r="D11" s="50">
        <f>'7.5. Stage 5&amp;6 budget'!D405*(1+'7.6. Stage 7&amp;8 budget'!$K$30)</f>
        <v>389207.70120330487</v>
      </c>
      <c r="E11" s="50">
        <f>'7.5. Stage 5&amp;6 budget'!E405*(1+'7.6. Stage 7&amp;8 budget'!$K$30)</f>
        <v>389207.70120330487</v>
      </c>
      <c r="F11" s="50">
        <f>'7.5. Stage 5&amp;6 budget'!F405*(1+'7.6. Stage 7&amp;8 budget'!$K$30)</f>
        <v>389207.70120330487</v>
      </c>
      <c r="G11" s="50">
        <f>'7.5. Stage 5&amp;6 budget'!G405*(1+'7.6. Stage 7&amp;8 budget'!$K$30)</f>
        <v>389207.70120330487</v>
      </c>
      <c r="H11" s="50">
        <f>'7.5. Stage 5&amp;6 budget'!H405*(1+'7.6. Stage 7&amp;8 budget'!$K$30)</f>
        <v>389207.70120330487</v>
      </c>
      <c r="I11" s="50">
        <f>'7.5. Stage 5&amp;6 budget'!I405*(1+'7.6. Stage 7&amp;8 budget'!$K$30)</f>
        <v>389207.70120330487</v>
      </c>
      <c r="J11" s="50">
        <f>'7.5. Stage 5&amp;6 budget'!J405*(1+'7.6. Stage 7&amp;8 budget'!$K$30)</f>
        <v>389207.70120330487</v>
      </c>
      <c r="K11" s="50">
        <f>'7.5. Stage 5&amp;6 budget'!K405*(1+'7.6. Stage 7&amp;8 budget'!$K$30)</f>
        <v>389207.70120330487</v>
      </c>
      <c r="L11" s="50">
        <f>'7.5. Stage 5&amp;6 budget'!L405*(1+'7.6. Stage 7&amp;8 budget'!$K$30)</f>
        <v>389207.70120330487</v>
      </c>
      <c r="M11" s="50">
        <f>'7.5. Stage 5&amp;6 budget'!M405*(1+'7.6. Stage 7&amp;8 budget'!$K$30)</f>
        <v>389207.70120330487</v>
      </c>
      <c r="N11" s="50">
        <f>'7.5. Stage 5&amp;6 budget'!N405*(1+'7.6. Stage 7&amp;8 budget'!$K$30)</f>
        <v>389207.70120330487</v>
      </c>
      <c r="O11" s="90">
        <f t="shared" si="2"/>
        <v>4670492.4144396586</v>
      </c>
    </row>
    <row r="12" spans="1:15" x14ac:dyDescent="0.25">
      <c r="A12" s="82"/>
      <c r="B12" s="46" t="s">
        <v>207</v>
      </c>
      <c r="C12" s="47">
        <f t="shared" ref="C12:N12" si="3">SUM(C9:C11)</f>
        <v>4060733.682554482</v>
      </c>
      <c r="D12" s="47">
        <f t="shared" si="3"/>
        <v>3632605.2112308466</v>
      </c>
      <c r="E12" s="47">
        <f t="shared" si="3"/>
        <v>3632605.2112308466</v>
      </c>
      <c r="F12" s="47">
        <f t="shared" si="3"/>
        <v>3632605.2112308466</v>
      </c>
      <c r="G12" s="47">
        <f t="shared" si="3"/>
        <v>3632605.2112308466</v>
      </c>
      <c r="H12" s="47">
        <f t="shared" si="3"/>
        <v>3632605.2112308466</v>
      </c>
      <c r="I12" s="47">
        <f t="shared" si="3"/>
        <v>3632605.2112308466</v>
      </c>
      <c r="J12" s="47">
        <f t="shared" si="3"/>
        <v>3632605.2112308466</v>
      </c>
      <c r="K12" s="47">
        <f t="shared" si="3"/>
        <v>3632605.2112308466</v>
      </c>
      <c r="L12" s="47">
        <f t="shared" si="3"/>
        <v>3632605.2112308466</v>
      </c>
      <c r="M12" s="47">
        <f t="shared" si="3"/>
        <v>3632605.2112308466</v>
      </c>
      <c r="N12" s="47">
        <f t="shared" si="3"/>
        <v>3632605.2112308466</v>
      </c>
      <c r="O12" s="47">
        <f t="shared" si="2"/>
        <v>44019391.006093793</v>
      </c>
    </row>
    <row r="13" spans="1:15"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row>
    <row r="14" spans="1:15" x14ac:dyDescent="0.25">
      <c r="A14" s="82"/>
      <c r="B14" s="57" t="s">
        <v>210</v>
      </c>
      <c r="C14" s="89">
        <f>('7.5. Stage 5&amp;6 budget'!C408*(1+'7.6. Stage 7&amp;8 budget'!$K$30))*3/4</f>
        <v>3220693.7274573492</v>
      </c>
      <c r="D14" s="89">
        <f>('7.5. Stage 5&amp;6 budget'!D408*(1+'7.6. Stage 7&amp;8 budget'!$K$30))*3/4</f>
        <v>3882346.8195029679</v>
      </c>
      <c r="E14" s="89">
        <f>('7.5. Stage 5&amp;6 budget'!E408*(1+'7.6. Stage 7&amp;8 budget'!$K$30))*3/4</f>
        <v>3580710.8510704036</v>
      </c>
      <c r="F14" s="89">
        <f>('7.5. Stage 5&amp;6 budget'!F408*(1+'7.6. Stage 7&amp;8 budget'!$K$30))*3/4</f>
        <v>3347186.2303484227</v>
      </c>
      <c r="G14" s="89">
        <f>('7.5. Stage 5&amp;6 budget'!G408*(1+'7.6. Stage 7&amp;8 budget'!$K$30))*3/4</f>
        <v>3074740.8395061092</v>
      </c>
      <c r="H14" s="89">
        <f>('7.5. Stage 5&amp;6 budget'!H408*(1+'7.6. Stage 7&amp;8 budget'!$K$30))*3/4</f>
        <v>3853156.2419127179</v>
      </c>
      <c r="I14" s="89">
        <f>('7.5. Stage 5&amp;6 budget'!I408*(1+'7.6. Stage 7&amp;8 budget'!$K$30))*3/4</f>
        <v>4495348.9488981711</v>
      </c>
      <c r="J14" s="89">
        <f>('7.5. Stage 5&amp;6 budget'!J408*(1+'7.6. Stage 7&amp;8 budget'!$K$30))*3/4</f>
        <v>4310475.2908266019</v>
      </c>
      <c r="K14" s="89">
        <f>('7.5. Stage 5&amp;6 budget'!K408*(1+'7.6. Stage 7&amp;8 budget'!$K$30))*3/4</f>
        <v>3327725.8452882562</v>
      </c>
      <c r="L14" s="89">
        <f>('7.5. Stage 5&amp;6 budget'!L408*(1+'7.6. Stage 7&amp;8 budget'!$K$30))*3/4</f>
        <v>3415297.5780590009</v>
      </c>
      <c r="M14" s="89">
        <f>('7.5. Stage 5&amp;6 budget'!M408*(1+'7.6. Stage 7&amp;8 budget'!$K$30))*3/4</f>
        <v>3249884.3050475959</v>
      </c>
      <c r="N14" s="89">
        <f>('7.5. Stage 5&amp;6 budget'!N408*(1+'7.6. Stage 7&amp;8 budget'!$K$30))*3/4</f>
        <v>3512599.5033598263</v>
      </c>
      <c r="O14" s="92">
        <f t="shared" ref="O14:O23" si="4">SUM(C14:N14)</f>
        <v>43270166.181277417</v>
      </c>
    </row>
    <row r="15" spans="1:15" x14ac:dyDescent="0.25">
      <c r="A15" s="82"/>
      <c r="B15" s="57" t="s">
        <v>203</v>
      </c>
      <c r="C15" s="89">
        <f>('7.5. Stage 5&amp;6 budget'!C409*(1+'7.6. Stage 7&amp;8 budget'!$K$30))*3/4</f>
        <v>11627580.073448732</v>
      </c>
      <c r="D15" s="89">
        <f>('7.5. Stage 5&amp;6 budget'!D409*(1+'7.6. Stage 7&amp;8 budget'!$K$30))*3/4</f>
        <v>12522757.786216339</v>
      </c>
      <c r="E15" s="89">
        <f>('7.5. Stage 5&amp;6 budget'!E409*(1+'7.6. Stage 7&amp;8 budget'!$K$30))*3/4</f>
        <v>14040667.820909226</v>
      </c>
      <c r="F15" s="89">
        <f>('7.5. Stage 5&amp;6 budget'!F409*(1+'7.6. Stage 7&amp;8 budget'!$K$30))*3/4</f>
        <v>10644830.627910396</v>
      </c>
      <c r="G15" s="89">
        <f>('7.5. Stage 5&amp;6 budget'!G409*(1+'7.6. Stage 7&amp;8 budget'!$K$30))*3/4</f>
        <v>14167160.323800303</v>
      </c>
      <c r="H15" s="89">
        <f>('7.5. Stage 5&amp;6 budget'!H409*(1+'7.6. Stage 7&amp;8 budget'!$K$30))*3/4</f>
        <v>13349824.15127336</v>
      </c>
      <c r="I15" s="89">
        <f>('7.5. Stage 5&amp;6 budget'!I409*(1+'7.6. Stage 7&amp;8 budget'!$K$30))*3/4</f>
        <v>12250312.395374026</v>
      </c>
      <c r="J15" s="89">
        <f>('7.5. Stage 5&amp;6 budget'!J409*(1+'7.6. Stage 7&amp;8 budget'!$K$30))*3/4</f>
        <v>14566098.217533689</v>
      </c>
      <c r="K15" s="89">
        <f>('7.5. Stage 5&amp;6 budget'!K409*(1+'7.6. Stage 7&amp;8 budget'!$K$30))*3/4</f>
        <v>14235271.671510871</v>
      </c>
      <c r="L15" s="89">
        <f>('7.5. Stage 5&amp;6 budget'!L409*(1+'7.6. Stage 7&amp;8 budget'!$K$30))*3/4</f>
        <v>14235271.671510871</v>
      </c>
      <c r="M15" s="89">
        <f>('7.5. Stage 5&amp;6 budget'!M409*(1+'7.6. Stage 7&amp;8 budget'!$K$30))*3/4</f>
        <v>11063228.906703947</v>
      </c>
      <c r="N15" s="89">
        <f>('7.5. Stage 5&amp;6 budget'!N409*(1+'7.6. Stage 7&amp;8 budget'!$K$30))*3/4</f>
        <v>13641729.927175842</v>
      </c>
      <c r="O15" s="92">
        <f t="shared" si="4"/>
        <v>156344733.57336763</v>
      </c>
    </row>
    <row r="16" spans="1:15" x14ac:dyDescent="0.25">
      <c r="A16" s="82"/>
      <c r="B16" s="58" t="s">
        <v>84</v>
      </c>
      <c r="C16" s="89">
        <f>('7.5. Stage 5&amp;6 budget'!C410*(1+'7.6. Stage 7&amp;8 budget'!$K$30))*3/4</f>
        <v>10284813.504297331</v>
      </c>
      <c r="D16" s="89">
        <f>('7.5. Stage 5&amp;6 budget'!D410*(1+'7.6. Stage 7&amp;8 budget'!$K$30))*3/4</f>
        <v>11228642.179715343</v>
      </c>
      <c r="E16" s="89">
        <f>('7.5. Stage 5&amp;6 budget'!E410*(1+'7.6. Stage 7&amp;8 budget'!$K$30))*3/4</f>
        <v>11267562.949835677</v>
      </c>
      <c r="F16" s="89">
        <f>('7.5. Stage 5&amp;6 budget'!F410*(1+'7.6. Stage 7&amp;8 budget'!$K$30))*3/4</f>
        <v>11637310.265978817</v>
      </c>
      <c r="G16" s="89">
        <f>('7.5. Stage 5&amp;6 budget'!G410*(1+'7.6. Stage 7&amp;8 budget'!$K$30))*3/4</f>
        <v>13768222.430066913</v>
      </c>
      <c r="H16" s="89">
        <f>('7.5. Stage 5&amp;6 budget'!H410*(1+'7.6. Stage 7&amp;8 budget'!$K$30))*3/4</f>
        <v>11909755.656821128</v>
      </c>
      <c r="I16" s="89">
        <f>('7.5. Stage 5&amp;6 budget'!I410*(1+'7.6. Stage 7&amp;8 budget'!$K$30))*3/4</f>
        <v>12367074.705735017</v>
      </c>
      <c r="J16" s="89">
        <f>('7.5. Stage 5&amp;6 budget'!J410*(1+'7.6. Stage 7&amp;8 budget'!$K$30))*3/4</f>
        <v>14235271.671510871</v>
      </c>
      <c r="K16" s="89">
        <f>('7.5. Stage 5&amp;6 budget'!K410*(1+'7.6. Stage 7&amp;8 budget'!$K$30))*3/4</f>
        <v>13028727.797780637</v>
      </c>
      <c r="L16" s="89">
        <f>('7.5. Stage 5&amp;6 budget'!L410*(1+'7.6. Stage 7&amp;8 budget'!$K$30))*3/4</f>
        <v>13009267.412720468</v>
      </c>
      <c r="M16" s="89">
        <f>('7.5. Stage 5&amp;6 budget'!M410*(1+'7.6. Stage 7&amp;8 budget'!$K$30))*3/4</f>
        <v>13923905.51054823</v>
      </c>
      <c r="N16" s="89">
        <f>('7.5. Stage 5&amp;6 budget'!N410*(1+'7.6. Stage 7&amp;8 budget'!$K$30))*3/4</f>
        <v>11179991.217064936</v>
      </c>
      <c r="O16" s="92">
        <f t="shared" si="4"/>
        <v>147840545.30207539</v>
      </c>
    </row>
    <row r="17" spans="1:25" x14ac:dyDescent="0.25">
      <c r="A17" s="82"/>
      <c r="B17" s="58" t="s">
        <v>81</v>
      </c>
      <c r="C17" s="89">
        <f>('7.5. Stage 5&amp;6 budget'!C411*(1+'7.6. Stage 7&amp;8 budget'!$K$30))/2</f>
        <v>973019.25300826284</v>
      </c>
      <c r="D17" s="89">
        <f>('7.5. Stage 5&amp;6 budget'!D411*(1+'7.6. Stage 7&amp;8 budget'!$K$30))/2</f>
        <v>973019.25300826284</v>
      </c>
      <c r="E17" s="89">
        <f>('7.5. Stage 5&amp;6 budget'!E411*(1+'7.6. Stage 7&amp;8 budget'!$K$30))/2</f>
        <v>973019.25300826284</v>
      </c>
      <c r="F17" s="89">
        <f>('7.5. Stage 5&amp;6 budget'!F411*(1+'7.6. Stage 7&amp;8 budget'!$K$30))/2</f>
        <v>973019.25300826284</v>
      </c>
      <c r="G17" s="89">
        <f>('7.5. Stage 5&amp;6 budget'!G411*(1+'7.6. Stage 7&amp;8 budget'!$K$30))/2</f>
        <v>973019.25300826284</v>
      </c>
      <c r="H17" s="89">
        <f>('7.5. Stage 5&amp;6 budget'!H411*(1+'7.6. Stage 7&amp;8 budget'!$K$30))/2</f>
        <v>973019.25300826284</v>
      </c>
      <c r="I17" s="89">
        <f>('7.5. Stage 5&amp;6 budget'!I411*(1+'7.6. Stage 7&amp;8 budget'!$K$30))/2</f>
        <v>973019.25300826284</v>
      </c>
      <c r="J17" s="89">
        <f>('7.5. Stage 5&amp;6 budget'!J411*(1+'7.6. Stage 7&amp;8 budget'!$K$30))/2</f>
        <v>973019.25300826284</v>
      </c>
      <c r="K17" s="89">
        <f>('7.5. Stage 5&amp;6 budget'!K411*(1+'7.6. Stage 7&amp;8 budget'!$K$30))/2</f>
        <v>973019.25300826284</v>
      </c>
      <c r="L17" s="89">
        <f>('7.5. Stage 5&amp;6 budget'!L411*(1+'7.6. Stage 7&amp;8 budget'!$K$30))/2</f>
        <v>973019.25300826284</v>
      </c>
      <c r="M17" s="89">
        <f>('7.5. Stage 5&amp;6 budget'!M411*(1+'7.6. Stage 7&amp;8 budget'!$K$30))/2</f>
        <v>973019.25300826284</v>
      </c>
      <c r="N17" s="89">
        <f>('7.5. Stage 5&amp;6 budget'!N411*(1+'7.6. Stage 7&amp;8 budget'!$K$30))/2</f>
        <v>973019.25300826284</v>
      </c>
      <c r="O17" s="92">
        <f t="shared" si="4"/>
        <v>11676231.036099156</v>
      </c>
    </row>
    <row r="18" spans="1:25" x14ac:dyDescent="0.25">
      <c r="A18" s="82"/>
      <c r="B18" s="57" t="s">
        <v>85</v>
      </c>
      <c r="C18" s="89">
        <f>('7.5. Stage 5&amp;6 budget'!C412*(1+'7.6. Stage 7&amp;8 budget'!$K$30))*3/4</f>
        <v>11948676.426941464</v>
      </c>
      <c r="D18" s="89">
        <f>('7.5. Stage 5&amp;6 budget'!D412*(1+'7.6. Stage 7&amp;8 budget'!$K$30))*3/4</f>
        <v>10226432.349116845</v>
      </c>
      <c r="E18" s="89">
        <f>('7.5. Stage 5&amp;6 budget'!E412*(1+'7.6. Stage 7&amp;8 budget'!$K$30))*3/4</f>
        <v>10586449.472729893</v>
      </c>
      <c r="F18" s="89">
        <f>('7.5. Stage 5&amp;6 budget'!F412*(1+'7.6. Stage 7&amp;8 budget'!$K$30))*3/4</f>
        <v>10751862.745741297</v>
      </c>
      <c r="G18" s="89">
        <f>('7.5. Stage 5&amp;6 budget'!G412*(1+'7.6. Stage 7&amp;8 budget'!$K$30))*3/4</f>
        <v>14459066.099702775</v>
      </c>
      <c r="H18" s="89">
        <f>('7.5. Stage 5&amp;6 budget'!H412*(1+'7.6. Stage 7&amp;8 budget'!$K$30))*3/4</f>
        <v>10615640.050320148</v>
      </c>
      <c r="I18" s="89">
        <f>('7.5. Stage 5&amp;6 budget'!I412*(1+'7.6. Stage 7&amp;8 budget'!$K$30))*3/4</f>
        <v>12318423.743084602</v>
      </c>
      <c r="J18" s="89">
        <f>('7.5. Stage 5&amp;6 budget'!J412*(1+'7.6. Stage 7&amp;8 budget'!$K$30))*3/4</f>
        <v>9749652.9151427895</v>
      </c>
      <c r="K18" s="89">
        <f>('7.5. Stage 5&amp;6 budget'!K412*(1+'7.6. Stage 7&amp;8 budget'!$K$30))*3/4</f>
        <v>12678440.866697662</v>
      </c>
      <c r="L18" s="89">
        <f>('7.5. Stage 5&amp;6 budget'!L412*(1+'7.6. Stage 7&amp;8 budget'!$K$30))*3/4</f>
        <v>10070749.268635515</v>
      </c>
      <c r="M18" s="89">
        <f>('7.5. Stage 5&amp;6 budget'!M412*(1+'7.6. Stage 7&amp;8 budget'!$K$30))*3/4</f>
        <v>12824393.754648898</v>
      </c>
      <c r="N18" s="89">
        <f>('7.5. Stage 5&amp;6 budget'!N412*(1+'7.6. Stage 7&amp;8 budget'!$K$30))*3/4</f>
        <v>12211391.62525369</v>
      </c>
      <c r="O18" s="92">
        <f t="shared" si="4"/>
        <v>138441179.31801555</v>
      </c>
    </row>
    <row r="19" spans="1:25" x14ac:dyDescent="0.25">
      <c r="A19" s="84"/>
      <c r="B19" s="58" t="s">
        <v>249</v>
      </c>
      <c r="C19" s="89">
        <f t="shared" ref="C19:N19" si="5">C6*5%</f>
        <v>10363819.784054698</v>
      </c>
      <c r="D19" s="89">
        <f t="shared" si="5"/>
        <v>10363819.784054698</v>
      </c>
      <c r="E19" s="89">
        <f t="shared" si="5"/>
        <v>10363819.784054698</v>
      </c>
      <c r="F19" s="89">
        <f t="shared" si="5"/>
        <v>10363819.784054698</v>
      </c>
      <c r="G19" s="89">
        <f t="shared" si="5"/>
        <v>10363819.784054698</v>
      </c>
      <c r="H19" s="89">
        <f t="shared" si="5"/>
        <v>10363819.784054698</v>
      </c>
      <c r="I19" s="89">
        <f t="shared" si="5"/>
        <v>10363819.784054698</v>
      </c>
      <c r="J19" s="89">
        <f t="shared" si="5"/>
        <v>10363819.784054698</v>
      </c>
      <c r="K19" s="89">
        <f t="shared" si="5"/>
        <v>10363819.784054698</v>
      </c>
      <c r="L19" s="89">
        <f t="shared" si="5"/>
        <v>10363819.784054698</v>
      </c>
      <c r="M19" s="89">
        <f t="shared" si="5"/>
        <v>10363819.784054698</v>
      </c>
      <c r="N19" s="89">
        <f t="shared" si="5"/>
        <v>10363819.784054698</v>
      </c>
      <c r="O19" s="92">
        <f t="shared" si="4"/>
        <v>124365837.40865637</v>
      </c>
    </row>
    <row r="20" spans="1:25" x14ac:dyDescent="0.25">
      <c r="A20" s="84"/>
      <c r="B20" s="58" t="s">
        <v>180</v>
      </c>
      <c r="C20" s="89">
        <f>'7.5. Stage 5&amp;6 budget'!C414*(1+'7.6. Stage 7&amp;8 budget'!$K$30)</f>
        <v>18837652.738239955</v>
      </c>
      <c r="D20" s="89">
        <f>'7.5. Stage 5&amp;6 budget'!D414*(1+'7.6. Stage 7&amp;8 budget'!$K$30)</f>
        <v>18591154.52747786</v>
      </c>
      <c r="E20" s="89">
        <f>'7.5. Stage 5&amp;6 budget'!E414*(1+'7.6. Stage 7&amp;8 budget'!$K$30)</f>
        <v>15451545.737771207</v>
      </c>
      <c r="F20" s="89">
        <f>'7.5. Stage 5&amp;6 budget'!F414*(1+'7.6. Stage 7&amp;8 budget'!$K$30)</f>
        <v>17060270.902744874</v>
      </c>
      <c r="G20" s="89">
        <f>'7.5. Stage 5&amp;6 budget'!G414*(1+'7.6. Stage 7&amp;8 budget'!$K$30)</f>
        <v>13453612.871594243</v>
      </c>
      <c r="H20" s="89">
        <f>'7.5. Stage 5&amp;6 budget'!H414*(1+'7.6. Stage 7&amp;8 budget'!$K$30)</f>
        <v>14958549.316247022</v>
      </c>
      <c r="I20" s="89">
        <f>'7.5. Stage 5&amp;6 budget'!I414*(1+'7.6. Stage 7&amp;8 budget'!$K$30)</f>
        <v>15477492.917851433</v>
      </c>
      <c r="J20" s="89">
        <f>'7.5. Stage 5&amp;6 budget'!J414*(1+'7.6. Stage 7&amp;8 budget'!$K$30)</f>
        <v>18344656.316715766</v>
      </c>
      <c r="K20" s="89">
        <f>'7.5. Stage 5&amp;6 budget'!K414*(1+'7.6. Stage 7&amp;8 budget'!$K$30)</f>
        <v>14361764.17440195</v>
      </c>
      <c r="L20" s="89">
        <f>'7.5. Stage 5&amp;6 budget'!L414*(1+'7.6. Stage 7&amp;8 budget'!$K$30)</f>
        <v>15373704.197530538</v>
      </c>
      <c r="M20" s="89">
        <f>'7.5. Stage 5&amp;6 budget'!M414*(1+'7.6. Stage 7&amp;8 budget'!$K$30)</f>
        <v>15399651.37761076</v>
      </c>
      <c r="N20" s="89">
        <f>'7.5. Stage 5&amp;6 budget'!N414*(1+'7.6. Stage 7&amp;8 budget'!$K$30)</f>
        <v>15010443.676407469</v>
      </c>
      <c r="O20" s="92">
        <f t="shared" si="4"/>
        <v>192320498.75459307</v>
      </c>
    </row>
    <row r="21" spans="1:25" x14ac:dyDescent="0.25">
      <c r="A21" s="84"/>
      <c r="B21" s="58" t="s">
        <v>86</v>
      </c>
      <c r="C21" s="89">
        <f>'7.5. Stage 5&amp;6 budget'!C415*(1+'7.6. Stage 7&amp;8 budget'!$K$30)</f>
        <v>13713084.67239644</v>
      </c>
      <c r="D21" s="89">
        <f>'7.5. Stage 5&amp;6 budget'!D415*(1+'7.6. Stage 7&amp;8 budget'!$K$30)</f>
        <v>13557401.591915118</v>
      </c>
      <c r="E21" s="89">
        <f>'7.5. Stage 5&amp;6 budget'!E415*(1+'7.6. Stage 7&amp;8 budget'!$K$30)</f>
        <v>13155220.300671713</v>
      </c>
      <c r="F21" s="89">
        <f>'7.5. Stage 5&amp;6 budget'!F415*(1+'7.6. Stage 7&amp;8 budget'!$K$30)</f>
        <v>17164059.623065744</v>
      </c>
      <c r="G21" s="89">
        <f>'7.5. Stage 5&amp;6 budget'!G415*(1+'7.6. Stage 7&amp;8 budget'!$K$30)</f>
        <v>15970489.339375613</v>
      </c>
      <c r="H21" s="89">
        <f>'7.5. Stage 5&amp;6 budget'!H415*(1+'7.6. Stage 7&amp;8 budget'!$K$30)</f>
        <v>13297929.79111292</v>
      </c>
      <c r="I21" s="89">
        <f>'7.5. Stage 5&amp;6 budget'!I415*(1+'7.6. Stage 7&amp;8 budget'!$K$30)</f>
        <v>18033290.155753128</v>
      </c>
      <c r="J21" s="89">
        <f>'7.5. Stage 5&amp;6 budget'!J415*(1+'7.6. Stage 7&amp;8 budget'!$K$30)</f>
        <v>17306769.113506962</v>
      </c>
      <c r="K21" s="89">
        <f>'7.5. Stage 5&amp;6 budget'!K415*(1+'7.6. Stage 7&amp;8 budget'!$K$30)</f>
        <v>13933635.703078318</v>
      </c>
      <c r="L21" s="89">
        <f>'7.5. Stage 5&amp;6 budget'!L415*(1+'7.6. Stage 7&amp;8 budget'!$K$30)</f>
        <v>14413658.534562392</v>
      </c>
      <c r="M21" s="89">
        <f>'7.5. Stage 5&amp;6 budget'!M415*(1+'7.6. Stage 7&amp;8 budget'!$K$30)</f>
        <v>17527320.144188829</v>
      </c>
      <c r="N21" s="89">
        <f>'7.5. Stage 5&amp;6 budget'!N415*(1+'7.6. Stage 7&amp;8 budget'!$K$30)</f>
        <v>18448445.037036661</v>
      </c>
      <c r="O21" s="92">
        <f t="shared" si="4"/>
        <v>186521304.0066638</v>
      </c>
    </row>
    <row r="22" spans="1:25" x14ac:dyDescent="0.25">
      <c r="A22" s="82"/>
      <c r="B22" s="46" t="s">
        <v>208</v>
      </c>
      <c r="C22" s="47">
        <f t="shared" ref="C22:N22" si="6">SUM(C14:C21)</f>
        <v>80969340.17984423</v>
      </c>
      <c r="D22" s="47">
        <f t="shared" si="6"/>
        <v>81345574.291007429</v>
      </c>
      <c r="E22" s="47">
        <f t="shared" si="6"/>
        <v>79418996.170051083</v>
      </c>
      <c r="F22" s="47">
        <f t="shared" si="6"/>
        <v>81942359.432852507</v>
      </c>
      <c r="G22" s="47">
        <f t="shared" si="6"/>
        <v>86230130.941108912</v>
      </c>
      <c r="H22" s="47">
        <f t="shared" si="6"/>
        <v>79321694.244750261</v>
      </c>
      <c r="I22" s="47">
        <f t="shared" si="6"/>
        <v>86278781.903759331</v>
      </c>
      <c r="J22" s="47">
        <f t="shared" si="6"/>
        <v>89849762.562299639</v>
      </c>
      <c r="K22" s="47">
        <f t="shared" si="6"/>
        <v>82902405.09582065</v>
      </c>
      <c r="L22" s="47">
        <f t="shared" si="6"/>
        <v>81854787.700081751</v>
      </c>
      <c r="M22" s="47">
        <f t="shared" si="6"/>
        <v>85325223.035811216</v>
      </c>
      <c r="N22" s="47">
        <f t="shared" si="6"/>
        <v>85341440.023361385</v>
      </c>
      <c r="O22" s="47">
        <f t="shared" si="4"/>
        <v>1000780495.5807483</v>
      </c>
    </row>
    <row r="23" spans="1:25" x14ac:dyDescent="0.25">
      <c r="A23" s="82"/>
      <c r="B23" s="60" t="s">
        <v>87</v>
      </c>
      <c r="C23" s="47">
        <f t="shared" ref="C23:N23" si="7">C12+C22</f>
        <v>85030073.862398714</v>
      </c>
      <c r="D23" s="47">
        <f t="shared" si="7"/>
        <v>84978179.502238274</v>
      </c>
      <c r="E23" s="47">
        <f t="shared" si="7"/>
        <v>83051601.381281927</v>
      </c>
      <c r="F23" s="47">
        <f t="shared" si="7"/>
        <v>85574964.644083351</v>
      </c>
      <c r="G23" s="47">
        <f t="shared" si="7"/>
        <v>89862736.152339756</v>
      </c>
      <c r="H23" s="47">
        <f t="shared" si="7"/>
        <v>82954299.455981106</v>
      </c>
      <c r="I23" s="47">
        <f t="shared" si="7"/>
        <v>89911387.114990175</v>
      </c>
      <c r="J23" s="47">
        <f t="shared" si="7"/>
        <v>93482367.773530483</v>
      </c>
      <c r="K23" s="47">
        <f t="shared" si="7"/>
        <v>86535010.307051495</v>
      </c>
      <c r="L23" s="47">
        <f t="shared" si="7"/>
        <v>85487392.911312595</v>
      </c>
      <c r="M23" s="47">
        <f t="shared" si="7"/>
        <v>88957828.24704206</v>
      </c>
      <c r="N23" s="47">
        <f t="shared" si="7"/>
        <v>88974045.234592229</v>
      </c>
      <c r="O23" s="47">
        <f t="shared" si="4"/>
        <v>1044799886.5868421</v>
      </c>
    </row>
    <row r="24" spans="1:25" s="11" customFormat="1" x14ac:dyDescent="0.25">
      <c r="A24" s="82"/>
      <c r="B24" s="108" t="s">
        <v>204</v>
      </c>
      <c r="C24" s="109">
        <f>$O23*(3/12)/12</f>
        <v>21766664.303892542</v>
      </c>
      <c r="D24" s="109">
        <f t="shared" ref="D24:M24" si="8">$O23*(3/12)/12</f>
        <v>21766664.303892542</v>
      </c>
      <c r="E24" s="109">
        <f t="shared" si="8"/>
        <v>21766664.303892542</v>
      </c>
      <c r="F24" s="109">
        <f t="shared" si="8"/>
        <v>21766664.303892542</v>
      </c>
      <c r="G24" s="109">
        <f t="shared" si="8"/>
        <v>21766664.303892542</v>
      </c>
      <c r="H24" s="109">
        <f t="shared" si="8"/>
        <v>21766664.303892542</v>
      </c>
      <c r="I24" s="109">
        <f t="shared" si="8"/>
        <v>21766664.303892542</v>
      </c>
      <c r="J24" s="109">
        <f t="shared" si="8"/>
        <v>21766664.303892542</v>
      </c>
      <c r="K24" s="109">
        <f t="shared" si="8"/>
        <v>21766664.303892542</v>
      </c>
      <c r="L24" s="109">
        <f t="shared" si="8"/>
        <v>21766664.303892542</v>
      </c>
      <c r="M24" s="109">
        <f t="shared" si="8"/>
        <v>21766664.303892542</v>
      </c>
      <c r="N24" s="109">
        <f>$O23*(3/12)/12</f>
        <v>21766664.303892542</v>
      </c>
      <c r="O24" s="109">
        <f t="shared" ref="O24:O27" si="9">SUM(C24:N24)</f>
        <v>261199971.64671054</v>
      </c>
      <c r="P24" s="43"/>
      <c r="Q24" s="43"/>
      <c r="R24" s="40"/>
      <c r="S24" s="40"/>
      <c r="T24" s="40"/>
      <c r="U24" s="40"/>
      <c r="V24" s="40"/>
      <c r="W24" s="40"/>
      <c r="X24" s="40"/>
      <c r="Y24" s="40"/>
    </row>
    <row r="25" spans="1:25" s="11" customFormat="1" x14ac:dyDescent="0.25">
      <c r="A25" s="82"/>
      <c r="B25" s="108" t="s">
        <v>82</v>
      </c>
      <c r="C25" s="109">
        <f>'6. Mortgage payment'!$C$7</f>
        <v>28168245.060798287</v>
      </c>
      <c r="D25" s="109">
        <f>'6. Mortgage payment'!$C$7</f>
        <v>28168245.060798287</v>
      </c>
      <c r="E25" s="109">
        <f>'6. Mortgage payment'!$C$7</f>
        <v>28168245.060798287</v>
      </c>
      <c r="F25" s="109">
        <f>'6. Mortgage payment'!$C$7</f>
        <v>28168245.060798287</v>
      </c>
      <c r="G25" s="109">
        <f>'6. Mortgage payment'!$C$7</f>
        <v>28168245.060798287</v>
      </c>
      <c r="H25" s="109">
        <f>'6. Mortgage payment'!$C$7</f>
        <v>28168245.060798287</v>
      </c>
      <c r="I25" s="109">
        <f>'6. Mortgage payment'!$C$7</f>
        <v>28168245.060798287</v>
      </c>
      <c r="J25" s="109">
        <f>'6. Mortgage payment'!$C$7</f>
        <v>28168245.060798287</v>
      </c>
      <c r="K25" s="109">
        <f>'6. Mortgage payment'!$C$7</f>
        <v>28168245.060798287</v>
      </c>
      <c r="L25" s="109">
        <f>'6. Mortgage payment'!$C$7</f>
        <v>28168245.060798287</v>
      </c>
      <c r="M25" s="109">
        <f>'6. Mortgage payment'!$C$7</f>
        <v>28168245.060798287</v>
      </c>
      <c r="N25" s="109">
        <f>'6. Mortgage payment'!$C$7</f>
        <v>28168245.060798287</v>
      </c>
      <c r="O25" s="109">
        <f t="shared" si="9"/>
        <v>338018940.72957945</v>
      </c>
      <c r="P25" s="43"/>
      <c r="Q25" s="43"/>
      <c r="R25" s="40"/>
      <c r="S25" s="40"/>
      <c r="T25" s="40"/>
      <c r="U25" s="40"/>
      <c r="V25" s="40"/>
      <c r="W25" s="40"/>
      <c r="X25" s="40"/>
      <c r="Y25" s="40"/>
    </row>
    <row r="26" spans="1:25" s="11" customFormat="1" x14ac:dyDescent="0.25">
      <c r="A26" s="82"/>
      <c r="B26" s="108" t="s">
        <v>386</v>
      </c>
      <c r="C26" s="109">
        <f>'7.5. Stage 5&amp;6 budget'!C421*(1+'7.5. Stage 5&amp;6 budget'!$K$425)</f>
        <v>3554878.1872574217</v>
      </c>
      <c r="D26" s="109">
        <v>0</v>
      </c>
      <c r="E26" s="109">
        <v>0</v>
      </c>
      <c r="F26" s="109">
        <v>0</v>
      </c>
      <c r="G26" s="109">
        <v>0</v>
      </c>
      <c r="H26" s="109">
        <v>0</v>
      </c>
      <c r="I26" s="109">
        <v>0</v>
      </c>
      <c r="J26" s="109">
        <v>0</v>
      </c>
      <c r="K26" s="109">
        <v>0</v>
      </c>
      <c r="L26" s="109">
        <v>0</v>
      </c>
      <c r="M26" s="109">
        <v>0</v>
      </c>
      <c r="N26" s="109">
        <v>0</v>
      </c>
      <c r="O26" s="109">
        <f t="shared" si="9"/>
        <v>3554878.1872574217</v>
      </c>
      <c r="P26" s="43"/>
      <c r="Q26" s="43"/>
      <c r="R26" s="40"/>
      <c r="S26" s="40"/>
      <c r="T26" s="40"/>
      <c r="U26" s="40"/>
      <c r="V26" s="40"/>
      <c r="W26" s="40"/>
      <c r="X26" s="40"/>
      <c r="Y26" s="40"/>
    </row>
    <row r="27" spans="1:25" s="11" customFormat="1" x14ac:dyDescent="0.25">
      <c r="A27" s="82"/>
      <c r="B27" s="60" t="s">
        <v>206</v>
      </c>
      <c r="C27" s="61">
        <f>C6-C23-C24-C25-C26</f>
        <v>68756534.266746998</v>
      </c>
      <c r="D27" s="61">
        <f t="shared" ref="D27:N27" si="10">D6-D23-D24-D25-D26</f>
        <v>72363306.814164862</v>
      </c>
      <c r="E27" s="61">
        <f t="shared" si="10"/>
        <v>74289884.935121208</v>
      </c>
      <c r="F27" s="61">
        <f t="shared" si="10"/>
        <v>71766521.672319785</v>
      </c>
      <c r="G27" s="61">
        <f t="shared" si="10"/>
        <v>67478750.164063379</v>
      </c>
      <c r="H27" s="61">
        <f t="shared" si="10"/>
        <v>74387186.86042203</v>
      </c>
      <c r="I27" s="61">
        <f t="shared" si="10"/>
        <v>67430099.201412961</v>
      </c>
      <c r="J27" s="61">
        <f t="shared" si="10"/>
        <v>63859118.542872652</v>
      </c>
      <c r="K27" s="61">
        <f t="shared" si="10"/>
        <v>70806476.009351641</v>
      </c>
      <c r="L27" s="61">
        <f t="shared" si="10"/>
        <v>71854093.405090541</v>
      </c>
      <c r="M27" s="61">
        <f t="shared" si="10"/>
        <v>68383658.069361076</v>
      </c>
      <c r="N27" s="61">
        <f t="shared" si="10"/>
        <v>68367441.081810907</v>
      </c>
      <c r="O27" s="47">
        <f t="shared" si="9"/>
        <v>839743071.0227381</v>
      </c>
      <c r="P27" s="43"/>
      <c r="Q27" s="43"/>
      <c r="R27" s="40"/>
      <c r="S27" s="40"/>
      <c r="T27" s="40"/>
      <c r="U27" s="40"/>
      <c r="V27" s="40"/>
      <c r="W27" s="40"/>
      <c r="X27" s="40"/>
      <c r="Y27" s="40"/>
    </row>
    <row r="28" spans="1:25" x14ac:dyDescent="0.25">
      <c r="A28" s="85"/>
      <c r="B28" s="40"/>
      <c r="C28" s="40"/>
      <c r="D28" s="40"/>
      <c r="E28" s="40"/>
      <c r="F28" s="40"/>
      <c r="G28" s="40"/>
      <c r="H28" s="40"/>
      <c r="I28" s="40"/>
      <c r="J28" s="40"/>
      <c r="K28" s="40"/>
      <c r="L28" s="353" t="s">
        <v>217</v>
      </c>
      <c r="M28" s="354"/>
      <c r="N28" s="350">
        <f>SUM(C27:N27)+'7.5. Stage 5&amp;6 budget'!N423</f>
        <v>13066708739.718912</v>
      </c>
      <c r="O28" s="40"/>
    </row>
    <row r="29" spans="1:25" x14ac:dyDescent="0.25">
      <c r="A29" s="85"/>
      <c r="B29" s="40"/>
      <c r="C29" s="40"/>
      <c r="D29" s="40"/>
      <c r="E29" s="40"/>
      <c r="F29" s="40"/>
      <c r="G29" s="40"/>
      <c r="H29" s="40"/>
      <c r="I29" s="40"/>
      <c r="J29" s="40"/>
      <c r="K29" s="40"/>
      <c r="L29" s="320"/>
      <c r="M29" s="355"/>
      <c r="N29" s="351"/>
      <c r="O29" s="40"/>
    </row>
    <row r="30" spans="1:25" x14ac:dyDescent="0.25">
      <c r="A30" s="85"/>
      <c r="B30" s="319" t="s">
        <v>632</v>
      </c>
      <c r="C30" s="352" t="s">
        <v>173</v>
      </c>
      <c r="D30" s="352"/>
      <c r="E30" s="352"/>
      <c r="F30" s="352"/>
      <c r="G30" s="352"/>
      <c r="H30" s="352"/>
      <c r="I30" s="40"/>
      <c r="J30" s="358" t="s">
        <v>231</v>
      </c>
      <c r="K30" s="359">
        <v>0.04</v>
      </c>
      <c r="L30" s="40"/>
      <c r="M30" s="40"/>
      <c r="N30" s="40"/>
      <c r="O30" s="361"/>
    </row>
    <row r="31" spans="1:25" x14ac:dyDescent="0.25">
      <c r="A31" s="85"/>
      <c r="B31" s="319"/>
      <c r="C31" s="352"/>
      <c r="D31" s="352"/>
      <c r="E31" s="352"/>
      <c r="F31" s="352"/>
      <c r="G31" s="352"/>
      <c r="H31" s="352"/>
      <c r="I31" s="40"/>
      <c r="J31" s="358"/>
      <c r="K31" s="360"/>
      <c r="L31" s="40"/>
      <c r="M31" s="40"/>
      <c r="N31" s="40"/>
      <c r="O31" s="362"/>
    </row>
    <row r="32" spans="1:25" x14ac:dyDescent="0.25">
      <c r="A32" s="85"/>
      <c r="B32" s="319"/>
      <c r="C32" s="352"/>
      <c r="D32" s="352"/>
      <c r="E32" s="352"/>
      <c r="F32" s="352"/>
      <c r="G32" s="352"/>
      <c r="H32" s="352"/>
      <c r="I32" s="40"/>
      <c r="J32" s="40"/>
      <c r="K32" s="40"/>
      <c r="L32" s="40"/>
      <c r="M32" s="40"/>
      <c r="N32" s="40"/>
      <c r="O32" s="40"/>
    </row>
    <row r="35" spans="1:15" ht="24.6" x14ac:dyDescent="0.25">
      <c r="A35" s="96"/>
      <c r="B35" s="348" t="s">
        <v>273</v>
      </c>
      <c r="C35" s="348"/>
      <c r="D35" s="348"/>
      <c r="E35" s="348"/>
      <c r="F35" s="348"/>
      <c r="G35" s="348"/>
      <c r="H35" s="348"/>
      <c r="I35" s="348"/>
      <c r="J35" s="348"/>
      <c r="K35" s="348"/>
      <c r="L35" s="348"/>
      <c r="M35" s="348"/>
      <c r="N35" s="348"/>
      <c r="O35" s="348"/>
    </row>
    <row r="36" spans="1:15" ht="24.6" x14ac:dyDescent="0.25">
      <c r="A36" s="96"/>
      <c r="B36" s="349"/>
      <c r="C36" s="349"/>
      <c r="D36" s="349"/>
      <c r="E36" s="349"/>
      <c r="F36" s="349"/>
      <c r="G36" s="349"/>
      <c r="H36" s="349"/>
      <c r="I36" s="349"/>
      <c r="J36" s="349"/>
      <c r="K36" s="349"/>
      <c r="L36" s="349"/>
      <c r="M36" s="349"/>
      <c r="N36" s="349"/>
      <c r="O36" s="349"/>
    </row>
    <row r="37" spans="1:15" x14ac:dyDescent="0.25">
      <c r="A37" s="82"/>
      <c r="B37" s="41"/>
      <c r="C37" s="42" t="s">
        <v>66</v>
      </c>
      <c r="D37" s="42" t="s">
        <v>67</v>
      </c>
      <c r="E37" s="42" t="s">
        <v>68</v>
      </c>
      <c r="F37" s="42" t="s">
        <v>69</v>
      </c>
      <c r="G37" s="42" t="s">
        <v>70</v>
      </c>
      <c r="H37" s="42" t="s">
        <v>71</v>
      </c>
      <c r="I37" s="42" t="s">
        <v>72</v>
      </c>
      <c r="J37" s="42" t="s">
        <v>73</v>
      </c>
      <c r="K37" s="42" t="s">
        <v>74</v>
      </c>
      <c r="L37" s="42" t="s">
        <v>75</v>
      </c>
      <c r="M37" s="42" t="s">
        <v>76</v>
      </c>
      <c r="N37" s="42" t="s">
        <v>77</v>
      </c>
      <c r="O37" s="42" t="s">
        <v>236</v>
      </c>
    </row>
    <row r="38" spans="1:15" x14ac:dyDescent="0.25">
      <c r="A38" s="82"/>
      <c r="B38" s="44" t="s">
        <v>194</v>
      </c>
      <c r="C38" s="45">
        <f>'3.1. My Income Tax Calculation'!$P$33/12</f>
        <v>143693715.14458308</v>
      </c>
      <c r="D38" s="45">
        <f>'3.1. My Income Tax Calculation'!$P$33/12</f>
        <v>143693715.14458308</v>
      </c>
      <c r="E38" s="45">
        <f>'3.1. My Income Tax Calculation'!$P$33/12</f>
        <v>143693715.14458308</v>
      </c>
      <c r="F38" s="45">
        <f>'3.1. My Income Tax Calculation'!$P$33/12</f>
        <v>143693715.14458308</v>
      </c>
      <c r="G38" s="45">
        <f>'3.1. My Income Tax Calculation'!$P$33/12</f>
        <v>143693715.14458308</v>
      </c>
      <c r="H38" s="45">
        <f>'3.1. My Income Tax Calculation'!$P$33/12</f>
        <v>143693715.14458308</v>
      </c>
      <c r="I38" s="45">
        <f>'3.1. My Income Tax Calculation'!$P$33/12</f>
        <v>143693715.14458308</v>
      </c>
      <c r="J38" s="45">
        <f>'3.1. My Income Tax Calculation'!$P$33/12</f>
        <v>143693715.14458308</v>
      </c>
      <c r="K38" s="45">
        <f>'3.1. My Income Tax Calculation'!$P$33/12</f>
        <v>143693715.14458308</v>
      </c>
      <c r="L38" s="45">
        <f>'3.1. My Income Tax Calculation'!$P$33/12</f>
        <v>143693715.14458308</v>
      </c>
      <c r="M38" s="45">
        <f>'3.1. My Income Tax Calculation'!$P$33/12</f>
        <v>143693715.14458308</v>
      </c>
      <c r="N38" s="45">
        <f>'3.1. My Income Tax Calculation'!$P$33/12</f>
        <v>143693715.14458308</v>
      </c>
      <c r="O38" s="45" t="s">
        <v>173</v>
      </c>
    </row>
    <row r="39" spans="1:15" x14ac:dyDescent="0.25">
      <c r="A39" s="82"/>
      <c r="B39" s="44" t="s">
        <v>246</v>
      </c>
      <c r="C39" s="45">
        <f>'3.2. My wife''s Tax Calc'!$P$33/12</f>
        <v>64559055.572469674</v>
      </c>
      <c r="D39" s="45">
        <f>'3.2. My wife''s Tax Calc'!$P$33/12</f>
        <v>64559055.572469674</v>
      </c>
      <c r="E39" s="45">
        <f>'3.2. My wife''s Tax Calc'!$P$33/12</f>
        <v>64559055.572469674</v>
      </c>
      <c r="F39" s="45">
        <f>'3.2. My wife''s Tax Calc'!$P$33/12</f>
        <v>64559055.572469674</v>
      </c>
      <c r="G39" s="45">
        <f>'3.2. My wife''s Tax Calc'!$P$33/12</f>
        <v>64559055.572469674</v>
      </c>
      <c r="H39" s="45">
        <f>'3.2. My wife''s Tax Calc'!$P$33/12</f>
        <v>64559055.572469674</v>
      </c>
      <c r="I39" s="45">
        <f>'3.2. My wife''s Tax Calc'!$P$33/12</f>
        <v>64559055.572469674</v>
      </c>
      <c r="J39" s="45">
        <f>'3.2. My wife''s Tax Calc'!$P$33/12</f>
        <v>64559055.572469674</v>
      </c>
      <c r="K39" s="45">
        <f>'3.2. My wife''s Tax Calc'!$P$33/12</f>
        <v>64559055.572469674</v>
      </c>
      <c r="L39" s="45">
        <f>'3.2. My wife''s Tax Calc'!$P$33/12</f>
        <v>64559055.572469674</v>
      </c>
      <c r="M39" s="45">
        <f>'3.2. My wife''s Tax Calc'!$P$33/12</f>
        <v>64559055.572469674</v>
      </c>
      <c r="N39" s="45">
        <f>'3.2. My wife''s Tax Calc'!$P$33/12</f>
        <v>64559055.572469674</v>
      </c>
      <c r="O39" s="45" t="s">
        <v>173</v>
      </c>
    </row>
    <row r="40" spans="1:15" x14ac:dyDescent="0.25">
      <c r="A40" s="82"/>
      <c r="B40" s="46" t="s">
        <v>209</v>
      </c>
      <c r="C40" s="47">
        <f>SUM(C38:C39)</f>
        <v>208252770.71705276</v>
      </c>
      <c r="D40" s="47">
        <f t="shared" ref="D40:J40" si="11">SUM(D38:D39)</f>
        <v>208252770.71705276</v>
      </c>
      <c r="E40" s="47">
        <f t="shared" si="11"/>
        <v>208252770.71705276</v>
      </c>
      <c r="F40" s="47">
        <f t="shared" si="11"/>
        <v>208252770.71705276</v>
      </c>
      <c r="G40" s="47">
        <f t="shared" si="11"/>
        <v>208252770.71705276</v>
      </c>
      <c r="H40" s="47">
        <f t="shared" si="11"/>
        <v>208252770.71705276</v>
      </c>
      <c r="I40" s="47">
        <f t="shared" si="11"/>
        <v>208252770.71705276</v>
      </c>
      <c r="J40" s="47">
        <f t="shared" si="11"/>
        <v>208252770.71705276</v>
      </c>
      <c r="K40" s="47">
        <f>SUM(K38:K39)</f>
        <v>208252770.71705276</v>
      </c>
      <c r="L40" s="47">
        <f t="shared" ref="L40:N40" si="12">SUM(L38:L39)</f>
        <v>208252770.71705276</v>
      </c>
      <c r="M40" s="47">
        <f t="shared" si="12"/>
        <v>208252770.71705276</v>
      </c>
      <c r="N40" s="47">
        <f t="shared" si="12"/>
        <v>208252770.71705276</v>
      </c>
      <c r="O40" s="47">
        <f>SUM(C40:N40)</f>
        <v>2499033248.6046329</v>
      </c>
    </row>
    <row r="41" spans="1:15" x14ac:dyDescent="0.25">
      <c r="A41" s="82"/>
      <c r="B41" s="52" t="s">
        <v>78</v>
      </c>
      <c r="C41" s="53" t="s">
        <v>173</v>
      </c>
      <c r="D41" s="53" t="s">
        <v>173</v>
      </c>
      <c r="E41" s="53" t="s">
        <v>173</v>
      </c>
      <c r="F41" s="53" t="s">
        <v>173</v>
      </c>
      <c r="G41" s="53" t="s">
        <v>173</v>
      </c>
      <c r="H41" s="53" t="s">
        <v>173</v>
      </c>
      <c r="I41" s="53" t="s">
        <v>173</v>
      </c>
      <c r="J41" s="53" t="s">
        <v>173</v>
      </c>
      <c r="K41" s="53" t="s">
        <v>173</v>
      </c>
      <c r="L41" s="53" t="s">
        <v>173</v>
      </c>
      <c r="M41" s="53" t="s">
        <v>173</v>
      </c>
      <c r="N41" s="53" t="s">
        <v>173</v>
      </c>
      <c r="O41" s="91" t="s">
        <v>173</v>
      </c>
    </row>
    <row r="42" spans="1:15" x14ac:dyDescent="0.25">
      <c r="A42" s="82"/>
      <c r="B42" s="48" t="s">
        <v>79</v>
      </c>
      <c r="C42" s="54" t="s">
        <v>173</v>
      </c>
      <c r="D42" s="54" t="s">
        <v>173</v>
      </c>
      <c r="E42" s="54" t="s">
        <v>173</v>
      </c>
      <c r="F42" s="54" t="s">
        <v>173</v>
      </c>
      <c r="G42" s="54" t="s">
        <v>173</v>
      </c>
      <c r="H42" s="54" t="s">
        <v>173</v>
      </c>
      <c r="I42" s="54" t="s">
        <v>173</v>
      </c>
      <c r="J42" s="54" t="s">
        <v>173</v>
      </c>
      <c r="K42" s="54" t="s">
        <v>173</v>
      </c>
      <c r="L42" s="54" t="s">
        <v>173</v>
      </c>
      <c r="M42" s="54" t="s">
        <v>173</v>
      </c>
      <c r="N42" s="54" t="s">
        <v>173</v>
      </c>
      <c r="O42" s="91" t="s">
        <v>173</v>
      </c>
    </row>
    <row r="43" spans="1:15" x14ac:dyDescent="0.25">
      <c r="A43" s="83"/>
      <c r="B43" s="49" t="s">
        <v>195</v>
      </c>
      <c r="C43" s="50">
        <f>C9*(1+$K$64)</f>
        <v>445253.61017658073</v>
      </c>
      <c r="D43" s="50">
        <v>0</v>
      </c>
      <c r="E43" s="50">
        <v>0</v>
      </c>
      <c r="F43" s="50">
        <v>0</v>
      </c>
      <c r="G43" s="50">
        <v>0</v>
      </c>
      <c r="H43" s="50">
        <v>0</v>
      </c>
      <c r="I43" s="50">
        <v>0</v>
      </c>
      <c r="J43" s="50">
        <v>0</v>
      </c>
      <c r="K43" s="50">
        <v>0</v>
      </c>
      <c r="L43" s="50">
        <v>0</v>
      </c>
      <c r="M43" s="50">
        <v>0</v>
      </c>
      <c r="N43" s="50">
        <v>0</v>
      </c>
      <c r="O43" s="90">
        <f t="shared" ref="O43:O46" si="13">SUM(C43:N43)</f>
        <v>445253.61017658073</v>
      </c>
    </row>
    <row r="44" spans="1:15" x14ac:dyDescent="0.25">
      <c r="A44" s="82"/>
      <c r="B44" s="51" t="s">
        <v>178</v>
      </c>
      <c r="C44" s="50">
        <f>C10*(1+$K$64)</f>
        <v>3373133.4104286437</v>
      </c>
      <c r="D44" s="50">
        <f t="shared" ref="D44:N44" si="14">D10*(1+$K$64)</f>
        <v>3373133.4104286437</v>
      </c>
      <c r="E44" s="50">
        <f t="shared" si="14"/>
        <v>3373133.4104286437</v>
      </c>
      <c r="F44" s="50">
        <f t="shared" si="14"/>
        <v>3373133.4104286437</v>
      </c>
      <c r="G44" s="50">
        <f t="shared" si="14"/>
        <v>3373133.4104286437</v>
      </c>
      <c r="H44" s="50">
        <f t="shared" si="14"/>
        <v>3373133.4104286437</v>
      </c>
      <c r="I44" s="50">
        <f t="shared" si="14"/>
        <v>3373133.4104286437</v>
      </c>
      <c r="J44" s="50">
        <f t="shared" si="14"/>
        <v>3373133.4104286437</v>
      </c>
      <c r="K44" s="50">
        <f t="shared" si="14"/>
        <v>3373133.4104286437</v>
      </c>
      <c r="L44" s="50">
        <f t="shared" si="14"/>
        <v>3373133.4104286437</v>
      </c>
      <c r="M44" s="50">
        <f t="shared" si="14"/>
        <v>3373133.4104286437</v>
      </c>
      <c r="N44" s="50">
        <f t="shared" si="14"/>
        <v>3373133.4104286437</v>
      </c>
      <c r="O44" s="90">
        <f t="shared" si="13"/>
        <v>40477600.925143726</v>
      </c>
    </row>
    <row r="45" spans="1:15" x14ac:dyDescent="0.25">
      <c r="A45" s="84"/>
      <c r="B45" s="51" t="s">
        <v>248</v>
      </c>
      <c r="C45" s="50">
        <f>C11*(1+$K$64)</f>
        <v>404776.00925143709</v>
      </c>
      <c r="D45" s="50">
        <f t="shared" ref="D45:N45" si="15">D11*(1+$K$64)</f>
        <v>404776.00925143709</v>
      </c>
      <c r="E45" s="50">
        <f t="shared" si="15"/>
        <v>404776.00925143709</v>
      </c>
      <c r="F45" s="50">
        <f t="shared" si="15"/>
        <v>404776.00925143709</v>
      </c>
      <c r="G45" s="50">
        <f t="shared" si="15"/>
        <v>404776.00925143709</v>
      </c>
      <c r="H45" s="50">
        <f t="shared" si="15"/>
        <v>404776.00925143709</v>
      </c>
      <c r="I45" s="50">
        <f t="shared" si="15"/>
        <v>404776.00925143709</v>
      </c>
      <c r="J45" s="50">
        <f t="shared" si="15"/>
        <v>404776.00925143709</v>
      </c>
      <c r="K45" s="50">
        <f t="shared" si="15"/>
        <v>404776.00925143709</v>
      </c>
      <c r="L45" s="50">
        <f t="shared" si="15"/>
        <v>404776.00925143709</v>
      </c>
      <c r="M45" s="50">
        <f t="shared" si="15"/>
        <v>404776.00925143709</v>
      </c>
      <c r="N45" s="50">
        <f t="shared" si="15"/>
        <v>404776.00925143709</v>
      </c>
      <c r="O45" s="90">
        <f t="shared" si="13"/>
        <v>4857312.1110172449</v>
      </c>
    </row>
    <row r="46" spans="1:15" x14ac:dyDescent="0.25">
      <c r="A46" s="82"/>
      <c r="B46" s="46" t="s">
        <v>207</v>
      </c>
      <c r="C46" s="47">
        <f t="shared" ref="C46:N46" si="16">SUM(C43:C45)</f>
        <v>4223163.0298566613</v>
      </c>
      <c r="D46" s="47">
        <f t="shared" si="16"/>
        <v>3777909.4196800808</v>
      </c>
      <c r="E46" s="47">
        <f t="shared" si="16"/>
        <v>3777909.4196800808</v>
      </c>
      <c r="F46" s="47">
        <f t="shared" si="16"/>
        <v>3777909.4196800808</v>
      </c>
      <c r="G46" s="47">
        <f t="shared" si="16"/>
        <v>3777909.4196800808</v>
      </c>
      <c r="H46" s="47">
        <f t="shared" si="16"/>
        <v>3777909.4196800808</v>
      </c>
      <c r="I46" s="47">
        <f t="shared" si="16"/>
        <v>3777909.4196800808</v>
      </c>
      <c r="J46" s="47">
        <f t="shared" si="16"/>
        <v>3777909.4196800808</v>
      </c>
      <c r="K46" s="47">
        <f t="shared" si="16"/>
        <v>3777909.4196800808</v>
      </c>
      <c r="L46" s="47">
        <f t="shared" si="16"/>
        <v>3777909.4196800808</v>
      </c>
      <c r="M46" s="47">
        <f t="shared" si="16"/>
        <v>3777909.4196800808</v>
      </c>
      <c r="N46" s="47">
        <f t="shared" si="16"/>
        <v>3777909.4196800808</v>
      </c>
      <c r="O46" s="47">
        <f t="shared" si="13"/>
        <v>45780166.646337554</v>
      </c>
    </row>
    <row r="47" spans="1:15" x14ac:dyDescent="0.25">
      <c r="A47" s="82"/>
      <c r="B47" s="55" t="s">
        <v>83</v>
      </c>
      <c r="C47" s="59" t="s">
        <v>173</v>
      </c>
      <c r="D47" s="59" t="s">
        <v>173</v>
      </c>
      <c r="E47" s="59" t="s">
        <v>173</v>
      </c>
      <c r="F47" s="59" t="s">
        <v>173</v>
      </c>
      <c r="G47" s="59" t="s">
        <v>173</v>
      </c>
      <c r="H47" s="59" t="s">
        <v>173</v>
      </c>
      <c r="I47" s="59" t="s">
        <v>173</v>
      </c>
      <c r="J47" s="59" t="s">
        <v>173</v>
      </c>
      <c r="K47" s="59" t="s">
        <v>173</v>
      </c>
      <c r="L47" s="59" t="s">
        <v>173</v>
      </c>
      <c r="M47" s="59" t="s">
        <v>173</v>
      </c>
      <c r="N47" s="59" t="s">
        <v>173</v>
      </c>
      <c r="O47" s="91" t="s">
        <v>173</v>
      </c>
    </row>
    <row r="48" spans="1:15" x14ac:dyDescent="0.25">
      <c r="A48" s="82"/>
      <c r="B48" s="57" t="s">
        <v>210</v>
      </c>
      <c r="C48" s="89">
        <f t="shared" ref="C48:N48" si="17">C14*(1+$K$64)</f>
        <v>3349521.4765556431</v>
      </c>
      <c r="D48" s="89">
        <f t="shared" si="17"/>
        <v>4037640.6922830869</v>
      </c>
      <c r="E48" s="89">
        <f t="shared" si="17"/>
        <v>3723939.2851132196</v>
      </c>
      <c r="F48" s="89">
        <f t="shared" si="17"/>
        <v>3481073.6795623596</v>
      </c>
      <c r="G48" s="89">
        <f t="shared" si="17"/>
        <v>3197730.4730863539</v>
      </c>
      <c r="H48" s="89">
        <f t="shared" si="17"/>
        <v>4007282.4915892268</v>
      </c>
      <c r="I48" s="89">
        <f t="shared" si="17"/>
        <v>4675162.9068540977</v>
      </c>
      <c r="J48" s="89">
        <f t="shared" si="17"/>
        <v>4482894.3024596665</v>
      </c>
      <c r="K48" s="89">
        <f t="shared" si="17"/>
        <v>3460834.8790997867</v>
      </c>
      <c r="L48" s="89">
        <f t="shared" si="17"/>
        <v>3551909.4811813612</v>
      </c>
      <c r="M48" s="89">
        <f t="shared" si="17"/>
        <v>3379879.6772494996</v>
      </c>
      <c r="N48" s="89">
        <f t="shared" si="17"/>
        <v>3653103.4834942194</v>
      </c>
      <c r="O48" s="92">
        <f t="shared" ref="O48:O57" si="18">SUM(C48:N48)</f>
        <v>45000972.828528523</v>
      </c>
    </row>
    <row r="49" spans="1:25" x14ac:dyDescent="0.25">
      <c r="A49" s="82"/>
      <c r="B49" s="57" t="s">
        <v>203</v>
      </c>
      <c r="C49" s="89">
        <f t="shared" ref="C49:N49" si="19">C15*(1+$K$64)</f>
        <v>12092683.276386682</v>
      </c>
      <c r="D49" s="89">
        <f t="shared" si="19"/>
        <v>13023668.097664993</v>
      </c>
      <c r="E49" s="89">
        <f t="shared" si="19"/>
        <v>14602294.533745596</v>
      </c>
      <c r="F49" s="89">
        <f t="shared" si="19"/>
        <v>11070623.853026813</v>
      </c>
      <c r="G49" s="89">
        <f t="shared" si="19"/>
        <v>14733846.736752316</v>
      </c>
      <c r="H49" s="89">
        <f t="shared" si="19"/>
        <v>13883817.117324295</v>
      </c>
      <c r="I49" s="89">
        <f t="shared" si="19"/>
        <v>12740324.891188988</v>
      </c>
      <c r="J49" s="89">
        <f t="shared" si="19"/>
        <v>15148742.146235038</v>
      </c>
      <c r="K49" s="89">
        <f t="shared" si="19"/>
        <v>14804682.538371308</v>
      </c>
      <c r="L49" s="89">
        <f t="shared" si="19"/>
        <v>14804682.538371308</v>
      </c>
      <c r="M49" s="89">
        <f t="shared" si="19"/>
        <v>11505758.062972106</v>
      </c>
      <c r="N49" s="89">
        <f t="shared" si="19"/>
        <v>14187399.124262877</v>
      </c>
      <c r="O49" s="92">
        <f t="shared" si="18"/>
        <v>162598522.91630229</v>
      </c>
    </row>
    <row r="50" spans="1:25" x14ac:dyDescent="0.25">
      <c r="A50" s="82"/>
      <c r="B50" s="58" t="s">
        <v>84</v>
      </c>
      <c r="C50" s="89">
        <f t="shared" ref="C50:N50" si="20">C16*(1+$K$64)</f>
        <v>10696206.044469224</v>
      </c>
      <c r="D50" s="89">
        <f t="shared" si="20"/>
        <v>11677787.866903957</v>
      </c>
      <c r="E50" s="89">
        <f t="shared" si="20"/>
        <v>11718265.467829105</v>
      </c>
      <c r="F50" s="89">
        <f t="shared" si="20"/>
        <v>12102802.676617971</v>
      </c>
      <c r="G50" s="89">
        <f t="shared" si="20"/>
        <v>14318951.32726959</v>
      </c>
      <c r="H50" s="89">
        <f t="shared" si="20"/>
        <v>12386145.883093974</v>
      </c>
      <c r="I50" s="89">
        <f t="shared" si="20"/>
        <v>12861757.693964418</v>
      </c>
      <c r="J50" s="89">
        <f t="shared" si="20"/>
        <v>14804682.538371308</v>
      </c>
      <c r="K50" s="89">
        <f t="shared" si="20"/>
        <v>13549876.909691863</v>
      </c>
      <c r="L50" s="89">
        <f t="shared" si="20"/>
        <v>13529638.109229287</v>
      </c>
      <c r="M50" s="89">
        <f t="shared" si="20"/>
        <v>14480861.730970159</v>
      </c>
      <c r="N50" s="89">
        <f t="shared" si="20"/>
        <v>11627190.865747534</v>
      </c>
      <c r="O50" s="92">
        <f t="shared" si="18"/>
        <v>153754167.11415839</v>
      </c>
    </row>
    <row r="51" spans="1:25" x14ac:dyDescent="0.25">
      <c r="A51" s="82"/>
      <c r="B51" s="58" t="s">
        <v>81</v>
      </c>
      <c r="C51" s="89">
        <f t="shared" ref="C51:N51" si="21">C17*(1+$K$64)</f>
        <v>1011940.0231285933</v>
      </c>
      <c r="D51" s="89">
        <f t="shared" si="21"/>
        <v>1011940.0231285933</v>
      </c>
      <c r="E51" s="89">
        <f t="shared" si="21"/>
        <v>1011940.0231285933</v>
      </c>
      <c r="F51" s="89">
        <f t="shared" si="21"/>
        <v>1011940.0231285933</v>
      </c>
      <c r="G51" s="89">
        <f t="shared" si="21"/>
        <v>1011940.0231285933</v>
      </c>
      <c r="H51" s="89">
        <f t="shared" si="21"/>
        <v>1011940.0231285933</v>
      </c>
      <c r="I51" s="89">
        <f t="shared" si="21"/>
        <v>1011940.0231285933</v>
      </c>
      <c r="J51" s="89">
        <f t="shared" si="21"/>
        <v>1011940.0231285933</v>
      </c>
      <c r="K51" s="89">
        <f t="shared" si="21"/>
        <v>1011940.0231285933</v>
      </c>
      <c r="L51" s="89">
        <f t="shared" si="21"/>
        <v>1011940.0231285933</v>
      </c>
      <c r="M51" s="89">
        <f t="shared" si="21"/>
        <v>1011940.0231285933</v>
      </c>
      <c r="N51" s="89">
        <f t="shared" si="21"/>
        <v>1011940.0231285933</v>
      </c>
      <c r="O51" s="92">
        <f t="shared" si="18"/>
        <v>12143280.27754312</v>
      </c>
    </row>
    <row r="52" spans="1:25" x14ac:dyDescent="0.25">
      <c r="A52" s="82"/>
      <c r="B52" s="57" t="s">
        <v>85</v>
      </c>
      <c r="C52" s="89">
        <f t="shared" ref="C52:N52" si="22">C18*(1+$K$64)</f>
        <v>12426623.484019123</v>
      </c>
      <c r="D52" s="89">
        <f t="shared" si="22"/>
        <v>10635489.64308152</v>
      </c>
      <c r="E52" s="89">
        <f t="shared" si="22"/>
        <v>11009907.45163909</v>
      </c>
      <c r="F52" s="89">
        <f t="shared" si="22"/>
        <v>11181937.255570948</v>
      </c>
      <c r="G52" s="89">
        <f t="shared" si="22"/>
        <v>15037428.743690887</v>
      </c>
      <c r="H52" s="89">
        <f t="shared" si="22"/>
        <v>11040265.652332954</v>
      </c>
      <c r="I52" s="89">
        <f t="shared" si="22"/>
        <v>12811160.692807987</v>
      </c>
      <c r="J52" s="89">
        <f t="shared" si="22"/>
        <v>10139639.031748502</v>
      </c>
      <c r="K52" s="89">
        <f t="shared" si="22"/>
        <v>13185578.501365568</v>
      </c>
      <c r="L52" s="89">
        <f t="shared" si="22"/>
        <v>10473579.239380935</v>
      </c>
      <c r="M52" s="89">
        <f t="shared" si="22"/>
        <v>13337369.504834855</v>
      </c>
      <c r="N52" s="89">
        <f t="shared" si="22"/>
        <v>12699847.290263839</v>
      </c>
      <c r="O52" s="92">
        <f t="shared" si="18"/>
        <v>143978826.49073622</v>
      </c>
    </row>
    <row r="53" spans="1:25" x14ac:dyDescent="0.25">
      <c r="A53" s="84"/>
      <c r="B53" s="58" t="s">
        <v>249</v>
      </c>
      <c r="C53" s="89">
        <f t="shared" ref="C53:N53" si="23">C40*5%</f>
        <v>10412638.535852639</v>
      </c>
      <c r="D53" s="89">
        <f t="shared" si="23"/>
        <v>10412638.535852639</v>
      </c>
      <c r="E53" s="89">
        <f t="shared" si="23"/>
        <v>10412638.535852639</v>
      </c>
      <c r="F53" s="89">
        <f t="shared" si="23"/>
        <v>10412638.535852639</v>
      </c>
      <c r="G53" s="89">
        <f t="shared" si="23"/>
        <v>10412638.535852639</v>
      </c>
      <c r="H53" s="89">
        <f t="shared" si="23"/>
        <v>10412638.535852639</v>
      </c>
      <c r="I53" s="89">
        <f t="shared" si="23"/>
        <v>10412638.535852639</v>
      </c>
      <c r="J53" s="89">
        <f t="shared" si="23"/>
        <v>10412638.535852639</v>
      </c>
      <c r="K53" s="89">
        <f t="shared" si="23"/>
        <v>10412638.535852639</v>
      </c>
      <c r="L53" s="89">
        <f t="shared" si="23"/>
        <v>10412638.535852639</v>
      </c>
      <c r="M53" s="89">
        <f t="shared" si="23"/>
        <v>10412638.535852639</v>
      </c>
      <c r="N53" s="89">
        <f t="shared" si="23"/>
        <v>10412638.535852639</v>
      </c>
      <c r="O53" s="92">
        <f t="shared" si="18"/>
        <v>124951662.43023168</v>
      </c>
    </row>
    <row r="54" spans="1:25" x14ac:dyDescent="0.25">
      <c r="A54" s="84"/>
      <c r="B54" s="58" t="s">
        <v>180</v>
      </c>
      <c r="C54" s="89">
        <f>'7.5. Stage 5&amp;6 budget'!C20*(1+'7.5. Stage 5&amp;6 budget'!$K$68)</f>
        <v>12236580.014171252</v>
      </c>
      <c r="D54" s="89">
        <f>'7.5. Stage 5&amp;6 budget'!D20*(1+'7.5. Stage 5&amp;6 budget'!$K$68)</f>
        <v>12076459.476795735</v>
      </c>
      <c r="E54" s="89">
        <f>'7.5. Stage 5&amp;6 budget'!E20*(1+'7.5. Stage 5&amp;6 budget'!$K$68)</f>
        <v>10037029.474433864</v>
      </c>
      <c r="F54" s="89">
        <f>'7.5. Stage 5&amp;6 budget'!F20*(1+'7.5. Stage 5&amp;6 budget'!$K$68)</f>
        <v>11082026.665726727</v>
      </c>
      <c r="G54" s="89">
        <f>'7.5. Stage 5&amp;6 budget'!G20*(1+'7.5. Stage 5&amp;6 budget'!$K$68)</f>
        <v>8739210.3820217606</v>
      </c>
      <c r="H54" s="89">
        <f>'7.5. Stage 5&amp;6 budget'!H20*(1+'7.5. Stage 5&amp;6 budget'!$K$68)</f>
        <v>9716788.3996828236</v>
      </c>
      <c r="I54" s="89">
        <f>'7.5. Stage 5&amp;6 budget'!I20*(1+'7.5. Stage 5&amp;6 budget'!$K$68)</f>
        <v>10053884.267841814</v>
      </c>
      <c r="J54" s="89">
        <f>'7.5. Stage 5&amp;6 budget'!J20*(1+'7.5. Stage 5&amp;6 budget'!$K$68)</f>
        <v>11916338.939420216</v>
      </c>
      <c r="K54" s="89">
        <f>'7.5. Stage 5&amp;6 budget'!K20*(1+'7.5. Stage 5&amp;6 budget'!$K$68)</f>
        <v>9329128.151299987</v>
      </c>
      <c r="L54" s="89">
        <f>'7.5. Stage 5&amp;6 budget'!L20*(1+'7.5. Stage 5&amp;6 budget'!$K$68)</f>
        <v>9986465.09421001</v>
      </c>
      <c r="M54" s="89">
        <f>'7.5. Stage 5&amp;6 budget'!M20*(1+'7.5. Stage 5&amp;6 budget'!$K$68)</f>
        <v>10003319.887617959</v>
      </c>
      <c r="N54" s="89">
        <f>'7.5. Stage 5&amp;6 budget'!N20*(1+'7.5. Stage 5&amp;6 budget'!$K$68)</f>
        <v>9750497.9864987247</v>
      </c>
      <c r="O54" s="92">
        <f t="shared" si="18"/>
        <v>124927728.7397209</v>
      </c>
    </row>
    <row r="55" spans="1:25" x14ac:dyDescent="0.25">
      <c r="A55" s="84"/>
      <c r="B55" s="58" t="s">
        <v>86</v>
      </c>
      <c r="C55" s="89">
        <f>'7.5. Stage 5&amp;6 budget'!C22*(1+'7.5. Stage 5&amp;6 budget'!$K$68)</f>
        <v>8907758.3161012493</v>
      </c>
      <c r="D55" s="89">
        <f>'7.5. Stage 5&amp;6 budget'!D22*(1+'7.5. Stage 5&amp;6 budget'!$K$68)</f>
        <v>8806629.5556535553</v>
      </c>
      <c r="E55" s="89">
        <f>'7.5. Stage 5&amp;6 budget'!E22*(1+'7.5. Stage 5&amp;6 budget'!$K$68)</f>
        <v>8545380.2578303441</v>
      </c>
      <c r="F55" s="89">
        <f>'7.5. Stage 5&amp;6 budget'!F22*(1+'7.5. Stage 5&amp;6 budget'!$K$68)</f>
        <v>11149445.83935852</v>
      </c>
      <c r="G55" s="89">
        <f>'7.5. Stage 5&amp;6 budget'!G22*(1+'7.5. Stage 5&amp;6 budget'!$K$68)</f>
        <v>10374125.342592848</v>
      </c>
      <c r="H55" s="89">
        <f>'7.5. Stage 5&amp;6 budget'!H22*(1+'7.5. Stage 5&amp;6 budget'!$K$68)</f>
        <v>8638081.6215740629</v>
      </c>
      <c r="I55" s="89">
        <f>'7.5. Stage 5&amp;6 budget'!I22*(1+'7.5. Stage 5&amp;6 budget'!$K$68)</f>
        <v>11714081.418524828</v>
      </c>
      <c r="J55" s="89">
        <f>'7.5. Stage 5&amp;6 budget'!J22*(1+'7.5. Stage 5&amp;6 budget'!$K$68)</f>
        <v>11242147.203102244</v>
      </c>
      <c r="K55" s="89">
        <f>'7.5. Stage 5&amp;6 budget'!K22*(1+'7.5. Stage 5&amp;6 budget'!$K$68)</f>
        <v>9051024.0600688234</v>
      </c>
      <c r="L55" s="89">
        <f>'7.5. Stage 5&amp;6 budget'!L22*(1+'7.5. Stage 5&amp;6 budget'!$K$68)</f>
        <v>9362837.7381158862</v>
      </c>
      <c r="M55" s="89">
        <f>'7.5. Stage 5&amp;6 budget'!M22*(1+'7.5. Stage 5&amp;6 budget'!$K$68)</f>
        <v>11385412.947069813</v>
      </c>
      <c r="N55" s="89">
        <f>'7.5. Stage 5&amp;6 budget'!N22*(1+'7.5. Stage 5&amp;6 budget'!$K$68)</f>
        <v>11983758.11305202</v>
      </c>
      <c r="O55" s="92">
        <f t="shared" si="18"/>
        <v>121160682.4130442</v>
      </c>
    </row>
    <row r="56" spans="1:25" x14ac:dyDescent="0.25">
      <c r="A56" s="82"/>
      <c r="B56" s="46" t="s">
        <v>208</v>
      </c>
      <c r="C56" s="47">
        <f t="shared" ref="C56:N56" si="24">SUM(C48:C55)</f>
        <v>71133951.170684412</v>
      </c>
      <c r="D56" s="47">
        <f t="shared" si="24"/>
        <v>71682253.891364083</v>
      </c>
      <c r="E56" s="47">
        <f t="shared" si="24"/>
        <v>71061395.029572457</v>
      </c>
      <c r="F56" s="47">
        <f t="shared" si="24"/>
        <v>71492488.52884458</v>
      </c>
      <c r="G56" s="47">
        <f t="shared" si="24"/>
        <v>77825871.564394981</v>
      </c>
      <c r="H56" s="47">
        <f t="shared" si="24"/>
        <v>71096959.724578559</v>
      </c>
      <c r="I56" s="47">
        <f t="shared" si="24"/>
        <v>76280950.430163369</v>
      </c>
      <c r="J56" s="47">
        <f t="shared" si="24"/>
        <v>79159022.720318213</v>
      </c>
      <c r="K56" s="47">
        <f t="shared" si="24"/>
        <v>74805703.598878562</v>
      </c>
      <c r="L56" s="47">
        <f t="shared" si="24"/>
        <v>73133690.759470031</v>
      </c>
      <c r="M56" s="47">
        <f t="shared" si="24"/>
        <v>75517180.369695619</v>
      </c>
      <c r="N56" s="47">
        <f t="shared" si="24"/>
        <v>75326375.422300458</v>
      </c>
      <c r="O56" s="47">
        <f t="shared" si="18"/>
        <v>888515843.21026528</v>
      </c>
    </row>
    <row r="57" spans="1:25" x14ac:dyDescent="0.25">
      <c r="A57" s="82"/>
      <c r="B57" s="60" t="s">
        <v>87</v>
      </c>
      <c r="C57" s="47">
        <f t="shared" ref="C57:N57" si="25">C46+C56</f>
        <v>75357114.200541079</v>
      </c>
      <c r="D57" s="47">
        <f t="shared" si="25"/>
        <v>75460163.311044157</v>
      </c>
      <c r="E57" s="47">
        <f t="shared" si="25"/>
        <v>74839304.449252531</v>
      </c>
      <c r="F57" s="47">
        <f t="shared" si="25"/>
        <v>75270397.948524654</v>
      </c>
      <c r="G57" s="47">
        <f t="shared" si="25"/>
        <v>81603780.984075055</v>
      </c>
      <c r="H57" s="47">
        <f t="shared" si="25"/>
        <v>74874869.144258633</v>
      </c>
      <c r="I57" s="47">
        <f t="shared" si="25"/>
        <v>80058859.849843442</v>
      </c>
      <c r="J57" s="47">
        <f t="shared" si="25"/>
        <v>82936932.139998287</v>
      </c>
      <c r="K57" s="47">
        <f t="shared" si="25"/>
        <v>78583613.018558636</v>
      </c>
      <c r="L57" s="47">
        <f t="shared" si="25"/>
        <v>76911600.179150105</v>
      </c>
      <c r="M57" s="47">
        <f t="shared" si="25"/>
        <v>79295089.789375693</v>
      </c>
      <c r="N57" s="47">
        <f t="shared" si="25"/>
        <v>79104284.841980532</v>
      </c>
      <c r="O57" s="47">
        <f t="shared" si="18"/>
        <v>934296009.85660291</v>
      </c>
    </row>
    <row r="58" spans="1:25" s="11" customFormat="1" x14ac:dyDescent="0.25">
      <c r="A58" s="82"/>
      <c r="B58" s="108" t="s">
        <v>204</v>
      </c>
      <c r="C58" s="109">
        <f>$O57*(3/12)/12</f>
        <v>19464500.205345895</v>
      </c>
      <c r="D58" s="109">
        <f t="shared" ref="D58" si="26">$O57*(3/12)/12</f>
        <v>19464500.205345895</v>
      </c>
      <c r="E58" s="109">
        <f t="shared" ref="E58" si="27">$O57*(3/12)/12</f>
        <v>19464500.205345895</v>
      </c>
      <c r="F58" s="109">
        <f t="shared" ref="F58" si="28">$O57*(3/12)/12</f>
        <v>19464500.205345895</v>
      </c>
      <c r="G58" s="109">
        <f t="shared" ref="G58" si="29">$O57*(3/12)/12</f>
        <v>19464500.205345895</v>
      </c>
      <c r="H58" s="109">
        <f t="shared" ref="H58" si="30">$O57*(3/12)/12</f>
        <v>19464500.205345895</v>
      </c>
      <c r="I58" s="109">
        <f t="shared" ref="I58" si="31">$O57*(3/12)/12</f>
        <v>19464500.205345895</v>
      </c>
      <c r="J58" s="109">
        <f t="shared" ref="J58" si="32">$O57*(3/12)/12</f>
        <v>19464500.205345895</v>
      </c>
      <c r="K58" s="109">
        <f t="shared" ref="K58" si="33">$O57*(3/12)/12</f>
        <v>19464500.205345895</v>
      </c>
      <c r="L58" s="109">
        <f t="shared" ref="L58" si="34">$O57*(3/12)/12</f>
        <v>19464500.205345895</v>
      </c>
      <c r="M58" s="109">
        <f t="shared" ref="M58" si="35">$O57*(3/12)/12</f>
        <v>19464500.205345895</v>
      </c>
      <c r="N58" s="109">
        <f>$O57*(3/12)/12</f>
        <v>19464500.205345895</v>
      </c>
      <c r="O58" s="109">
        <f t="shared" ref="O58:O61" si="36">SUM(C58:N58)</f>
        <v>233574002.46415076</v>
      </c>
      <c r="P58" s="43"/>
      <c r="Q58" s="43"/>
      <c r="R58" s="40"/>
      <c r="S58" s="40"/>
      <c r="T58" s="40"/>
      <c r="U58" s="40"/>
      <c r="V58" s="40"/>
      <c r="W58" s="40"/>
      <c r="X58" s="40"/>
      <c r="Y58" s="40"/>
    </row>
    <row r="59" spans="1:25" s="11" customFormat="1" x14ac:dyDescent="0.25">
      <c r="A59" s="82"/>
      <c r="B59" s="108" t="s">
        <v>82</v>
      </c>
      <c r="C59" s="109">
        <f>'6. Mortgage payment'!$C$7</f>
        <v>28168245.060798287</v>
      </c>
      <c r="D59" s="109">
        <f>'6. Mortgage payment'!$C$7</f>
        <v>28168245.060798287</v>
      </c>
      <c r="E59" s="109">
        <f>'6. Mortgage payment'!$C$7</f>
        <v>28168245.060798287</v>
      </c>
      <c r="F59" s="109">
        <f>'6. Mortgage payment'!$C$7</f>
        <v>28168245.060798287</v>
      </c>
      <c r="G59" s="109">
        <f>'6. Mortgage payment'!$C$7</f>
        <v>28168245.060798287</v>
      </c>
      <c r="H59" s="109">
        <f>'6. Mortgage payment'!$C$7</f>
        <v>28168245.060798287</v>
      </c>
      <c r="I59" s="109">
        <f>'6. Mortgage payment'!$C$7</f>
        <v>28168245.060798287</v>
      </c>
      <c r="J59" s="109">
        <f>'6. Mortgage payment'!$C$7</f>
        <v>28168245.060798287</v>
      </c>
      <c r="K59" s="109">
        <f>'6. Mortgage payment'!$C$7</f>
        <v>28168245.060798287</v>
      </c>
      <c r="L59" s="109">
        <f>'6. Mortgage payment'!$C$7</f>
        <v>28168245.060798287</v>
      </c>
      <c r="M59" s="109">
        <f>'6. Mortgage payment'!$C$7</f>
        <v>28168245.060798287</v>
      </c>
      <c r="N59" s="109">
        <f>'6. Mortgage payment'!$C$7</f>
        <v>28168245.060798287</v>
      </c>
      <c r="O59" s="109">
        <f t="shared" si="36"/>
        <v>338018940.72957945</v>
      </c>
      <c r="P59" s="43"/>
      <c r="Q59" s="43"/>
      <c r="R59" s="40"/>
      <c r="S59" s="40"/>
      <c r="T59" s="40"/>
      <c r="U59" s="40"/>
      <c r="V59" s="40"/>
      <c r="W59" s="40"/>
      <c r="X59" s="40"/>
      <c r="Y59" s="40"/>
    </row>
    <row r="60" spans="1:25" s="11" customFormat="1" x14ac:dyDescent="0.25">
      <c r="A60" s="82"/>
      <c r="B60" s="108" t="s">
        <v>386</v>
      </c>
      <c r="C60" s="109">
        <f>C26*(1+$K$64)</f>
        <v>3697073.3147477186</v>
      </c>
      <c r="D60" s="109">
        <v>0</v>
      </c>
      <c r="E60" s="109">
        <v>0</v>
      </c>
      <c r="F60" s="109">
        <v>0</v>
      </c>
      <c r="G60" s="109">
        <v>0</v>
      </c>
      <c r="H60" s="109">
        <v>0</v>
      </c>
      <c r="I60" s="109">
        <v>0</v>
      </c>
      <c r="J60" s="109">
        <v>0</v>
      </c>
      <c r="K60" s="109">
        <v>0</v>
      </c>
      <c r="L60" s="109">
        <v>0</v>
      </c>
      <c r="M60" s="109">
        <v>0</v>
      </c>
      <c r="N60" s="109">
        <v>0</v>
      </c>
      <c r="O60" s="109">
        <f t="shared" si="36"/>
        <v>3697073.3147477186</v>
      </c>
      <c r="P60" s="43"/>
      <c r="Q60" s="43"/>
      <c r="R60" s="40"/>
      <c r="S60" s="40"/>
      <c r="T60" s="40"/>
      <c r="U60" s="40"/>
      <c r="V60" s="40"/>
      <c r="W60" s="40"/>
      <c r="X60" s="40"/>
      <c r="Y60" s="40"/>
    </row>
    <row r="61" spans="1:25" s="11" customFormat="1" x14ac:dyDescent="0.25">
      <c r="A61" s="82"/>
      <c r="B61" s="60" t="s">
        <v>206</v>
      </c>
      <c r="C61" s="61">
        <f>C40-C57-C58-C59-C60</f>
        <v>81565837.935619771</v>
      </c>
      <c r="D61" s="61">
        <f t="shared" ref="D61:N61" si="37">D40-D57-D58-D59-D60</f>
        <v>85159862.139864415</v>
      </c>
      <c r="E61" s="61">
        <f t="shared" si="37"/>
        <v>85780721.001656041</v>
      </c>
      <c r="F61" s="61">
        <f t="shared" si="37"/>
        <v>85349627.502383918</v>
      </c>
      <c r="G61" s="61">
        <f t="shared" si="37"/>
        <v>79016244.466833517</v>
      </c>
      <c r="H61" s="61">
        <f t="shared" si="37"/>
        <v>85745156.306649938</v>
      </c>
      <c r="I61" s="61">
        <f t="shared" si="37"/>
        <v>80561165.601065129</v>
      </c>
      <c r="J61" s="61">
        <f t="shared" si="37"/>
        <v>77683093.310910285</v>
      </c>
      <c r="K61" s="61">
        <f t="shared" si="37"/>
        <v>82036412.432349935</v>
      </c>
      <c r="L61" s="61">
        <f t="shared" si="37"/>
        <v>83708425.271758467</v>
      </c>
      <c r="M61" s="61">
        <f t="shared" si="37"/>
        <v>81324935.661532879</v>
      </c>
      <c r="N61" s="61">
        <f t="shared" si="37"/>
        <v>81515740.60892804</v>
      </c>
      <c r="O61" s="47">
        <f t="shared" si="36"/>
        <v>989447222.23955226</v>
      </c>
      <c r="P61" s="43"/>
      <c r="Q61" s="43"/>
      <c r="R61" s="40"/>
      <c r="S61" s="40"/>
      <c r="T61" s="40"/>
      <c r="U61" s="40"/>
      <c r="V61" s="40"/>
      <c r="W61" s="40"/>
      <c r="X61" s="40"/>
      <c r="Y61" s="40"/>
    </row>
    <row r="62" spans="1:25" x14ac:dyDescent="0.25">
      <c r="A62" s="85"/>
      <c r="B62" s="40"/>
      <c r="C62" s="40"/>
      <c r="D62" s="40"/>
      <c r="E62" s="40"/>
      <c r="F62" s="40"/>
      <c r="G62" s="40"/>
      <c r="H62" s="40"/>
      <c r="I62" s="40"/>
      <c r="J62" s="40"/>
      <c r="K62" s="40"/>
      <c r="L62" s="353" t="s">
        <v>217</v>
      </c>
      <c r="M62" s="354"/>
      <c r="N62" s="350">
        <f>SUM(C61:N61)+N28</f>
        <v>14056155961.958464</v>
      </c>
      <c r="O62" s="40"/>
    </row>
    <row r="63" spans="1:25" x14ac:dyDescent="0.25">
      <c r="A63" s="85"/>
      <c r="B63" s="40"/>
      <c r="C63" s="40"/>
      <c r="D63" s="40"/>
      <c r="E63" s="40"/>
      <c r="F63" s="40"/>
      <c r="G63" s="40"/>
      <c r="H63" s="40"/>
      <c r="I63" s="40"/>
      <c r="J63" s="40"/>
      <c r="K63" s="40"/>
      <c r="L63" s="320"/>
      <c r="M63" s="355"/>
      <c r="N63" s="351"/>
      <c r="O63" s="40"/>
    </row>
    <row r="64" spans="1:25" x14ac:dyDescent="0.25">
      <c r="A64" s="85"/>
      <c r="B64" s="319" t="s">
        <v>632</v>
      </c>
      <c r="C64" s="352" t="s">
        <v>173</v>
      </c>
      <c r="D64" s="352"/>
      <c r="E64" s="352"/>
      <c r="F64" s="352"/>
      <c r="G64" s="352"/>
      <c r="H64" s="352"/>
      <c r="I64" s="40"/>
      <c r="J64" s="358" t="s">
        <v>231</v>
      </c>
      <c r="K64" s="359">
        <v>0.04</v>
      </c>
      <c r="L64" s="40"/>
      <c r="M64" s="40"/>
      <c r="N64" s="40"/>
      <c r="O64" s="361"/>
    </row>
    <row r="65" spans="1:15" x14ac:dyDescent="0.25">
      <c r="A65" s="85"/>
      <c r="B65" s="319"/>
      <c r="C65" s="352"/>
      <c r="D65" s="352"/>
      <c r="E65" s="352"/>
      <c r="F65" s="352"/>
      <c r="G65" s="352"/>
      <c r="H65" s="352"/>
      <c r="I65" s="40"/>
      <c r="J65" s="358"/>
      <c r="K65" s="360"/>
      <c r="L65" s="40"/>
      <c r="M65" s="40"/>
      <c r="N65" s="40"/>
      <c r="O65" s="362"/>
    </row>
    <row r="66" spans="1:15" x14ac:dyDescent="0.25">
      <c r="A66" s="85"/>
      <c r="B66" s="319"/>
      <c r="C66" s="352"/>
      <c r="D66" s="352"/>
      <c r="E66" s="352"/>
      <c r="F66" s="352"/>
      <c r="G66" s="352"/>
      <c r="H66" s="352"/>
      <c r="I66" s="40"/>
      <c r="J66" s="40"/>
      <c r="K66" s="40"/>
      <c r="L66" s="40"/>
      <c r="M66" s="40"/>
      <c r="N66" s="40"/>
      <c r="O66" s="40"/>
    </row>
    <row r="69" spans="1:15" ht="24.6" x14ac:dyDescent="0.25">
      <c r="A69" s="96"/>
      <c r="B69" s="348" t="s">
        <v>274</v>
      </c>
      <c r="C69" s="348"/>
      <c r="D69" s="348"/>
      <c r="E69" s="348"/>
      <c r="F69" s="348"/>
      <c r="G69" s="348"/>
      <c r="H69" s="348"/>
      <c r="I69" s="348"/>
      <c r="J69" s="348"/>
      <c r="K69" s="348"/>
      <c r="L69" s="348"/>
      <c r="M69" s="348"/>
      <c r="N69" s="348"/>
      <c r="O69" s="348"/>
    </row>
    <row r="70" spans="1:15" ht="24.6" x14ac:dyDescent="0.25">
      <c r="A70" s="96"/>
      <c r="B70" s="349"/>
      <c r="C70" s="349"/>
      <c r="D70" s="349"/>
      <c r="E70" s="349"/>
      <c r="F70" s="349"/>
      <c r="G70" s="349"/>
      <c r="H70" s="349"/>
      <c r="I70" s="349"/>
      <c r="J70" s="349"/>
      <c r="K70" s="349"/>
      <c r="L70" s="349"/>
      <c r="M70" s="349"/>
      <c r="N70" s="349"/>
      <c r="O70" s="349"/>
    </row>
    <row r="71" spans="1:15" x14ac:dyDescent="0.25">
      <c r="A71" s="82"/>
      <c r="B71" s="41"/>
      <c r="C71" s="42" t="s">
        <v>66</v>
      </c>
      <c r="D71" s="42" t="s">
        <v>67</v>
      </c>
      <c r="E71" s="42" t="s">
        <v>68</v>
      </c>
      <c r="F71" s="42" t="s">
        <v>69</v>
      </c>
      <c r="G71" s="42" t="s">
        <v>70</v>
      </c>
      <c r="H71" s="42" t="s">
        <v>71</v>
      </c>
      <c r="I71" s="42" t="s">
        <v>72</v>
      </c>
      <c r="J71" s="42" t="s">
        <v>73</v>
      </c>
      <c r="K71" s="42" t="s">
        <v>74</v>
      </c>
      <c r="L71" s="42" t="s">
        <v>75</v>
      </c>
      <c r="M71" s="42" t="s">
        <v>76</v>
      </c>
      <c r="N71" s="42" t="s">
        <v>77</v>
      </c>
      <c r="O71" s="42" t="s">
        <v>236</v>
      </c>
    </row>
    <row r="72" spans="1:15" x14ac:dyDescent="0.25">
      <c r="A72" s="82"/>
      <c r="B72" s="44" t="s">
        <v>194</v>
      </c>
      <c r="C72" s="45">
        <f>'3.1. My Income Tax Calculation'!$P$34/12</f>
        <v>144381917.16593674</v>
      </c>
      <c r="D72" s="45">
        <f>'3.1. My Income Tax Calculation'!$P$34/12</f>
        <v>144381917.16593674</v>
      </c>
      <c r="E72" s="45">
        <f>'3.1. My Income Tax Calculation'!$P$34/12</f>
        <v>144381917.16593674</v>
      </c>
      <c r="F72" s="45">
        <f>'3.1. My Income Tax Calculation'!$P$34/12</f>
        <v>144381917.16593674</v>
      </c>
      <c r="G72" s="45">
        <f>'3.1. My Income Tax Calculation'!$P$34/12</f>
        <v>144381917.16593674</v>
      </c>
      <c r="H72" s="45">
        <f>'3.1. My Income Tax Calculation'!$P$34/12</f>
        <v>144381917.16593674</v>
      </c>
      <c r="I72" s="45">
        <f>'3.1. My Income Tax Calculation'!$P$34/12</f>
        <v>144381917.16593674</v>
      </c>
      <c r="J72" s="45">
        <f>'3.1. My Income Tax Calculation'!$P$34/12</f>
        <v>144381917.16593674</v>
      </c>
      <c r="K72" s="45">
        <f>'3.1. My Income Tax Calculation'!$P$34/12</f>
        <v>144381917.16593674</v>
      </c>
      <c r="L72" s="45">
        <f>'3.1. My Income Tax Calculation'!$P$34/12</f>
        <v>144381917.16593674</v>
      </c>
      <c r="M72" s="45">
        <f>'3.1. My Income Tax Calculation'!$P$34/12</f>
        <v>144381917.16593674</v>
      </c>
      <c r="N72" s="45">
        <f>'3.1. My Income Tax Calculation'!$P$34/12</f>
        <v>144381917.16593674</v>
      </c>
      <c r="O72" s="45" t="s">
        <v>173</v>
      </c>
    </row>
    <row r="73" spans="1:15" x14ac:dyDescent="0.25">
      <c r="A73" s="82"/>
      <c r="B73" s="44" t="s">
        <v>246</v>
      </c>
      <c r="C73" s="45">
        <f>'3.2. My wife''s Tax Calc'!$P$34/12</f>
        <v>64852397.631382741</v>
      </c>
      <c r="D73" s="45">
        <f>'3.2. My wife''s Tax Calc'!$P$34/12</f>
        <v>64852397.631382741</v>
      </c>
      <c r="E73" s="45">
        <f>'3.2. My wife''s Tax Calc'!$P$34/12</f>
        <v>64852397.631382741</v>
      </c>
      <c r="F73" s="45">
        <f>'3.2. My wife''s Tax Calc'!$P$34/12</f>
        <v>64852397.631382741</v>
      </c>
      <c r="G73" s="45">
        <f>'3.2. My wife''s Tax Calc'!$P$34/12</f>
        <v>64852397.631382741</v>
      </c>
      <c r="H73" s="45">
        <f>'3.2. My wife''s Tax Calc'!$P$34/12</f>
        <v>64852397.631382741</v>
      </c>
      <c r="I73" s="45">
        <f>'3.2. My wife''s Tax Calc'!$P$34/12</f>
        <v>64852397.631382741</v>
      </c>
      <c r="J73" s="45">
        <f>'3.2. My wife''s Tax Calc'!$P$34/12</f>
        <v>64852397.631382741</v>
      </c>
      <c r="K73" s="45">
        <f>'3.2. My wife''s Tax Calc'!$P$34/12</f>
        <v>64852397.631382741</v>
      </c>
      <c r="L73" s="45">
        <f>'3.2. My wife''s Tax Calc'!$P$34/12</f>
        <v>64852397.631382741</v>
      </c>
      <c r="M73" s="45">
        <f>'3.2. My wife''s Tax Calc'!$P$34/12</f>
        <v>64852397.631382741</v>
      </c>
      <c r="N73" s="45">
        <f>'3.2. My wife''s Tax Calc'!$P$34/12</f>
        <v>64852397.631382741</v>
      </c>
      <c r="O73" s="45" t="s">
        <v>173</v>
      </c>
    </row>
    <row r="74" spans="1:15" x14ac:dyDescent="0.25">
      <c r="A74" s="82"/>
      <c r="B74" s="46" t="s">
        <v>209</v>
      </c>
      <c r="C74" s="47">
        <f>SUM(C72:C73)</f>
        <v>209234314.79731947</v>
      </c>
      <c r="D74" s="47">
        <f t="shared" ref="D74:J74" si="38">SUM(D72:D73)</f>
        <v>209234314.79731947</v>
      </c>
      <c r="E74" s="47">
        <f t="shared" si="38"/>
        <v>209234314.79731947</v>
      </c>
      <c r="F74" s="47">
        <f t="shared" si="38"/>
        <v>209234314.79731947</v>
      </c>
      <c r="G74" s="47">
        <f t="shared" si="38"/>
        <v>209234314.79731947</v>
      </c>
      <c r="H74" s="47">
        <f t="shared" si="38"/>
        <v>209234314.79731947</v>
      </c>
      <c r="I74" s="47">
        <f t="shared" si="38"/>
        <v>209234314.79731947</v>
      </c>
      <c r="J74" s="47">
        <f t="shared" si="38"/>
        <v>209234314.79731947</v>
      </c>
      <c r="K74" s="47">
        <f>SUM(K72:K73)</f>
        <v>209234314.79731947</v>
      </c>
      <c r="L74" s="47">
        <f t="shared" ref="L74:N74" si="39">SUM(L72:L73)</f>
        <v>209234314.79731947</v>
      </c>
      <c r="M74" s="47">
        <f t="shared" si="39"/>
        <v>209234314.79731947</v>
      </c>
      <c r="N74" s="47">
        <f t="shared" si="39"/>
        <v>209234314.79731947</v>
      </c>
      <c r="O74" s="47">
        <f>SUM(C74:N74)</f>
        <v>2510811777.5678334</v>
      </c>
    </row>
    <row r="75" spans="1:15" x14ac:dyDescent="0.25">
      <c r="A75" s="82"/>
      <c r="B75" s="52" t="s">
        <v>78</v>
      </c>
      <c r="C75" s="53" t="s">
        <v>173</v>
      </c>
      <c r="D75" s="53" t="s">
        <v>173</v>
      </c>
      <c r="E75" s="53" t="s">
        <v>173</v>
      </c>
      <c r="F75" s="53" t="s">
        <v>173</v>
      </c>
      <c r="G75" s="53" t="s">
        <v>173</v>
      </c>
      <c r="H75" s="53" t="s">
        <v>173</v>
      </c>
      <c r="I75" s="53" t="s">
        <v>173</v>
      </c>
      <c r="J75" s="53" t="s">
        <v>173</v>
      </c>
      <c r="K75" s="53" t="s">
        <v>173</v>
      </c>
      <c r="L75" s="53" t="s">
        <v>173</v>
      </c>
      <c r="M75" s="53" t="s">
        <v>173</v>
      </c>
      <c r="N75" s="53" t="s">
        <v>173</v>
      </c>
      <c r="O75" s="91" t="s">
        <v>173</v>
      </c>
    </row>
    <row r="76" spans="1:15" x14ac:dyDescent="0.25">
      <c r="A76" s="82"/>
      <c r="B76" s="48" t="s">
        <v>79</v>
      </c>
      <c r="C76" s="54" t="s">
        <v>173</v>
      </c>
      <c r="D76" s="54" t="s">
        <v>173</v>
      </c>
      <c r="E76" s="54" t="s">
        <v>173</v>
      </c>
      <c r="F76" s="54" t="s">
        <v>173</v>
      </c>
      <c r="G76" s="54" t="s">
        <v>173</v>
      </c>
      <c r="H76" s="54" t="s">
        <v>173</v>
      </c>
      <c r="I76" s="54" t="s">
        <v>173</v>
      </c>
      <c r="J76" s="54" t="s">
        <v>173</v>
      </c>
      <c r="K76" s="54" t="s">
        <v>173</v>
      </c>
      <c r="L76" s="54" t="s">
        <v>173</v>
      </c>
      <c r="M76" s="54" t="s">
        <v>173</v>
      </c>
      <c r="N76" s="54" t="s">
        <v>173</v>
      </c>
      <c r="O76" s="91" t="s">
        <v>173</v>
      </c>
    </row>
    <row r="77" spans="1:15" x14ac:dyDescent="0.25">
      <c r="A77" s="83"/>
      <c r="B77" s="49" t="s">
        <v>195</v>
      </c>
      <c r="C77" s="50">
        <f>C43*(1+$K$64)</f>
        <v>463063.75458364398</v>
      </c>
      <c r="D77" s="50">
        <v>0</v>
      </c>
      <c r="E77" s="50">
        <v>0</v>
      </c>
      <c r="F77" s="50">
        <v>0</v>
      </c>
      <c r="G77" s="50">
        <v>0</v>
      </c>
      <c r="H77" s="50">
        <v>0</v>
      </c>
      <c r="I77" s="50">
        <v>0</v>
      </c>
      <c r="J77" s="50">
        <v>0</v>
      </c>
      <c r="K77" s="50">
        <v>0</v>
      </c>
      <c r="L77" s="50">
        <v>0</v>
      </c>
      <c r="M77" s="50">
        <v>0</v>
      </c>
      <c r="N77" s="50">
        <v>0</v>
      </c>
      <c r="O77" s="90">
        <f t="shared" ref="O77:O80" si="40">SUM(C77:N77)</f>
        <v>463063.75458364398</v>
      </c>
    </row>
    <row r="78" spans="1:15" x14ac:dyDescent="0.25">
      <c r="A78" s="82"/>
      <c r="B78" s="51" t="s">
        <v>178</v>
      </c>
      <c r="C78" s="50">
        <f>C44*(1+$K$64)</f>
        <v>3508058.7468457897</v>
      </c>
      <c r="D78" s="50">
        <f t="shared" ref="D78:N78" si="41">D44*(1+$K$64)</f>
        <v>3508058.7468457897</v>
      </c>
      <c r="E78" s="50">
        <f t="shared" si="41"/>
        <v>3508058.7468457897</v>
      </c>
      <c r="F78" s="50">
        <f t="shared" si="41"/>
        <v>3508058.7468457897</v>
      </c>
      <c r="G78" s="50">
        <f t="shared" si="41"/>
        <v>3508058.7468457897</v>
      </c>
      <c r="H78" s="50">
        <f t="shared" si="41"/>
        <v>3508058.7468457897</v>
      </c>
      <c r="I78" s="50">
        <f t="shared" si="41"/>
        <v>3508058.7468457897</v>
      </c>
      <c r="J78" s="50">
        <f t="shared" si="41"/>
        <v>3508058.7468457897</v>
      </c>
      <c r="K78" s="50">
        <f t="shared" si="41"/>
        <v>3508058.7468457897</v>
      </c>
      <c r="L78" s="50">
        <f t="shared" si="41"/>
        <v>3508058.7468457897</v>
      </c>
      <c r="M78" s="50">
        <f t="shared" si="41"/>
        <v>3508058.7468457897</v>
      </c>
      <c r="N78" s="50">
        <f t="shared" si="41"/>
        <v>3508058.7468457897</v>
      </c>
      <c r="O78" s="90">
        <f t="shared" si="40"/>
        <v>42096704.962149478</v>
      </c>
    </row>
    <row r="79" spans="1:15" x14ac:dyDescent="0.25">
      <c r="A79" s="84"/>
      <c r="B79" s="51" t="s">
        <v>248</v>
      </c>
      <c r="C79" s="50">
        <f>C45*(1+$K$64)</f>
        <v>420967.0496214946</v>
      </c>
      <c r="D79" s="50">
        <f t="shared" ref="D79:N79" si="42">D45*(1+$K$64)</f>
        <v>420967.0496214946</v>
      </c>
      <c r="E79" s="50">
        <f t="shared" si="42"/>
        <v>420967.0496214946</v>
      </c>
      <c r="F79" s="50">
        <f t="shared" si="42"/>
        <v>420967.0496214946</v>
      </c>
      <c r="G79" s="50">
        <f t="shared" si="42"/>
        <v>420967.0496214946</v>
      </c>
      <c r="H79" s="50">
        <f t="shared" si="42"/>
        <v>420967.0496214946</v>
      </c>
      <c r="I79" s="50">
        <f t="shared" si="42"/>
        <v>420967.0496214946</v>
      </c>
      <c r="J79" s="50">
        <f t="shared" si="42"/>
        <v>420967.0496214946</v>
      </c>
      <c r="K79" s="50">
        <f t="shared" si="42"/>
        <v>420967.0496214946</v>
      </c>
      <c r="L79" s="50">
        <f t="shared" si="42"/>
        <v>420967.0496214946</v>
      </c>
      <c r="M79" s="50">
        <f t="shared" si="42"/>
        <v>420967.0496214946</v>
      </c>
      <c r="N79" s="50">
        <f t="shared" si="42"/>
        <v>420967.0496214946</v>
      </c>
      <c r="O79" s="90">
        <f t="shared" si="40"/>
        <v>5051604.5954579348</v>
      </c>
    </row>
    <row r="80" spans="1:15" x14ac:dyDescent="0.25">
      <c r="A80" s="82"/>
      <c r="B80" s="46" t="s">
        <v>207</v>
      </c>
      <c r="C80" s="47">
        <f t="shared" ref="C80" si="43">SUM(C77:C79)</f>
        <v>4392089.5510509284</v>
      </c>
      <c r="D80" s="47">
        <f t="shared" ref="D80" si="44">SUM(D77:D79)</f>
        <v>3929025.7964672842</v>
      </c>
      <c r="E80" s="47">
        <f t="shared" ref="E80" si="45">SUM(E77:E79)</f>
        <v>3929025.7964672842</v>
      </c>
      <c r="F80" s="47">
        <f t="shared" ref="F80" si="46">SUM(F77:F79)</f>
        <v>3929025.7964672842</v>
      </c>
      <c r="G80" s="47">
        <f t="shared" ref="G80" si="47">SUM(G77:G79)</f>
        <v>3929025.7964672842</v>
      </c>
      <c r="H80" s="47">
        <f t="shared" ref="H80" si="48">SUM(H77:H79)</f>
        <v>3929025.7964672842</v>
      </c>
      <c r="I80" s="47">
        <f t="shared" ref="I80" si="49">SUM(I77:I79)</f>
        <v>3929025.7964672842</v>
      </c>
      <c r="J80" s="47">
        <f t="shared" ref="J80" si="50">SUM(J77:J79)</f>
        <v>3929025.7964672842</v>
      </c>
      <c r="K80" s="47">
        <f t="shared" ref="K80" si="51">SUM(K77:K79)</f>
        <v>3929025.7964672842</v>
      </c>
      <c r="L80" s="47">
        <f t="shared" ref="L80" si="52">SUM(L77:L79)</f>
        <v>3929025.7964672842</v>
      </c>
      <c r="M80" s="47">
        <f t="shared" ref="M80" si="53">SUM(M77:M79)</f>
        <v>3929025.7964672842</v>
      </c>
      <c r="N80" s="47">
        <f t="shared" ref="N80" si="54">SUM(N77:N79)</f>
        <v>3929025.7964672842</v>
      </c>
      <c r="O80" s="47">
        <f t="shared" si="40"/>
        <v>47611373.312191054</v>
      </c>
    </row>
    <row r="81" spans="1:25" x14ac:dyDescent="0.25">
      <c r="A81" s="82"/>
      <c r="B81" s="55" t="s">
        <v>83</v>
      </c>
      <c r="C81" s="59" t="s">
        <v>173</v>
      </c>
      <c r="D81" s="59" t="s">
        <v>173</v>
      </c>
      <c r="E81" s="59" t="s">
        <v>173</v>
      </c>
      <c r="F81" s="59" t="s">
        <v>173</v>
      </c>
      <c r="G81" s="59" t="s">
        <v>173</v>
      </c>
      <c r="H81" s="59" t="s">
        <v>173</v>
      </c>
      <c r="I81" s="59" t="s">
        <v>173</v>
      </c>
      <c r="J81" s="59" t="s">
        <v>173</v>
      </c>
      <c r="K81" s="59" t="s">
        <v>173</v>
      </c>
      <c r="L81" s="59" t="s">
        <v>173</v>
      </c>
      <c r="M81" s="59" t="s">
        <v>173</v>
      </c>
      <c r="N81" s="59" t="s">
        <v>173</v>
      </c>
      <c r="O81" s="91" t="s">
        <v>173</v>
      </c>
    </row>
    <row r="82" spans="1:25" x14ac:dyDescent="0.25">
      <c r="A82" s="82"/>
      <c r="B82" s="57" t="s">
        <v>210</v>
      </c>
      <c r="C82" s="89">
        <f t="shared" ref="C82:N82" si="55">C48*(1+$K$64)</f>
        <v>3483502.3356178692</v>
      </c>
      <c r="D82" s="89">
        <f t="shared" si="55"/>
        <v>4199146.3199744103</v>
      </c>
      <c r="E82" s="89">
        <f t="shared" si="55"/>
        <v>3872896.8565177484</v>
      </c>
      <c r="F82" s="89">
        <f t="shared" si="55"/>
        <v>3620316.6267448543</v>
      </c>
      <c r="G82" s="89">
        <f t="shared" si="55"/>
        <v>3325639.692009808</v>
      </c>
      <c r="H82" s="89">
        <f t="shared" si="55"/>
        <v>4167573.7912527961</v>
      </c>
      <c r="I82" s="89">
        <f t="shared" si="55"/>
        <v>4862169.4231282622</v>
      </c>
      <c r="J82" s="89">
        <f t="shared" si="55"/>
        <v>4662210.0745580532</v>
      </c>
      <c r="K82" s="89">
        <f t="shared" si="55"/>
        <v>3599268.2742637782</v>
      </c>
      <c r="L82" s="89">
        <f t="shared" si="55"/>
        <v>3693985.8604286159</v>
      </c>
      <c r="M82" s="89">
        <f t="shared" si="55"/>
        <v>3515074.8643394797</v>
      </c>
      <c r="N82" s="89">
        <f t="shared" si="55"/>
        <v>3799227.6228339882</v>
      </c>
      <c r="O82" s="92">
        <f t="shared" ref="O82:O91" si="56">SUM(C82:N82)</f>
        <v>46801011.741669662</v>
      </c>
    </row>
    <row r="83" spans="1:25" x14ac:dyDescent="0.25">
      <c r="A83" s="82"/>
      <c r="B83" s="57" t="s">
        <v>203</v>
      </c>
      <c r="C83" s="89">
        <f t="shared" ref="C83:N83" si="57">C49*(1+$K$64)</f>
        <v>12576390.60744215</v>
      </c>
      <c r="D83" s="89">
        <f t="shared" si="57"/>
        <v>13544614.821571594</v>
      </c>
      <c r="E83" s="89">
        <f t="shared" si="57"/>
        <v>15186386.315095421</v>
      </c>
      <c r="F83" s="89">
        <f t="shared" si="57"/>
        <v>11513448.807147887</v>
      </c>
      <c r="G83" s="89">
        <f t="shared" si="57"/>
        <v>15323200.60622241</v>
      </c>
      <c r="H83" s="89">
        <f t="shared" si="57"/>
        <v>14439169.802017266</v>
      </c>
      <c r="I83" s="89">
        <f t="shared" si="57"/>
        <v>13249937.886836549</v>
      </c>
      <c r="J83" s="89">
        <f t="shared" si="57"/>
        <v>15754691.83208444</v>
      </c>
      <c r="K83" s="89">
        <f t="shared" si="57"/>
        <v>15396869.83990616</v>
      </c>
      <c r="L83" s="89">
        <f t="shared" si="57"/>
        <v>15396869.83990616</v>
      </c>
      <c r="M83" s="89">
        <f t="shared" si="57"/>
        <v>11965988.385490991</v>
      </c>
      <c r="N83" s="89">
        <f t="shared" si="57"/>
        <v>14754895.089233393</v>
      </c>
      <c r="O83" s="92">
        <f t="shared" si="56"/>
        <v>169102463.83295441</v>
      </c>
    </row>
    <row r="84" spans="1:25" x14ac:dyDescent="0.25">
      <c r="A84" s="82"/>
      <c r="B84" s="58" t="s">
        <v>84</v>
      </c>
      <c r="C84" s="89">
        <f t="shared" ref="C84:N84" si="58">C50*(1+$K$64)</f>
        <v>11124054.286247993</v>
      </c>
      <c r="D84" s="89">
        <f t="shared" si="58"/>
        <v>12144899.381580116</v>
      </c>
      <c r="E84" s="89">
        <f t="shared" si="58"/>
        <v>12186996.086542269</v>
      </c>
      <c r="F84" s="89">
        <f t="shared" si="58"/>
        <v>12586914.783682689</v>
      </c>
      <c r="G84" s="89">
        <f t="shared" si="58"/>
        <v>14891709.380360374</v>
      </c>
      <c r="H84" s="89">
        <f t="shared" si="58"/>
        <v>12881591.718417734</v>
      </c>
      <c r="I84" s="89">
        <f t="shared" si="58"/>
        <v>13376228.001722995</v>
      </c>
      <c r="J84" s="89">
        <f t="shared" si="58"/>
        <v>15396869.83990616</v>
      </c>
      <c r="K84" s="89">
        <f t="shared" si="58"/>
        <v>14091871.986079538</v>
      </c>
      <c r="L84" s="89">
        <f t="shared" si="58"/>
        <v>14070823.63359846</v>
      </c>
      <c r="M84" s="89">
        <f t="shared" si="58"/>
        <v>15060096.200208966</v>
      </c>
      <c r="N84" s="89">
        <f t="shared" si="58"/>
        <v>12092278.500377435</v>
      </c>
      <c r="O84" s="92">
        <f t="shared" si="56"/>
        <v>159904333.79872474</v>
      </c>
    </row>
    <row r="85" spans="1:25" x14ac:dyDescent="0.25">
      <c r="A85" s="82"/>
      <c r="B85" s="58" t="s">
        <v>81</v>
      </c>
      <c r="C85" s="89">
        <f t="shared" ref="C85:N85" si="59">C51*(1+$K$64)</f>
        <v>1052417.6240537371</v>
      </c>
      <c r="D85" s="89">
        <f t="shared" si="59"/>
        <v>1052417.6240537371</v>
      </c>
      <c r="E85" s="89">
        <f t="shared" si="59"/>
        <v>1052417.6240537371</v>
      </c>
      <c r="F85" s="89">
        <f t="shared" si="59"/>
        <v>1052417.6240537371</v>
      </c>
      <c r="G85" s="89">
        <f t="shared" si="59"/>
        <v>1052417.6240537371</v>
      </c>
      <c r="H85" s="89">
        <f t="shared" si="59"/>
        <v>1052417.6240537371</v>
      </c>
      <c r="I85" s="89">
        <f t="shared" si="59"/>
        <v>1052417.6240537371</v>
      </c>
      <c r="J85" s="89">
        <f t="shared" si="59"/>
        <v>1052417.6240537371</v>
      </c>
      <c r="K85" s="89">
        <f t="shared" si="59"/>
        <v>1052417.6240537371</v>
      </c>
      <c r="L85" s="89">
        <f t="shared" si="59"/>
        <v>1052417.6240537371</v>
      </c>
      <c r="M85" s="89">
        <f t="shared" si="59"/>
        <v>1052417.6240537371</v>
      </c>
      <c r="N85" s="89">
        <f t="shared" si="59"/>
        <v>1052417.6240537371</v>
      </c>
      <c r="O85" s="92">
        <f t="shared" si="56"/>
        <v>12629011.488644846</v>
      </c>
    </row>
    <row r="86" spans="1:25" x14ac:dyDescent="0.25">
      <c r="A86" s="82"/>
      <c r="B86" s="57" t="s">
        <v>85</v>
      </c>
      <c r="C86" s="89">
        <f t="shared" ref="C86:N86" si="60">C52*(1+$K$64)</f>
        <v>12923688.423379889</v>
      </c>
      <c r="D86" s="89">
        <f t="shared" si="60"/>
        <v>11060909.22880478</v>
      </c>
      <c r="E86" s="89">
        <f t="shared" si="60"/>
        <v>11450303.749704653</v>
      </c>
      <c r="F86" s="89">
        <f t="shared" si="60"/>
        <v>11629214.745793786</v>
      </c>
      <c r="G86" s="89">
        <f t="shared" si="60"/>
        <v>15638925.893438524</v>
      </c>
      <c r="H86" s="89">
        <f t="shared" si="60"/>
        <v>11481876.278426273</v>
      </c>
      <c r="I86" s="89">
        <f t="shared" si="60"/>
        <v>13323607.120520307</v>
      </c>
      <c r="J86" s="89">
        <f t="shared" si="60"/>
        <v>10545224.593018442</v>
      </c>
      <c r="K86" s="89">
        <f t="shared" si="60"/>
        <v>13713001.641420191</v>
      </c>
      <c r="L86" s="89">
        <f t="shared" si="60"/>
        <v>10892522.408956174</v>
      </c>
      <c r="M86" s="89">
        <f t="shared" si="60"/>
        <v>13870864.285028249</v>
      </c>
      <c r="N86" s="89">
        <f t="shared" si="60"/>
        <v>13207841.181874393</v>
      </c>
      <c r="O86" s="92">
        <f t="shared" si="56"/>
        <v>149737979.55036566</v>
      </c>
    </row>
    <row r="87" spans="1:25" x14ac:dyDescent="0.25">
      <c r="A87" s="84"/>
      <c r="B87" s="58" t="s">
        <v>249</v>
      </c>
      <c r="C87" s="89">
        <f t="shared" ref="C87:N87" si="61">C74*5%</f>
        <v>10461715.739865974</v>
      </c>
      <c r="D87" s="89">
        <f t="shared" si="61"/>
        <v>10461715.739865974</v>
      </c>
      <c r="E87" s="89">
        <f t="shared" si="61"/>
        <v>10461715.739865974</v>
      </c>
      <c r="F87" s="89">
        <f t="shared" si="61"/>
        <v>10461715.739865974</v>
      </c>
      <c r="G87" s="89">
        <f t="shared" si="61"/>
        <v>10461715.739865974</v>
      </c>
      <c r="H87" s="89">
        <f t="shared" si="61"/>
        <v>10461715.739865974</v>
      </c>
      <c r="I87" s="89">
        <f t="shared" si="61"/>
        <v>10461715.739865974</v>
      </c>
      <c r="J87" s="89">
        <f t="shared" si="61"/>
        <v>10461715.739865974</v>
      </c>
      <c r="K87" s="89">
        <f t="shared" si="61"/>
        <v>10461715.739865974</v>
      </c>
      <c r="L87" s="89">
        <f t="shared" si="61"/>
        <v>10461715.739865974</v>
      </c>
      <c r="M87" s="89">
        <f t="shared" si="61"/>
        <v>10461715.739865974</v>
      </c>
      <c r="N87" s="89">
        <f t="shared" si="61"/>
        <v>10461715.739865974</v>
      </c>
      <c r="O87" s="92">
        <f t="shared" si="56"/>
        <v>125540588.87839168</v>
      </c>
    </row>
    <row r="88" spans="1:25" x14ac:dyDescent="0.25">
      <c r="A88" s="84"/>
      <c r="B88" s="58" t="s">
        <v>180</v>
      </c>
      <c r="C88" s="89">
        <f>C54*(1+$K$98)</f>
        <v>12726043.214738103</v>
      </c>
      <c r="D88" s="89">
        <f t="shared" ref="D88:N88" si="62">D54*(1+$K$98)</f>
        <v>12559517.855867565</v>
      </c>
      <c r="E88" s="89">
        <f t="shared" si="62"/>
        <v>10438510.653411219</v>
      </c>
      <c r="F88" s="89">
        <f t="shared" si="62"/>
        <v>11525307.732355796</v>
      </c>
      <c r="G88" s="89">
        <f t="shared" si="62"/>
        <v>9088778.7973026317</v>
      </c>
      <c r="H88" s="89">
        <f t="shared" si="62"/>
        <v>10105459.935670137</v>
      </c>
      <c r="I88" s="89">
        <f t="shared" si="62"/>
        <v>10456039.638555488</v>
      </c>
      <c r="J88" s="89">
        <f t="shared" si="62"/>
        <v>12392992.496997025</v>
      </c>
      <c r="K88" s="89">
        <f t="shared" si="62"/>
        <v>9702293.2773519866</v>
      </c>
      <c r="L88" s="89">
        <f t="shared" si="62"/>
        <v>10385923.697978411</v>
      </c>
      <c r="M88" s="89">
        <f t="shared" si="62"/>
        <v>10403452.683122678</v>
      </c>
      <c r="N88" s="89">
        <f t="shared" si="62"/>
        <v>10140517.905958675</v>
      </c>
      <c r="O88" s="92">
        <f t="shared" si="56"/>
        <v>129924837.8893097</v>
      </c>
    </row>
    <row r="89" spans="1:25" x14ac:dyDescent="0.25">
      <c r="A89" s="84"/>
      <c r="B89" s="58" t="s">
        <v>86</v>
      </c>
      <c r="C89" s="89">
        <f>'7.5. Stage 5&amp;6 budget'!C56*(1+'7.5. Stage 5&amp;6 budget'!$K$68)</f>
        <v>12726043.214738103</v>
      </c>
      <c r="D89" s="89">
        <f>'7.5. Stage 5&amp;6 budget'!D56*(1+'7.5. Stage 5&amp;6 budget'!$K$68)</f>
        <v>12559517.855867565</v>
      </c>
      <c r="E89" s="89">
        <f>'7.5. Stage 5&amp;6 budget'!E56*(1+'7.5. Stage 5&amp;6 budget'!$K$68)</f>
        <v>10438510.653411219</v>
      </c>
      <c r="F89" s="89">
        <f>'7.5. Stage 5&amp;6 budget'!F56*(1+'7.5. Stage 5&amp;6 budget'!$K$68)</f>
        <v>11525307.732355796</v>
      </c>
      <c r="G89" s="89">
        <f>'7.5. Stage 5&amp;6 budget'!G56*(1+'7.5. Stage 5&amp;6 budget'!$K$68)</f>
        <v>9088778.7973026317</v>
      </c>
      <c r="H89" s="89">
        <f>'7.5. Stage 5&amp;6 budget'!H56*(1+'7.5. Stage 5&amp;6 budget'!$K$68)</f>
        <v>10105459.935670137</v>
      </c>
      <c r="I89" s="89">
        <f>'7.5. Stage 5&amp;6 budget'!I56*(1+'7.5. Stage 5&amp;6 budget'!$K$68)</f>
        <v>10456039.638555488</v>
      </c>
      <c r="J89" s="89">
        <f>'7.5. Stage 5&amp;6 budget'!J56*(1+'7.5. Stage 5&amp;6 budget'!$K$68)</f>
        <v>12392992.496997025</v>
      </c>
      <c r="K89" s="89">
        <f>'7.5. Stage 5&amp;6 budget'!K56*(1+'7.5. Stage 5&amp;6 budget'!$K$68)</f>
        <v>9702293.2773519866</v>
      </c>
      <c r="L89" s="89">
        <f>'7.5. Stage 5&amp;6 budget'!L56*(1+'7.5. Stage 5&amp;6 budget'!$K$68)</f>
        <v>10385923.697978411</v>
      </c>
      <c r="M89" s="89">
        <f>'7.5. Stage 5&amp;6 budget'!M56*(1+'7.5. Stage 5&amp;6 budget'!$K$68)</f>
        <v>10403452.683122678</v>
      </c>
      <c r="N89" s="89">
        <f>'7.5. Stage 5&amp;6 budget'!N56*(1+'7.5. Stage 5&amp;6 budget'!$K$68)</f>
        <v>10140517.905958675</v>
      </c>
      <c r="O89" s="92">
        <f t="shared" si="56"/>
        <v>129924837.8893097</v>
      </c>
    </row>
    <row r="90" spans="1:25" x14ac:dyDescent="0.25">
      <c r="A90" s="82"/>
      <c r="B90" s="46" t="s">
        <v>208</v>
      </c>
      <c r="C90" s="47">
        <f t="shared" ref="C90:N90" si="63">SUM(C82:C89)</f>
        <v>77073855.446083814</v>
      </c>
      <c r="D90" s="47">
        <f t="shared" si="63"/>
        <v>77582738.827585742</v>
      </c>
      <c r="E90" s="47">
        <f t="shared" si="63"/>
        <v>75087737.678602234</v>
      </c>
      <c r="F90" s="47">
        <f t="shared" si="63"/>
        <v>73914643.792000517</v>
      </c>
      <c r="G90" s="47">
        <f t="shared" si="63"/>
        <v>78871166.530556098</v>
      </c>
      <c r="H90" s="47">
        <f t="shared" si="63"/>
        <v>74695264.825374067</v>
      </c>
      <c r="I90" s="47">
        <f t="shared" si="63"/>
        <v>77238155.073238805</v>
      </c>
      <c r="J90" s="47">
        <f t="shared" si="63"/>
        <v>82659114.697480857</v>
      </c>
      <c r="K90" s="47">
        <f t="shared" si="63"/>
        <v>77719731.660293356</v>
      </c>
      <c r="L90" s="47">
        <f t="shared" si="63"/>
        <v>76340182.502765939</v>
      </c>
      <c r="M90" s="47">
        <f t="shared" si="63"/>
        <v>76733062.46523276</v>
      </c>
      <c r="N90" s="47">
        <f t="shared" si="63"/>
        <v>75649411.570156276</v>
      </c>
      <c r="O90" s="47">
        <f t="shared" si="56"/>
        <v>923565065.06937027</v>
      </c>
    </row>
    <row r="91" spans="1:25" x14ac:dyDescent="0.25">
      <c r="A91" s="82"/>
      <c r="B91" s="60" t="s">
        <v>87</v>
      </c>
      <c r="C91" s="47">
        <f t="shared" ref="C91:N91" si="64">C80+C90</f>
        <v>81465944.997134745</v>
      </c>
      <c r="D91" s="47">
        <f t="shared" si="64"/>
        <v>81511764.624053031</v>
      </c>
      <c r="E91" s="47">
        <f t="shared" si="64"/>
        <v>79016763.475069523</v>
      </c>
      <c r="F91" s="47">
        <f t="shared" si="64"/>
        <v>77843669.588467807</v>
      </c>
      <c r="G91" s="47">
        <f t="shared" si="64"/>
        <v>82800192.327023387</v>
      </c>
      <c r="H91" s="47">
        <f t="shared" si="64"/>
        <v>78624290.621841356</v>
      </c>
      <c r="I91" s="47">
        <f t="shared" si="64"/>
        <v>81167180.869706094</v>
      </c>
      <c r="J91" s="47">
        <f t="shared" si="64"/>
        <v>86588140.493948147</v>
      </c>
      <c r="K91" s="47">
        <f t="shared" si="64"/>
        <v>81648757.456760645</v>
      </c>
      <c r="L91" s="47">
        <f t="shared" si="64"/>
        <v>80269208.299233228</v>
      </c>
      <c r="M91" s="47">
        <f t="shared" si="64"/>
        <v>80662088.261700049</v>
      </c>
      <c r="N91" s="47">
        <f t="shared" si="64"/>
        <v>79578437.366623566</v>
      </c>
      <c r="O91" s="47">
        <f t="shared" si="56"/>
        <v>971176438.3815614</v>
      </c>
    </row>
    <row r="92" spans="1:25" s="11" customFormat="1" x14ac:dyDescent="0.25">
      <c r="A92" s="82"/>
      <c r="B92" s="108" t="s">
        <v>204</v>
      </c>
      <c r="C92" s="109">
        <f>$O91*(3/12)/12</f>
        <v>20232842.466282528</v>
      </c>
      <c r="D92" s="109">
        <f t="shared" ref="D92" si="65">$O91*(3/12)/12</f>
        <v>20232842.466282528</v>
      </c>
      <c r="E92" s="109">
        <f t="shared" ref="E92" si="66">$O91*(3/12)/12</f>
        <v>20232842.466282528</v>
      </c>
      <c r="F92" s="109">
        <f t="shared" ref="F92" si="67">$O91*(3/12)/12</f>
        <v>20232842.466282528</v>
      </c>
      <c r="G92" s="109">
        <f t="shared" ref="G92" si="68">$O91*(3/12)/12</f>
        <v>20232842.466282528</v>
      </c>
      <c r="H92" s="109">
        <f t="shared" ref="H92" si="69">$O91*(3/12)/12</f>
        <v>20232842.466282528</v>
      </c>
      <c r="I92" s="109">
        <f t="shared" ref="I92" si="70">$O91*(3/12)/12</f>
        <v>20232842.466282528</v>
      </c>
      <c r="J92" s="109">
        <f t="shared" ref="J92" si="71">$O91*(3/12)/12</f>
        <v>20232842.466282528</v>
      </c>
      <c r="K92" s="109">
        <f t="shared" ref="K92" si="72">$O91*(3/12)/12</f>
        <v>20232842.466282528</v>
      </c>
      <c r="L92" s="109">
        <f t="shared" ref="L92" si="73">$O91*(3/12)/12</f>
        <v>20232842.466282528</v>
      </c>
      <c r="M92" s="109">
        <f t="shared" ref="M92" si="74">$O91*(3/12)/12</f>
        <v>20232842.466282528</v>
      </c>
      <c r="N92" s="109">
        <f>$O91*(3/12)/12</f>
        <v>20232842.466282528</v>
      </c>
      <c r="O92" s="109">
        <f t="shared" ref="O92:O95" si="75">SUM(C92:N92)</f>
        <v>242794109.59539029</v>
      </c>
      <c r="P92" s="43"/>
      <c r="Q92" s="43"/>
      <c r="R92" s="40"/>
      <c r="S92" s="40"/>
      <c r="T92" s="40"/>
      <c r="U92" s="40"/>
      <c r="V92" s="40"/>
      <c r="W92" s="40"/>
      <c r="X92" s="40"/>
      <c r="Y92" s="40"/>
    </row>
    <row r="93" spans="1:25" s="11" customFormat="1" x14ac:dyDescent="0.25">
      <c r="A93" s="82"/>
      <c r="B93" s="108" t="s">
        <v>82</v>
      </c>
      <c r="C93" s="109">
        <f>'6. Mortgage payment'!$C$7</f>
        <v>28168245.060798287</v>
      </c>
      <c r="D93" s="109">
        <f>'6. Mortgage payment'!$C$7</f>
        <v>28168245.060798287</v>
      </c>
      <c r="E93" s="109">
        <f>'6. Mortgage payment'!$C$7</f>
        <v>28168245.060798287</v>
      </c>
      <c r="F93" s="109">
        <f>'6. Mortgage payment'!$C$7</f>
        <v>28168245.060798287</v>
      </c>
      <c r="G93" s="109">
        <f>'6. Mortgage payment'!$C$7</f>
        <v>28168245.060798287</v>
      </c>
      <c r="H93" s="109">
        <f>'6. Mortgage payment'!$C$7</f>
        <v>28168245.060798287</v>
      </c>
      <c r="I93" s="109">
        <f>'6. Mortgage payment'!$C$7</f>
        <v>28168245.060798287</v>
      </c>
      <c r="J93" s="109">
        <f>'6. Mortgage payment'!$C$7</f>
        <v>28168245.060798287</v>
      </c>
      <c r="K93" s="109">
        <f>'6. Mortgage payment'!$C$7</f>
        <v>28168245.060798287</v>
      </c>
      <c r="L93" s="109">
        <f>'6. Mortgage payment'!$C$7</f>
        <v>28168245.060798287</v>
      </c>
      <c r="M93" s="109">
        <f>'6. Mortgage payment'!$C$7</f>
        <v>28168245.060798287</v>
      </c>
      <c r="N93" s="109">
        <f>'6. Mortgage payment'!$C$7</f>
        <v>28168245.060798287</v>
      </c>
      <c r="O93" s="109">
        <f t="shared" si="75"/>
        <v>338018940.72957945</v>
      </c>
      <c r="P93" s="43"/>
      <c r="Q93" s="43"/>
      <c r="R93" s="40"/>
      <c r="S93" s="40"/>
      <c r="T93" s="40"/>
      <c r="U93" s="40"/>
      <c r="V93" s="40"/>
      <c r="W93" s="40"/>
      <c r="X93" s="40"/>
      <c r="Y93" s="40"/>
    </row>
    <row r="94" spans="1:25" s="11" customFormat="1" x14ac:dyDescent="0.25">
      <c r="A94" s="82"/>
      <c r="B94" s="108" t="s">
        <v>386</v>
      </c>
      <c r="C94" s="109">
        <f>C60*(1+$K$64)</f>
        <v>3844956.2473376277</v>
      </c>
      <c r="D94" s="109">
        <v>0</v>
      </c>
      <c r="E94" s="109">
        <v>0</v>
      </c>
      <c r="F94" s="109">
        <v>0</v>
      </c>
      <c r="G94" s="109">
        <v>0</v>
      </c>
      <c r="H94" s="109">
        <v>0</v>
      </c>
      <c r="I94" s="109">
        <v>0</v>
      </c>
      <c r="J94" s="109">
        <v>0</v>
      </c>
      <c r="K94" s="109">
        <v>0</v>
      </c>
      <c r="L94" s="109">
        <v>0</v>
      </c>
      <c r="M94" s="109">
        <v>0</v>
      </c>
      <c r="N94" s="109">
        <v>0</v>
      </c>
      <c r="O94" s="109">
        <f t="shared" si="75"/>
        <v>3844956.2473376277</v>
      </c>
      <c r="P94" s="43"/>
      <c r="Q94" s="43"/>
      <c r="R94" s="40"/>
      <c r="S94" s="40"/>
      <c r="T94" s="40"/>
      <c r="U94" s="40"/>
      <c r="V94" s="40"/>
      <c r="W94" s="40"/>
      <c r="X94" s="40"/>
      <c r="Y94" s="40"/>
    </row>
    <row r="95" spans="1:25" s="11" customFormat="1" x14ac:dyDescent="0.25">
      <c r="A95" s="82"/>
      <c r="B95" s="60" t="s">
        <v>206</v>
      </c>
      <c r="C95" s="61">
        <f>C74-C91-C92-C93-C94</f>
        <v>75522326.025766283</v>
      </c>
      <c r="D95" s="61">
        <f t="shared" ref="D95" si="76">D74-D91-D92-D93-D94</f>
        <v>79321462.646185622</v>
      </c>
      <c r="E95" s="61">
        <f t="shared" ref="E95" si="77">E74-E91-E92-E93-E94</f>
        <v>81816463.79516913</v>
      </c>
      <c r="F95" s="61">
        <f t="shared" ref="F95" si="78">F74-F91-F92-F93-F94</f>
        <v>82989557.681770846</v>
      </c>
      <c r="G95" s="61">
        <f t="shared" ref="G95" si="79">G74-G91-G92-G93-G94</f>
        <v>78033034.943215266</v>
      </c>
      <c r="H95" s="61">
        <f t="shared" ref="H95" si="80">H74-H91-H92-H93-H94</f>
        <v>82208936.648397297</v>
      </c>
      <c r="I95" s="61">
        <f t="shared" ref="I95" si="81">I74-I91-I92-I93-I94</f>
        <v>79666046.400532559</v>
      </c>
      <c r="J95" s="61">
        <f t="shared" ref="J95" si="82">J74-J91-J92-J93-J94</f>
        <v>74245086.776290506</v>
      </c>
      <c r="K95" s="61">
        <f t="shared" ref="K95" si="83">K74-K91-K92-K93-K94</f>
        <v>79184469.813478008</v>
      </c>
      <c r="L95" s="61">
        <f t="shared" ref="L95" si="84">L74-L91-L92-L93-L94</f>
        <v>80564018.971005425</v>
      </c>
      <c r="M95" s="61">
        <f t="shared" ref="M95" si="85">M74-M91-M92-M93-M94</f>
        <v>80171139.008538604</v>
      </c>
      <c r="N95" s="61">
        <f t="shared" ref="N95" si="86">N74-N91-N92-N93-N94</f>
        <v>81254789.903615087</v>
      </c>
      <c r="O95" s="47">
        <f t="shared" si="75"/>
        <v>954977332.61396468</v>
      </c>
      <c r="P95" s="43"/>
      <c r="Q95" s="43"/>
      <c r="R95" s="40"/>
      <c r="S95" s="40"/>
      <c r="T95" s="40"/>
      <c r="U95" s="40"/>
      <c r="V95" s="40"/>
      <c r="W95" s="40"/>
      <c r="X95" s="40"/>
      <c r="Y95" s="40"/>
    </row>
    <row r="96" spans="1:25" x14ac:dyDescent="0.25">
      <c r="A96" s="85"/>
      <c r="B96" s="40"/>
      <c r="C96" s="40"/>
      <c r="D96" s="40"/>
      <c r="E96" s="40"/>
      <c r="F96" s="40"/>
      <c r="G96" s="40"/>
      <c r="H96" s="40"/>
      <c r="I96" s="40"/>
      <c r="J96" s="40"/>
      <c r="K96" s="40"/>
      <c r="L96" s="353" t="s">
        <v>217</v>
      </c>
      <c r="M96" s="354"/>
      <c r="N96" s="350">
        <f>SUM(C95:N95)+N62</f>
        <v>15011133294.572428</v>
      </c>
      <c r="O96" s="40"/>
    </row>
    <row r="97" spans="1:15" x14ac:dyDescent="0.25">
      <c r="A97" s="85"/>
      <c r="B97" s="40"/>
      <c r="C97" s="40"/>
      <c r="D97" s="40"/>
      <c r="E97" s="40"/>
      <c r="F97" s="40"/>
      <c r="G97" s="40"/>
      <c r="H97" s="40"/>
      <c r="I97" s="40"/>
      <c r="J97" s="40"/>
      <c r="K97" s="40"/>
      <c r="L97" s="320"/>
      <c r="M97" s="355"/>
      <c r="N97" s="351"/>
      <c r="O97" s="40"/>
    </row>
    <row r="98" spans="1:15" x14ac:dyDescent="0.25">
      <c r="A98" s="85"/>
      <c r="B98" s="319" t="s">
        <v>632</v>
      </c>
      <c r="C98" s="352" t="s">
        <v>173</v>
      </c>
      <c r="D98" s="352"/>
      <c r="E98" s="352"/>
      <c r="F98" s="352"/>
      <c r="G98" s="352"/>
      <c r="H98" s="352"/>
      <c r="I98" s="40"/>
      <c r="J98" s="358" t="s">
        <v>231</v>
      </c>
      <c r="K98" s="359">
        <v>0.04</v>
      </c>
      <c r="L98" s="40"/>
      <c r="M98" s="40"/>
      <c r="N98" s="40"/>
      <c r="O98" s="361"/>
    </row>
    <row r="99" spans="1:15" x14ac:dyDescent="0.25">
      <c r="A99" s="85"/>
      <c r="B99" s="319"/>
      <c r="C99" s="352"/>
      <c r="D99" s="352"/>
      <c r="E99" s="352"/>
      <c r="F99" s="352"/>
      <c r="G99" s="352"/>
      <c r="H99" s="352"/>
      <c r="I99" s="40"/>
      <c r="J99" s="358"/>
      <c r="K99" s="360"/>
      <c r="L99" s="40"/>
      <c r="M99" s="40"/>
      <c r="N99" s="40"/>
      <c r="O99" s="362"/>
    </row>
    <row r="100" spans="1:15" x14ac:dyDescent="0.25">
      <c r="A100" s="85"/>
      <c r="B100" s="319"/>
      <c r="C100" s="352"/>
      <c r="D100" s="352"/>
      <c r="E100" s="352"/>
      <c r="F100" s="352"/>
      <c r="G100" s="352"/>
      <c r="H100" s="352"/>
      <c r="I100" s="40"/>
      <c r="J100" s="40"/>
      <c r="K100" s="40"/>
      <c r="L100" s="40"/>
      <c r="M100" s="40"/>
      <c r="N100" s="40"/>
      <c r="O100" s="40"/>
    </row>
    <row r="103" spans="1:15" ht="24.6" x14ac:dyDescent="0.25">
      <c r="A103" s="96"/>
      <c r="B103" s="348" t="s">
        <v>275</v>
      </c>
      <c r="C103" s="348"/>
      <c r="D103" s="348"/>
      <c r="E103" s="348"/>
      <c r="F103" s="348"/>
      <c r="G103" s="348"/>
      <c r="H103" s="348"/>
      <c r="I103" s="348"/>
      <c r="J103" s="348"/>
      <c r="K103" s="348"/>
      <c r="L103" s="348"/>
      <c r="M103" s="348"/>
      <c r="N103" s="348"/>
      <c r="O103" s="348"/>
    </row>
    <row r="104" spans="1:15" ht="24.6" x14ac:dyDescent="0.25">
      <c r="A104" s="96"/>
      <c r="B104" s="349"/>
      <c r="C104" s="349"/>
      <c r="D104" s="349"/>
      <c r="E104" s="349"/>
      <c r="F104" s="349"/>
      <c r="G104" s="349"/>
      <c r="H104" s="349"/>
      <c r="I104" s="349"/>
      <c r="J104" s="349"/>
      <c r="K104" s="349"/>
      <c r="L104" s="349"/>
      <c r="M104" s="349"/>
      <c r="N104" s="349"/>
      <c r="O104" s="349"/>
    </row>
    <row r="105" spans="1:15" x14ac:dyDescent="0.25">
      <c r="A105" s="82"/>
      <c r="B105" s="41"/>
      <c r="C105" s="42" t="s">
        <v>66</v>
      </c>
      <c r="D105" s="42" t="s">
        <v>67</v>
      </c>
      <c r="E105" s="42" t="s">
        <v>68</v>
      </c>
      <c r="F105" s="42" t="s">
        <v>69</v>
      </c>
      <c r="G105" s="42" t="s">
        <v>70</v>
      </c>
      <c r="H105" s="42" t="s">
        <v>71</v>
      </c>
      <c r="I105" s="42" t="s">
        <v>72</v>
      </c>
      <c r="J105" s="42" t="s">
        <v>73</v>
      </c>
      <c r="K105" s="42" t="s">
        <v>74</v>
      </c>
      <c r="L105" s="42" t="s">
        <v>75</v>
      </c>
      <c r="M105" s="42" t="s">
        <v>76</v>
      </c>
      <c r="N105" s="42" t="s">
        <v>77</v>
      </c>
      <c r="O105" s="42" t="s">
        <v>236</v>
      </c>
    </row>
    <row r="106" spans="1:15" x14ac:dyDescent="0.25">
      <c r="A106" s="82"/>
      <c r="B106" s="44" t="s">
        <v>194</v>
      </c>
      <c r="C106" s="45">
        <f>'3.1. My Income Tax Calculation'!$P$35/12</f>
        <v>145073762.60975644</v>
      </c>
      <c r="D106" s="45">
        <f>'3.1. My Income Tax Calculation'!$P$35/12</f>
        <v>145073762.60975644</v>
      </c>
      <c r="E106" s="45">
        <f>'3.1. My Income Tax Calculation'!$P$35/12</f>
        <v>145073762.60975644</v>
      </c>
      <c r="F106" s="45">
        <f>'3.1. My Income Tax Calculation'!$P$35/12</f>
        <v>145073762.60975644</v>
      </c>
      <c r="G106" s="45">
        <f>'3.1. My Income Tax Calculation'!$P$35/12</f>
        <v>145073762.60975644</v>
      </c>
      <c r="H106" s="45">
        <f>'3.1. My Income Tax Calculation'!$P$35/12</f>
        <v>145073762.60975644</v>
      </c>
      <c r="I106" s="45">
        <f>'3.1. My Income Tax Calculation'!$P$35/12</f>
        <v>145073762.60975644</v>
      </c>
      <c r="J106" s="45">
        <f>'3.1. My Income Tax Calculation'!$P$35/12</f>
        <v>145073762.60975644</v>
      </c>
      <c r="K106" s="45">
        <f>'3.1. My Income Tax Calculation'!$P$35/12</f>
        <v>145073762.60975644</v>
      </c>
      <c r="L106" s="45">
        <f>'3.1. My Income Tax Calculation'!$P$35/12</f>
        <v>145073762.60975644</v>
      </c>
      <c r="M106" s="45">
        <f>'3.1. My Income Tax Calculation'!$P$35/12</f>
        <v>145073762.60975644</v>
      </c>
      <c r="N106" s="45">
        <f>'3.1. My Income Tax Calculation'!$P$35/12</f>
        <v>145073762.60975644</v>
      </c>
      <c r="O106" s="45" t="s">
        <v>173</v>
      </c>
    </row>
    <row r="107" spans="1:15" x14ac:dyDescent="0.25">
      <c r="A107" s="82"/>
      <c r="B107" s="44" t="s">
        <v>246</v>
      </c>
      <c r="C107" s="45">
        <f>'3.2. My wife''s Tax Calc'!$P$35/12</f>
        <v>65147292.677666537</v>
      </c>
      <c r="D107" s="45">
        <f>'3.2. My wife''s Tax Calc'!$P$35/12</f>
        <v>65147292.677666537</v>
      </c>
      <c r="E107" s="45">
        <f>'3.2. My wife''s Tax Calc'!$P$35/12</f>
        <v>65147292.677666537</v>
      </c>
      <c r="F107" s="45">
        <f>'3.2. My wife''s Tax Calc'!$P$35/12</f>
        <v>65147292.677666537</v>
      </c>
      <c r="G107" s="45">
        <f>'3.2. My wife''s Tax Calc'!$P$35/12</f>
        <v>65147292.677666537</v>
      </c>
      <c r="H107" s="45">
        <f>'3.2. My wife''s Tax Calc'!$P$35/12</f>
        <v>65147292.677666537</v>
      </c>
      <c r="I107" s="45">
        <f>'3.2. My wife''s Tax Calc'!$P$35/12</f>
        <v>65147292.677666537</v>
      </c>
      <c r="J107" s="45">
        <f>'3.2. My wife''s Tax Calc'!$P$35/12</f>
        <v>65147292.677666537</v>
      </c>
      <c r="K107" s="45">
        <f>'3.2. My wife''s Tax Calc'!$P$35/12</f>
        <v>65147292.677666537</v>
      </c>
      <c r="L107" s="45">
        <f>'3.2. My wife''s Tax Calc'!$P$35/12</f>
        <v>65147292.677666537</v>
      </c>
      <c r="M107" s="45">
        <f>'3.2. My wife''s Tax Calc'!$P$35/12</f>
        <v>65147292.677666537</v>
      </c>
      <c r="N107" s="45">
        <f>'3.2. My wife''s Tax Calc'!$P$35/12</f>
        <v>65147292.677666537</v>
      </c>
      <c r="O107" s="45" t="s">
        <v>173</v>
      </c>
    </row>
    <row r="108" spans="1:15" x14ac:dyDescent="0.25">
      <c r="A108" s="82"/>
      <c r="B108" s="46" t="s">
        <v>209</v>
      </c>
      <c r="C108" s="47">
        <f>SUM(C106:C107)</f>
        <v>210221055.28742298</v>
      </c>
      <c r="D108" s="47">
        <f t="shared" ref="D108:J108" si="87">SUM(D106:D107)</f>
        <v>210221055.28742298</v>
      </c>
      <c r="E108" s="47">
        <f t="shared" si="87"/>
        <v>210221055.28742298</v>
      </c>
      <c r="F108" s="47">
        <f t="shared" si="87"/>
        <v>210221055.28742298</v>
      </c>
      <c r="G108" s="47">
        <f t="shared" si="87"/>
        <v>210221055.28742298</v>
      </c>
      <c r="H108" s="47">
        <f t="shared" si="87"/>
        <v>210221055.28742298</v>
      </c>
      <c r="I108" s="47">
        <f t="shared" si="87"/>
        <v>210221055.28742298</v>
      </c>
      <c r="J108" s="47">
        <f t="shared" si="87"/>
        <v>210221055.28742298</v>
      </c>
      <c r="K108" s="47">
        <f>SUM(K106:K107)</f>
        <v>210221055.28742298</v>
      </c>
      <c r="L108" s="47">
        <f t="shared" ref="L108:N108" si="88">SUM(L106:L107)</f>
        <v>210221055.28742298</v>
      </c>
      <c r="M108" s="47">
        <f t="shared" si="88"/>
        <v>210221055.28742298</v>
      </c>
      <c r="N108" s="47">
        <f t="shared" si="88"/>
        <v>210221055.28742298</v>
      </c>
      <c r="O108" s="47">
        <f>SUM(C108:N108)</f>
        <v>2522652663.4490757</v>
      </c>
    </row>
    <row r="109" spans="1:15" x14ac:dyDescent="0.25">
      <c r="A109" s="82"/>
      <c r="B109" s="52" t="s">
        <v>78</v>
      </c>
      <c r="C109" s="53" t="s">
        <v>173</v>
      </c>
      <c r="D109" s="53" t="s">
        <v>173</v>
      </c>
      <c r="E109" s="53" t="s">
        <v>173</v>
      </c>
      <c r="F109" s="53" t="s">
        <v>173</v>
      </c>
      <c r="G109" s="53" t="s">
        <v>173</v>
      </c>
      <c r="H109" s="53" t="s">
        <v>173</v>
      </c>
      <c r="I109" s="53" t="s">
        <v>173</v>
      </c>
      <c r="J109" s="53" t="s">
        <v>173</v>
      </c>
      <c r="K109" s="53" t="s">
        <v>173</v>
      </c>
      <c r="L109" s="53" t="s">
        <v>173</v>
      </c>
      <c r="M109" s="53" t="s">
        <v>173</v>
      </c>
      <c r="N109" s="53" t="s">
        <v>173</v>
      </c>
      <c r="O109" s="91" t="s">
        <v>173</v>
      </c>
    </row>
    <row r="110" spans="1:15" x14ac:dyDescent="0.25">
      <c r="A110" s="82"/>
      <c r="B110" s="48" t="s">
        <v>79</v>
      </c>
      <c r="C110" s="54" t="s">
        <v>173</v>
      </c>
      <c r="D110" s="54" t="s">
        <v>173</v>
      </c>
      <c r="E110" s="54" t="s">
        <v>173</v>
      </c>
      <c r="F110" s="54" t="s">
        <v>173</v>
      </c>
      <c r="G110" s="54" t="s">
        <v>173</v>
      </c>
      <c r="H110" s="54" t="s">
        <v>173</v>
      </c>
      <c r="I110" s="54" t="s">
        <v>173</v>
      </c>
      <c r="J110" s="54" t="s">
        <v>173</v>
      </c>
      <c r="K110" s="54" t="s">
        <v>173</v>
      </c>
      <c r="L110" s="54" t="s">
        <v>173</v>
      </c>
      <c r="M110" s="54" t="s">
        <v>173</v>
      </c>
      <c r="N110" s="54" t="s">
        <v>173</v>
      </c>
      <c r="O110" s="91" t="s">
        <v>173</v>
      </c>
    </row>
    <row r="111" spans="1:15" x14ac:dyDescent="0.25">
      <c r="A111" s="83"/>
      <c r="B111" s="49" t="s">
        <v>195</v>
      </c>
      <c r="C111" s="50">
        <f>C77*(1+$K$64)</f>
        <v>481586.30476698978</v>
      </c>
      <c r="D111" s="50">
        <v>0</v>
      </c>
      <c r="E111" s="50">
        <v>0</v>
      </c>
      <c r="F111" s="50">
        <v>0</v>
      </c>
      <c r="G111" s="50">
        <v>0</v>
      </c>
      <c r="H111" s="50">
        <v>0</v>
      </c>
      <c r="I111" s="50">
        <v>0</v>
      </c>
      <c r="J111" s="50">
        <v>0</v>
      </c>
      <c r="K111" s="50">
        <v>0</v>
      </c>
      <c r="L111" s="50">
        <v>0</v>
      </c>
      <c r="M111" s="50">
        <v>0</v>
      </c>
      <c r="N111" s="50">
        <v>0</v>
      </c>
      <c r="O111" s="90">
        <f t="shared" ref="O111:O114" si="89">SUM(C111:N111)</f>
        <v>481586.30476698978</v>
      </c>
    </row>
    <row r="112" spans="1:15" x14ac:dyDescent="0.25">
      <c r="A112" s="82"/>
      <c r="B112" s="51" t="s">
        <v>178</v>
      </c>
      <c r="C112" s="50">
        <f>C78*(1+$K$64)</f>
        <v>3648381.0967196212</v>
      </c>
      <c r="D112" s="50">
        <f t="shared" ref="D112:N112" si="90">D78*(1+$K$64)</f>
        <v>3648381.0967196212</v>
      </c>
      <c r="E112" s="50">
        <f t="shared" si="90"/>
        <v>3648381.0967196212</v>
      </c>
      <c r="F112" s="50">
        <f t="shared" si="90"/>
        <v>3648381.0967196212</v>
      </c>
      <c r="G112" s="50">
        <f t="shared" si="90"/>
        <v>3648381.0967196212</v>
      </c>
      <c r="H112" s="50">
        <f t="shared" si="90"/>
        <v>3648381.0967196212</v>
      </c>
      <c r="I112" s="50">
        <f t="shared" si="90"/>
        <v>3648381.0967196212</v>
      </c>
      <c r="J112" s="50">
        <f t="shared" si="90"/>
        <v>3648381.0967196212</v>
      </c>
      <c r="K112" s="50">
        <f t="shared" si="90"/>
        <v>3648381.0967196212</v>
      </c>
      <c r="L112" s="50">
        <f t="shared" si="90"/>
        <v>3648381.0967196212</v>
      </c>
      <c r="M112" s="50">
        <f t="shared" si="90"/>
        <v>3648381.0967196212</v>
      </c>
      <c r="N112" s="50">
        <f t="shared" si="90"/>
        <v>3648381.0967196212</v>
      </c>
      <c r="O112" s="90">
        <f t="shared" si="89"/>
        <v>43780573.160635464</v>
      </c>
    </row>
    <row r="113" spans="1:25" x14ac:dyDescent="0.25">
      <c r="A113" s="84"/>
      <c r="B113" s="51" t="s">
        <v>248</v>
      </c>
      <c r="C113" s="50">
        <f>C79*(1+$K$64)</f>
        <v>437805.73160635441</v>
      </c>
      <c r="D113" s="50">
        <f t="shared" ref="D113:N113" si="91">D79*(1+$K$64)</f>
        <v>437805.73160635441</v>
      </c>
      <c r="E113" s="50">
        <f t="shared" si="91"/>
        <v>437805.73160635441</v>
      </c>
      <c r="F113" s="50">
        <f t="shared" si="91"/>
        <v>437805.73160635441</v>
      </c>
      <c r="G113" s="50">
        <f t="shared" si="91"/>
        <v>437805.73160635441</v>
      </c>
      <c r="H113" s="50">
        <f t="shared" si="91"/>
        <v>437805.73160635441</v>
      </c>
      <c r="I113" s="50">
        <f t="shared" si="91"/>
        <v>437805.73160635441</v>
      </c>
      <c r="J113" s="50">
        <f t="shared" si="91"/>
        <v>437805.73160635441</v>
      </c>
      <c r="K113" s="50">
        <f t="shared" si="91"/>
        <v>437805.73160635441</v>
      </c>
      <c r="L113" s="50">
        <f t="shared" si="91"/>
        <v>437805.73160635441</v>
      </c>
      <c r="M113" s="50">
        <f t="shared" si="91"/>
        <v>437805.73160635441</v>
      </c>
      <c r="N113" s="50">
        <f t="shared" si="91"/>
        <v>437805.73160635441</v>
      </c>
      <c r="O113" s="90">
        <f t="shared" si="89"/>
        <v>5253668.7792762518</v>
      </c>
    </row>
    <row r="114" spans="1:25" x14ac:dyDescent="0.25">
      <c r="A114" s="82"/>
      <c r="B114" s="46" t="s">
        <v>207</v>
      </c>
      <c r="C114" s="47">
        <f t="shared" ref="C114" si="92">SUM(C111:C113)</f>
        <v>4567773.133092965</v>
      </c>
      <c r="D114" s="47">
        <f t="shared" ref="D114" si="93">SUM(D111:D113)</f>
        <v>4086186.8283259757</v>
      </c>
      <c r="E114" s="47">
        <f t="shared" ref="E114" si="94">SUM(E111:E113)</f>
        <v>4086186.8283259757</v>
      </c>
      <c r="F114" s="47">
        <f t="shared" ref="F114" si="95">SUM(F111:F113)</f>
        <v>4086186.8283259757</v>
      </c>
      <c r="G114" s="47">
        <f t="shared" ref="G114" si="96">SUM(G111:G113)</f>
        <v>4086186.8283259757</v>
      </c>
      <c r="H114" s="47">
        <f t="shared" ref="H114" si="97">SUM(H111:H113)</f>
        <v>4086186.8283259757</v>
      </c>
      <c r="I114" s="47">
        <f t="shared" ref="I114" si="98">SUM(I111:I113)</f>
        <v>4086186.8283259757</v>
      </c>
      <c r="J114" s="47">
        <f t="shared" ref="J114" si="99">SUM(J111:J113)</f>
        <v>4086186.8283259757</v>
      </c>
      <c r="K114" s="47">
        <f t="shared" ref="K114" si="100">SUM(K111:K113)</f>
        <v>4086186.8283259757</v>
      </c>
      <c r="L114" s="47">
        <f t="shared" ref="L114" si="101">SUM(L111:L113)</f>
        <v>4086186.8283259757</v>
      </c>
      <c r="M114" s="47">
        <f t="shared" ref="M114" si="102">SUM(M111:M113)</f>
        <v>4086186.8283259757</v>
      </c>
      <c r="N114" s="47">
        <f t="shared" ref="N114" si="103">SUM(N111:N113)</f>
        <v>4086186.8283259757</v>
      </c>
      <c r="O114" s="47">
        <f t="shared" si="89"/>
        <v>49515828.244678691</v>
      </c>
    </row>
    <row r="115" spans="1:25" x14ac:dyDescent="0.25">
      <c r="A115" s="82"/>
      <c r="B115" s="55" t="s">
        <v>83</v>
      </c>
      <c r="C115" s="59" t="s">
        <v>173</v>
      </c>
      <c r="D115" s="59" t="s">
        <v>173</v>
      </c>
      <c r="E115" s="59" t="s">
        <v>173</v>
      </c>
      <c r="F115" s="59" t="s">
        <v>173</v>
      </c>
      <c r="G115" s="59" t="s">
        <v>173</v>
      </c>
      <c r="H115" s="59" t="s">
        <v>173</v>
      </c>
      <c r="I115" s="59" t="s">
        <v>173</v>
      </c>
      <c r="J115" s="59" t="s">
        <v>173</v>
      </c>
      <c r="K115" s="59" t="s">
        <v>173</v>
      </c>
      <c r="L115" s="59" t="s">
        <v>173</v>
      </c>
      <c r="M115" s="59" t="s">
        <v>173</v>
      </c>
      <c r="N115" s="59" t="s">
        <v>173</v>
      </c>
      <c r="O115" s="91" t="s">
        <v>173</v>
      </c>
    </row>
    <row r="116" spans="1:25" x14ac:dyDescent="0.25">
      <c r="A116" s="82"/>
      <c r="B116" s="57" t="s">
        <v>210</v>
      </c>
      <c r="C116" s="89">
        <f t="shared" ref="C116:N116" si="104">C82*(1+$K$64)</f>
        <v>3622842.4290425843</v>
      </c>
      <c r="D116" s="89">
        <f t="shared" si="104"/>
        <v>4367112.1727733873</v>
      </c>
      <c r="E116" s="89">
        <f t="shared" si="104"/>
        <v>4027812.7307784585</v>
      </c>
      <c r="F116" s="89">
        <f t="shared" si="104"/>
        <v>3765129.2918146485</v>
      </c>
      <c r="G116" s="89">
        <f t="shared" si="104"/>
        <v>3458665.2796902005</v>
      </c>
      <c r="H116" s="89">
        <f t="shared" si="104"/>
        <v>4334276.7429029085</v>
      </c>
      <c r="I116" s="89">
        <f t="shared" si="104"/>
        <v>5056656.2000533929</v>
      </c>
      <c r="J116" s="89">
        <f t="shared" si="104"/>
        <v>4848698.4775403757</v>
      </c>
      <c r="K116" s="89">
        <f t="shared" si="104"/>
        <v>3743239.0052343295</v>
      </c>
      <c r="L116" s="89">
        <f t="shared" si="104"/>
        <v>3841745.2948457608</v>
      </c>
      <c r="M116" s="89">
        <f t="shared" si="104"/>
        <v>3655677.8589130589</v>
      </c>
      <c r="N116" s="89">
        <f t="shared" si="104"/>
        <v>3951196.7277473477</v>
      </c>
      <c r="O116" s="92">
        <f t="shared" ref="O116:O125" si="105">SUM(C116:N116)</f>
        <v>48673052.211336456</v>
      </c>
    </row>
    <row r="117" spans="1:25" x14ac:dyDescent="0.25">
      <c r="A117" s="82"/>
      <c r="B117" s="57" t="s">
        <v>203</v>
      </c>
      <c r="C117" s="89">
        <f t="shared" ref="C117:N117" si="106">C83*(1+$K$64)</f>
        <v>13079446.231739836</v>
      </c>
      <c r="D117" s="89">
        <f t="shared" si="106"/>
        <v>14086399.414434459</v>
      </c>
      <c r="E117" s="89">
        <f t="shared" si="106"/>
        <v>15793841.767699238</v>
      </c>
      <c r="F117" s="89">
        <f t="shared" si="106"/>
        <v>11973986.759433802</v>
      </c>
      <c r="G117" s="89">
        <f t="shared" si="106"/>
        <v>15936128.630471306</v>
      </c>
      <c r="H117" s="89">
        <f t="shared" si="106"/>
        <v>15016736.594097957</v>
      </c>
      <c r="I117" s="89">
        <f t="shared" si="106"/>
        <v>13779935.402310012</v>
      </c>
      <c r="J117" s="89">
        <f t="shared" si="106"/>
        <v>16384879.505367817</v>
      </c>
      <c r="K117" s="89">
        <f t="shared" si="106"/>
        <v>16012744.633502407</v>
      </c>
      <c r="L117" s="89">
        <f t="shared" si="106"/>
        <v>16012744.633502407</v>
      </c>
      <c r="M117" s="89">
        <f t="shared" si="106"/>
        <v>12444627.92091063</v>
      </c>
      <c r="N117" s="89">
        <f t="shared" si="106"/>
        <v>15345090.892802728</v>
      </c>
      <c r="O117" s="92">
        <f t="shared" si="105"/>
        <v>175866562.38627258</v>
      </c>
    </row>
    <row r="118" spans="1:25" x14ac:dyDescent="0.25">
      <c r="A118" s="82"/>
      <c r="B118" s="58" t="s">
        <v>84</v>
      </c>
      <c r="C118" s="89">
        <f t="shared" ref="C118:N118" si="107">C84*(1+$K$64)</f>
        <v>11569016.457697913</v>
      </c>
      <c r="D118" s="89">
        <f t="shared" si="107"/>
        <v>12630695.356843321</v>
      </c>
      <c r="E118" s="89">
        <f t="shared" si="107"/>
        <v>12674475.93000396</v>
      </c>
      <c r="F118" s="89">
        <f t="shared" si="107"/>
        <v>13090391.375029998</v>
      </c>
      <c r="G118" s="89">
        <f t="shared" si="107"/>
        <v>15487377.755574789</v>
      </c>
      <c r="H118" s="89">
        <f t="shared" si="107"/>
        <v>13396855.387154443</v>
      </c>
      <c r="I118" s="89">
        <f t="shared" si="107"/>
        <v>13911277.121791916</v>
      </c>
      <c r="J118" s="89">
        <f t="shared" si="107"/>
        <v>16012744.633502407</v>
      </c>
      <c r="K118" s="89">
        <f t="shared" si="107"/>
        <v>14655546.86552272</v>
      </c>
      <c r="L118" s="89">
        <f t="shared" si="107"/>
        <v>14633656.578942399</v>
      </c>
      <c r="M118" s="89">
        <f t="shared" si="107"/>
        <v>15662500.048217325</v>
      </c>
      <c r="N118" s="89">
        <f t="shared" si="107"/>
        <v>12575969.640392533</v>
      </c>
      <c r="O118" s="92">
        <f t="shared" si="105"/>
        <v>166300507.15067372</v>
      </c>
    </row>
    <row r="119" spans="1:25" x14ac:dyDescent="0.25">
      <c r="A119" s="82"/>
      <c r="B119" s="58" t="s">
        <v>81</v>
      </c>
      <c r="C119" s="89">
        <f t="shared" ref="C119:N119" si="108">C85*(1+$K$64)</f>
        <v>1094514.3290158866</v>
      </c>
      <c r="D119" s="89">
        <f t="shared" si="108"/>
        <v>1094514.3290158866</v>
      </c>
      <c r="E119" s="89">
        <f t="shared" si="108"/>
        <v>1094514.3290158866</v>
      </c>
      <c r="F119" s="89">
        <f t="shared" si="108"/>
        <v>1094514.3290158866</v>
      </c>
      <c r="G119" s="89">
        <f t="shared" si="108"/>
        <v>1094514.3290158866</v>
      </c>
      <c r="H119" s="89">
        <f t="shared" si="108"/>
        <v>1094514.3290158866</v>
      </c>
      <c r="I119" s="89">
        <f t="shared" si="108"/>
        <v>1094514.3290158866</v>
      </c>
      <c r="J119" s="89">
        <f t="shared" si="108"/>
        <v>1094514.3290158866</v>
      </c>
      <c r="K119" s="89">
        <f t="shared" si="108"/>
        <v>1094514.3290158866</v>
      </c>
      <c r="L119" s="89">
        <f t="shared" si="108"/>
        <v>1094514.3290158866</v>
      </c>
      <c r="M119" s="89">
        <f t="shared" si="108"/>
        <v>1094514.3290158866</v>
      </c>
      <c r="N119" s="89">
        <f t="shared" si="108"/>
        <v>1094514.3290158866</v>
      </c>
      <c r="O119" s="92">
        <f t="shared" si="105"/>
        <v>13134171.948190639</v>
      </c>
    </row>
    <row r="120" spans="1:25" x14ac:dyDescent="0.25">
      <c r="A120" s="82"/>
      <c r="B120" s="57" t="s">
        <v>85</v>
      </c>
      <c r="C120" s="89">
        <f t="shared" ref="C120:N120" si="109">C86*(1+$K$64)</f>
        <v>13440635.960315084</v>
      </c>
      <c r="D120" s="89">
        <f t="shared" si="109"/>
        <v>11503345.597956972</v>
      </c>
      <c r="E120" s="89">
        <f t="shared" si="109"/>
        <v>11908315.899692839</v>
      </c>
      <c r="F120" s="89">
        <f t="shared" si="109"/>
        <v>12094383.335625539</v>
      </c>
      <c r="G120" s="89">
        <f t="shared" si="109"/>
        <v>16264482.929176064</v>
      </c>
      <c r="H120" s="89">
        <f t="shared" si="109"/>
        <v>11941151.329563323</v>
      </c>
      <c r="I120" s="89">
        <f t="shared" si="109"/>
        <v>13856551.405341119</v>
      </c>
      <c r="J120" s="89">
        <f t="shared" si="109"/>
        <v>10967033.576739181</v>
      </c>
      <c r="K120" s="89">
        <f t="shared" si="109"/>
        <v>14261521.707076998</v>
      </c>
      <c r="L120" s="89">
        <f t="shared" si="109"/>
        <v>11328223.305314422</v>
      </c>
      <c r="M120" s="89">
        <f t="shared" si="109"/>
        <v>14425698.856429379</v>
      </c>
      <c r="N120" s="89">
        <f t="shared" si="109"/>
        <v>13736154.829149369</v>
      </c>
      <c r="O120" s="92">
        <f t="shared" si="105"/>
        <v>155727498.73238027</v>
      </c>
    </row>
    <row r="121" spans="1:25" x14ac:dyDescent="0.25">
      <c r="A121" s="84"/>
      <c r="B121" s="58" t="s">
        <v>249</v>
      </c>
      <c r="C121" s="89">
        <f t="shared" ref="C121:N121" si="110">C108*5%</f>
        <v>10511052.764371149</v>
      </c>
      <c r="D121" s="89">
        <f t="shared" si="110"/>
        <v>10511052.764371149</v>
      </c>
      <c r="E121" s="89">
        <f t="shared" si="110"/>
        <v>10511052.764371149</v>
      </c>
      <c r="F121" s="89">
        <f t="shared" si="110"/>
        <v>10511052.764371149</v>
      </c>
      <c r="G121" s="89">
        <f t="shared" si="110"/>
        <v>10511052.764371149</v>
      </c>
      <c r="H121" s="89">
        <f t="shared" si="110"/>
        <v>10511052.764371149</v>
      </c>
      <c r="I121" s="89">
        <f t="shared" si="110"/>
        <v>10511052.764371149</v>
      </c>
      <c r="J121" s="89">
        <f t="shared" si="110"/>
        <v>10511052.764371149</v>
      </c>
      <c r="K121" s="89">
        <f t="shared" si="110"/>
        <v>10511052.764371149</v>
      </c>
      <c r="L121" s="89">
        <f t="shared" si="110"/>
        <v>10511052.764371149</v>
      </c>
      <c r="M121" s="89">
        <f t="shared" si="110"/>
        <v>10511052.764371149</v>
      </c>
      <c r="N121" s="89">
        <f t="shared" si="110"/>
        <v>10511052.764371149</v>
      </c>
      <c r="O121" s="92">
        <f t="shared" si="105"/>
        <v>126132633.17245382</v>
      </c>
    </row>
    <row r="122" spans="1:25" x14ac:dyDescent="0.25">
      <c r="A122" s="84"/>
      <c r="B122" s="58" t="s">
        <v>180</v>
      </c>
      <c r="C122" s="89">
        <f>'7.5. Stage 5&amp;6 budget'!C91*(1+'7.5. Stage 5&amp;6 budget'!$K$68)</f>
        <v>10285133.269490132</v>
      </c>
      <c r="D122" s="89">
        <f>'7.5. Stage 5&amp;6 budget'!D91*(1+'7.5. Stage 5&amp;6 budget'!$K$68)</f>
        <v>10285133.269490132</v>
      </c>
      <c r="E122" s="89">
        <f>'7.5. Stage 5&amp;6 budget'!E91*(1+'7.5. Stage 5&amp;6 budget'!$K$68)</f>
        <v>10285133.269490132</v>
      </c>
      <c r="F122" s="89">
        <f>'7.5. Stage 5&amp;6 budget'!F91*(1+'7.5. Stage 5&amp;6 budget'!$K$68)</f>
        <v>10285133.269490132</v>
      </c>
      <c r="G122" s="89">
        <f>'7.5. Stage 5&amp;6 budget'!G91*(1+'7.5. Stage 5&amp;6 budget'!$K$68)</f>
        <v>10285133.269490132</v>
      </c>
      <c r="H122" s="89">
        <f>'7.5. Stage 5&amp;6 budget'!H91*(1+'7.5. Stage 5&amp;6 budget'!$K$68)</f>
        <v>10285133.269490132</v>
      </c>
      <c r="I122" s="89">
        <f>'7.5. Stage 5&amp;6 budget'!I91*(1+'7.5. Stage 5&amp;6 budget'!$K$68)</f>
        <v>10285133.269490132</v>
      </c>
      <c r="J122" s="89">
        <f>'7.5. Stage 5&amp;6 budget'!J91*(1+'7.5. Stage 5&amp;6 budget'!$K$68)</f>
        <v>10285133.269490132</v>
      </c>
      <c r="K122" s="89">
        <f>'7.5. Stage 5&amp;6 budget'!K91*(1+'7.5. Stage 5&amp;6 budget'!$K$68)</f>
        <v>10285133.269490132</v>
      </c>
      <c r="L122" s="89">
        <f>'7.5. Stage 5&amp;6 budget'!L91*(1+'7.5. Stage 5&amp;6 budget'!$K$68)</f>
        <v>10285133.269490132</v>
      </c>
      <c r="M122" s="89">
        <f>'7.5. Stage 5&amp;6 budget'!M91*(1+'7.5. Stage 5&amp;6 budget'!$K$68)</f>
        <v>10285133.269490132</v>
      </c>
      <c r="N122" s="89">
        <f>'7.5. Stage 5&amp;6 budget'!N91*(1+'7.5. Stage 5&amp;6 budget'!$K$68)</f>
        <v>10285133.269490132</v>
      </c>
      <c r="O122" s="92">
        <f t="shared" si="105"/>
        <v>123421599.23388161</v>
      </c>
    </row>
    <row r="123" spans="1:25" x14ac:dyDescent="0.25">
      <c r="A123" s="84"/>
      <c r="B123" s="58" t="s">
        <v>86</v>
      </c>
      <c r="C123" s="89">
        <f>'7.5. Stage 5&amp;6 budget'!C99*(1+'7.5. Stage 5&amp;6 budget'!$K$68)</f>
        <v>24647074.7838553</v>
      </c>
      <c r="D123" s="89">
        <f>'7.5. Stage 5&amp;6 budget'!D99*(1+'7.5. Stage 5&amp;6 budget'!$K$68)</f>
        <v>24647074.7838553</v>
      </c>
      <c r="E123" s="89">
        <f>'7.5. Stage 5&amp;6 budget'!E99*(1+'7.5. Stage 5&amp;6 budget'!$K$68)</f>
        <v>24647074.7838553</v>
      </c>
      <c r="F123" s="89">
        <f>'7.5. Stage 5&amp;6 budget'!F99*(1+'7.5. Stage 5&amp;6 budget'!$K$68)</f>
        <v>24647074.7838553</v>
      </c>
      <c r="G123" s="89">
        <f>'7.5. Stage 5&amp;6 budget'!G99*(1+'7.5. Stage 5&amp;6 budget'!$K$68)</f>
        <v>24647074.7838553</v>
      </c>
      <c r="H123" s="89">
        <f>'7.5. Stage 5&amp;6 budget'!H99*(1+'7.5. Stage 5&amp;6 budget'!$K$68)</f>
        <v>24647074.7838553</v>
      </c>
      <c r="I123" s="89">
        <f>'7.5. Stage 5&amp;6 budget'!I99*(1+'7.5. Stage 5&amp;6 budget'!$K$68)</f>
        <v>24647074.7838553</v>
      </c>
      <c r="J123" s="89">
        <f>'7.5. Stage 5&amp;6 budget'!J99*(1+'7.5. Stage 5&amp;6 budget'!$K$68)</f>
        <v>24647074.7838553</v>
      </c>
      <c r="K123" s="89">
        <f>'7.5. Stage 5&amp;6 budget'!K99*(1+'7.5. Stage 5&amp;6 budget'!$K$68)</f>
        <v>24647074.7838553</v>
      </c>
      <c r="L123" s="89">
        <f>'7.5. Stage 5&amp;6 budget'!L99*(1+'7.5. Stage 5&amp;6 budget'!$K$68)</f>
        <v>24647074.7838553</v>
      </c>
      <c r="M123" s="89">
        <f>'7.5. Stage 5&amp;6 budget'!M99*(1+'7.5. Stage 5&amp;6 budget'!$K$68)</f>
        <v>24647074.7838553</v>
      </c>
      <c r="N123" s="89">
        <f>'7.5. Stage 5&amp;6 budget'!N99*(1+'7.5. Stage 5&amp;6 budget'!$K$68)</f>
        <v>24647074.7838553</v>
      </c>
      <c r="O123" s="92">
        <f t="shared" si="105"/>
        <v>295764897.40626359</v>
      </c>
    </row>
    <row r="124" spans="1:25" x14ac:dyDescent="0.25">
      <c r="A124" s="82"/>
      <c r="B124" s="46" t="s">
        <v>208</v>
      </c>
      <c r="C124" s="47">
        <f t="shared" ref="C124:N124" si="111">SUM(C116:C123)</f>
        <v>88249716.225527883</v>
      </c>
      <c r="D124" s="47">
        <f t="shared" si="111"/>
        <v>89125327.688740611</v>
      </c>
      <c r="E124" s="47">
        <f t="shared" si="111"/>
        <v>90942221.474906966</v>
      </c>
      <c r="F124" s="47">
        <f t="shared" si="111"/>
        <v>87461665.908636451</v>
      </c>
      <c r="G124" s="47">
        <f t="shared" si="111"/>
        <v>97684429.74164483</v>
      </c>
      <c r="H124" s="47">
        <f t="shared" si="111"/>
        <v>91226795.200451106</v>
      </c>
      <c r="I124" s="47">
        <f t="shared" si="111"/>
        <v>93142195.27622892</v>
      </c>
      <c r="J124" s="47">
        <f t="shared" si="111"/>
        <v>94751131.339882255</v>
      </c>
      <c r="K124" s="47">
        <f t="shared" si="111"/>
        <v>95210827.358068928</v>
      </c>
      <c r="L124" s="47">
        <f t="shared" si="111"/>
        <v>92354144.959337473</v>
      </c>
      <c r="M124" s="47">
        <f t="shared" si="111"/>
        <v>92726279.831202865</v>
      </c>
      <c r="N124" s="47">
        <f t="shared" si="111"/>
        <v>92146187.236824453</v>
      </c>
      <c r="O124" s="47">
        <f t="shared" si="105"/>
        <v>1105020922.2414527</v>
      </c>
    </row>
    <row r="125" spans="1:25" x14ac:dyDescent="0.25">
      <c r="A125" s="82"/>
      <c r="B125" s="60" t="s">
        <v>87</v>
      </c>
      <c r="C125" s="47">
        <f t="shared" ref="C125:N125" si="112">C114+C124</f>
        <v>92817489.358620852</v>
      </c>
      <c r="D125" s="47">
        <f t="shared" si="112"/>
        <v>93211514.517066583</v>
      </c>
      <c r="E125" s="47">
        <f t="shared" si="112"/>
        <v>95028408.303232938</v>
      </c>
      <c r="F125" s="47">
        <f t="shared" si="112"/>
        <v>91547852.736962423</v>
      </c>
      <c r="G125" s="47">
        <f t="shared" si="112"/>
        <v>101770616.5699708</v>
      </c>
      <c r="H125" s="47">
        <f t="shared" si="112"/>
        <v>95312982.028777078</v>
      </c>
      <c r="I125" s="47">
        <f t="shared" si="112"/>
        <v>97228382.104554892</v>
      </c>
      <c r="J125" s="47">
        <f t="shared" si="112"/>
        <v>98837318.168208227</v>
      </c>
      <c r="K125" s="47">
        <f t="shared" si="112"/>
        <v>99297014.1863949</v>
      </c>
      <c r="L125" s="47">
        <f t="shared" si="112"/>
        <v>96440331.787663445</v>
      </c>
      <c r="M125" s="47">
        <f t="shared" si="112"/>
        <v>96812466.659528837</v>
      </c>
      <c r="N125" s="47">
        <f t="shared" si="112"/>
        <v>96232374.065150425</v>
      </c>
      <c r="O125" s="47">
        <f t="shared" si="105"/>
        <v>1154536750.4861314</v>
      </c>
    </row>
    <row r="126" spans="1:25" s="11" customFormat="1" x14ac:dyDescent="0.25">
      <c r="A126" s="82"/>
      <c r="B126" s="108" t="s">
        <v>204</v>
      </c>
      <c r="C126" s="109">
        <f>$O125*(3/12)/12</f>
        <v>24052848.96846107</v>
      </c>
      <c r="D126" s="109">
        <f t="shared" ref="D126" si="113">$O125*(3/12)/12</f>
        <v>24052848.96846107</v>
      </c>
      <c r="E126" s="109">
        <f t="shared" ref="E126" si="114">$O125*(3/12)/12</f>
        <v>24052848.96846107</v>
      </c>
      <c r="F126" s="109">
        <f t="shared" ref="F126" si="115">$O125*(3/12)/12</f>
        <v>24052848.96846107</v>
      </c>
      <c r="G126" s="109">
        <f t="shared" ref="G126" si="116">$O125*(3/12)/12</f>
        <v>24052848.96846107</v>
      </c>
      <c r="H126" s="109">
        <f t="shared" ref="H126" si="117">$O125*(3/12)/12</f>
        <v>24052848.96846107</v>
      </c>
      <c r="I126" s="109">
        <f t="shared" ref="I126" si="118">$O125*(3/12)/12</f>
        <v>24052848.96846107</v>
      </c>
      <c r="J126" s="109">
        <f t="shared" ref="J126" si="119">$O125*(3/12)/12</f>
        <v>24052848.96846107</v>
      </c>
      <c r="K126" s="109">
        <f t="shared" ref="K126" si="120">$O125*(3/12)/12</f>
        <v>24052848.96846107</v>
      </c>
      <c r="L126" s="109">
        <f t="shared" ref="L126" si="121">$O125*(3/12)/12</f>
        <v>24052848.96846107</v>
      </c>
      <c r="M126" s="109">
        <f t="shared" ref="M126" si="122">$O125*(3/12)/12</f>
        <v>24052848.96846107</v>
      </c>
      <c r="N126" s="109">
        <f>$O125*(3/12)/12</f>
        <v>24052848.96846107</v>
      </c>
      <c r="O126" s="109">
        <f t="shared" ref="O126:O129" si="123">SUM(C126:N126)</f>
        <v>288634187.62153286</v>
      </c>
      <c r="P126" s="43"/>
      <c r="Q126" s="43"/>
      <c r="R126" s="40"/>
      <c r="S126" s="40"/>
      <c r="T126" s="40"/>
      <c r="U126" s="40"/>
      <c r="V126" s="40"/>
      <c r="W126" s="40"/>
      <c r="X126" s="40"/>
      <c r="Y126" s="40"/>
    </row>
    <row r="127" spans="1:25" s="11" customFormat="1" x14ac:dyDescent="0.25">
      <c r="A127" s="82"/>
      <c r="B127" s="108" t="s">
        <v>82</v>
      </c>
      <c r="C127" s="109">
        <f>'6. Mortgage payment'!$C$7</f>
        <v>28168245.060798287</v>
      </c>
      <c r="D127" s="109">
        <f>'6. Mortgage payment'!$C$7</f>
        <v>28168245.060798287</v>
      </c>
      <c r="E127" s="109">
        <f>'6. Mortgage payment'!$C$7</f>
        <v>28168245.060798287</v>
      </c>
      <c r="F127" s="109">
        <f>'6. Mortgage payment'!$C$7</f>
        <v>28168245.060798287</v>
      </c>
      <c r="G127" s="109">
        <f>'6. Mortgage payment'!$C$7</f>
        <v>28168245.060798287</v>
      </c>
      <c r="H127" s="109">
        <f>'6. Mortgage payment'!$C$7</f>
        <v>28168245.060798287</v>
      </c>
      <c r="I127" s="109">
        <f>'6. Mortgage payment'!$C$7</f>
        <v>28168245.060798287</v>
      </c>
      <c r="J127" s="109">
        <f>'6. Mortgage payment'!$C$7</f>
        <v>28168245.060798287</v>
      </c>
      <c r="K127" s="109">
        <f>'6. Mortgage payment'!$C$7</f>
        <v>28168245.060798287</v>
      </c>
      <c r="L127" s="109">
        <f>'6. Mortgage payment'!$C$7</f>
        <v>28168245.060798287</v>
      </c>
      <c r="M127" s="109">
        <f>'6. Mortgage payment'!$C$7</f>
        <v>28168245.060798287</v>
      </c>
      <c r="N127" s="109">
        <f>'6. Mortgage payment'!$C$7</f>
        <v>28168245.060798287</v>
      </c>
      <c r="O127" s="109">
        <f t="shared" si="123"/>
        <v>338018940.72957945</v>
      </c>
      <c r="P127" s="43"/>
      <c r="Q127" s="43"/>
      <c r="R127" s="40"/>
      <c r="S127" s="40"/>
      <c r="T127" s="40"/>
      <c r="U127" s="40"/>
      <c r="V127" s="40"/>
      <c r="W127" s="40"/>
      <c r="X127" s="40"/>
      <c r="Y127" s="40"/>
    </row>
    <row r="128" spans="1:25" s="11" customFormat="1" x14ac:dyDescent="0.25">
      <c r="A128" s="82"/>
      <c r="B128" s="108" t="s">
        <v>386</v>
      </c>
      <c r="C128" s="109">
        <f>C94*(1+$K$64)</f>
        <v>3998754.4972311328</v>
      </c>
      <c r="D128" s="109">
        <v>0</v>
      </c>
      <c r="E128" s="109">
        <v>0</v>
      </c>
      <c r="F128" s="109">
        <v>0</v>
      </c>
      <c r="G128" s="109">
        <v>0</v>
      </c>
      <c r="H128" s="109">
        <v>0</v>
      </c>
      <c r="I128" s="109">
        <v>0</v>
      </c>
      <c r="J128" s="109">
        <v>0</v>
      </c>
      <c r="K128" s="109">
        <v>0</v>
      </c>
      <c r="L128" s="109">
        <v>0</v>
      </c>
      <c r="M128" s="109">
        <v>0</v>
      </c>
      <c r="N128" s="109">
        <v>0</v>
      </c>
      <c r="O128" s="109">
        <f t="shared" si="123"/>
        <v>3998754.4972311328</v>
      </c>
      <c r="P128" s="43"/>
      <c r="Q128" s="43"/>
      <c r="R128" s="40"/>
      <c r="S128" s="40"/>
      <c r="T128" s="40"/>
      <c r="U128" s="40"/>
      <c r="V128" s="40"/>
      <c r="W128" s="40"/>
      <c r="X128" s="40"/>
      <c r="Y128" s="40"/>
    </row>
    <row r="129" spans="1:25" s="11" customFormat="1" x14ac:dyDescent="0.25">
      <c r="A129" s="82"/>
      <c r="B129" s="60" t="s">
        <v>206</v>
      </c>
      <c r="C129" s="61">
        <f>C108-C125-C126-C127-C128</f>
        <v>61183717.402311645</v>
      </c>
      <c r="D129" s="61">
        <f t="shared" ref="D129" si="124">D108-D125-D126-D127-D128</f>
        <v>64788446.741097048</v>
      </c>
      <c r="E129" s="61">
        <f t="shared" ref="E129" si="125">E108-E125-E126-E127-E128</f>
        <v>62971552.954930693</v>
      </c>
      <c r="F129" s="61">
        <f t="shared" ref="F129" si="126">F108-F125-F126-F127-F128</f>
        <v>66452108.521201208</v>
      </c>
      <c r="G129" s="61">
        <f t="shared" ref="G129" si="127">G108-G125-G126-G127-G128</f>
        <v>56229344.688192829</v>
      </c>
      <c r="H129" s="61">
        <f t="shared" ref="H129" si="128">H108-H125-H126-H127-H128</f>
        <v>62686979.229386553</v>
      </c>
      <c r="I129" s="61">
        <f t="shared" ref="I129" si="129">I108-I125-I126-I127-I128</f>
        <v>60771579.153608739</v>
      </c>
      <c r="J129" s="61">
        <f t="shared" ref="J129" si="130">J108-J125-J126-J127-J128</f>
        <v>59162643.089955404</v>
      </c>
      <c r="K129" s="61">
        <f t="shared" ref="K129" si="131">K108-K125-K126-K127-K128</f>
        <v>58702947.071768731</v>
      </c>
      <c r="L129" s="61">
        <f t="shared" ref="L129" si="132">L108-L125-L126-L127-L128</f>
        <v>61559629.470500186</v>
      </c>
      <c r="M129" s="61">
        <f t="shared" ref="M129" si="133">M108-M125-M126-M127-M128</f>
        <v>61187494.598634794</v>
      </c>
      <c r="N129" s="61">
        <f t="shared" ref="N129" si="134">N108-N125-N126-N127-N128</f>
        <v>61767587.193013206</v>
      </c>
      <c r="O129" s="47">
        <f t="shared" si="123"/>
        <v>737464030.11460114</v>
      </c>
      <c r="P129" s="43"/>
      <c r="Q129" s="43"/>
      <c r="R129" s="40"/>
      <c r="S129" s="40"/>
      <c r="T129" s="40"/>
      <c r="U129" s="40"/>
      <c r="V129" s="40"/>
      <c r="W129" s="40"/>
      <c r="X129" s="40"/>
      <c r="Y129" s="40"/>
    </row>
    <row r="130" spans="1:25" x14ac:dyDescent="0.25">
      <c r="A130" s="85"/>
      <c r="B130" s="40"/>
      <c r="C130" s="40"/>
      <c r="D130" s="40"/>
      <c r="E130" s="40"/>
      <c r="F130" s="40"/>
      <c r="G130" s="40"/>
      <c r="H130" s="40"/>
      <c r="I130" s="40"/>
      <c r="J130" s="40"/>
      <c r="K130" s="40"/>
      <c r="L130" s="353" t="s">
        <v>217</v>
      </c>
      <c r="M130" s="354"/>
      <c r="N130" s="350">
        <f>SUM(C129:N129)+N96</f>
        <v>15748597324.687029</v>
      </c>
      <c r="O130" s="40"/>
    </row>
    <row r="131" spans="1:25" x14ac:dyDescent="0.25">
      <c r="A131" s="85"/>
      <c r="B131" s="40"/>
      <c r="C131" s="40"/>
      <c r="D131" s="40"/>
      <c r="E131" s="40"/>
      <c r="F131" s="40"/>
      <c r="G131" s="40"/>
      <c r="H131" s="40"/>
      <c r="I131" s="40"/>
      <c r="J131" s="40"/>
      <c r="K131" s="40"/>
      <c r="L131" s="320"/>
      <c r="M131" s="355"/>
      <c r="N131" s="351"/>
      <c r="O131" s="40"/>
    </row>
    <row r="132" spans="1:25" x14ac:dyDescent="0.25">
      <c r="A132" s="85"/>
      <c r="B132" s="319" t="s">
        <v>632</v>
      </c>
      <c r="C132" s="352" t="s">
        <v>173</v>
      </c>
      <c r="D132" s="352"/>
      <c r="E132" s="352"/>
      <c r="F132" s="352"/>
      <c r="G132" s="352"/>
      <c r="H132" s="352"/>
      <c r="I132" s="40"/>
      <c r="J132" s="358" t="s">
        <v>231</v>
      </c>
      <c r="K132" s="359">
        <v>0.04</v>
      </c>
      <c r="L132" s="40"/>
      <c r="M132" s="40"/>
      <c r="N132" s="40"/>
      <c r="O132" s="361"/>
    </row>
    <row r="133" spans="1:25" x14ac:dyDescent="0.25">
      <c r="A133" s="85"/>
      <c r="B133" s="319"/>
      <c r="C133" s="352"/>
      <c r="D133" s="352"/>
      <c r="E133" s="352"/>
      <c r="F133" s="352"/>
      <c r="G133" s="352"/>
      <c r="H133" s="352"/>
      <c r="I133" s="40"/>
      <c r="J133" s="358"/>
      <c r="K133" s="360"/>
      <c r="L133" s="40"/>
      <c r="M133" s="40"/>
      <c r="N133" s="40"/>
      <c r="O133" s="362"/>
    </row>
    <row r="134" spans="1:25" x14ac:dyDescent="0.25">
      <c r="A134" s="85"/>
      <c r="B134" s="319"/>
      <c r="C134" s="352"/>
      <c r="D134" s="352"/>
      <c r="E134" s="352"/>
      <c r="F134" s="352"/>
      <c r="G134" s="352"/>
      <c r="H134" s="352"/>
      <c r="I134" s="40"/>
      <c r="J134" s="40"/>
      <c r="K134" s="40"/>
      <c r="L134" s="40"/>
      <c r="M134" s="40"/>
      <c r="N134" s="40"/>
      <c r="O134" s="40"/>
    </row>
    <row r="137" spans="1:25" ht="24.6" x14ac:dyDescent="0.25">
      <c r="A137" s="96"/>
      <c r="B137" s="348" t="s">
        <v>276</v>
      </c>
      <c r="C137" s="348"/>
      <c r="D137" s="348"/>
      <c r="E137" s="348"/>
      <c r="F137" s="348"/>
      <c r="G137" s="348"/>
      <c r="H137" s="348"/>
      <c r="I137" s="348"/>
      <c r="J137" s="348"/>
      <c r="K137" s="348"/>
      <c r="L137" s="348"/>
      <c r="M137" s="348"/>
      <c r="N137" s="348"/>
      <c r="O137" s="348"/>
    </row>
    <row r="138" spans="1:25" ht="24.6" x14ac:dyDescent="0.25">
      <c r="A138" s="96"/>
      <c r="B138" s="349"/>
      <c r="C138" s="349"/>
      <c r="D138" s="349"/>
      <c r="E138" s="349"/>
      <c r="F138" s="349"/>
      <c r="G138" s="349"/>
      <c r="H138" s="349"/>
      <c r="I138" s="349"/>
      <c r="J138" s="349"/>
      <c r="K138" s="349"/>
      <c r="L138" s="349"/>
      <c r="M138" s="349"/>
      <c r="N138" s="349"/>
      <c r="O138" s="349"/>
    </row>
    <row r="139" spans="1:25" x14ac:dyDescent="0.25">
      <c r="A139" s="82"/>
      <c r="B139" s="41"/>
      <c r="C139" s="42" t="s">
        <v>66</v>
      </c>
      <c r="D139" s="42" t="s">
        <v>67</v>
      </c>
      <c r="E139" s="42" t="s">
        <v>68</v>
      </c>
      <c r="F139" s="42" t="s">
        <v>69</v>
      </c>
      <c r="G139" s="42" t="s">
        <v>70</v>
      </c>
      <c r="H139" s="42" t="s">
        <v>71</v>
      </c>
      <c r="I139" s="42" t="s">
        <v>72</v>
      </c>
      <c r="J139" s="42" t="s">
        <v>73</v>
      </c>
      <c r="K139" s="42" t="s">
        <v>74</v>
      </c>
      <c r="L139" s="42" t="s">
        <v>75</v>
      </c>
      <c r="M139" s="42" t="s">
        <v>76</v>
      </c>
      <c r="N139" s="42" t="s">
        <v>77</v>
      </c>
      <c r="O139" s="42" t="s">
        <v>236</v>
      </c>
    </row>
    <row r="140" spans="1:25" x14ac:dyDescent="0.25">
      <c r="A140" s="82"/>
      <c r="B140" s="44" t="s">
        <v>194</v>
      </c>
      <c r="C140" s="45">
        <f>'3.1. My Income Tax Calculation'!$P$36/12</f>
        <v>145769270.76474926</v>
      </c>
      <c r="D140" s="45">
        <f>'3.1. My Income Tax Calculation'!$P$36/12</f>
        <v>145769270.76474926</v>
      </c>
      <c r="E140" s="45">
        <f>'3.1. My Income Tax Calculation'!$P$36/12</f>
        <v>145769270.76474926</v>
      </c>
      <c r="F140" s="45">
        <f>'3.1. My Income Tax Calculation'!$P$36/12</f>
        <v>145769270.76474926</v>
      </c>
      <c r="G140" s="45">
        <f>'3.1. My Income Tax Calculation'!$P$36/12</f>
        <v>145769270.76474926</v>
      </c>
      <c r="H140" s="45">
        <f>'3.1. My Income Tax Calculation'!$P$36/12</f>
        <v>145769270.76474926</v>
      </c>
      <c r="I140" s="45">
        <f>'3.1. My Income Tax Calculation'!$P$36/12</f>
        <v>145769270.76474926</v>
      </c>
      <c r="J140" s="45">
        <f>'3.1. My Income Tax Calculation'!$P$36/12</f>
        <v>145769270.76474926</v>
      </c>
      <c r="K140" s="45">
        <f>'3.1. My Income Tax Calculation'!$P$36/12</f>
        <v>145769270.76474926</v>
      </c>
      <c r="L140" s="45">
        <f>'3.1. My Income Tax Calculation'!$P$36/12</f>
        <v>145769270.76474926</v>
      </c>
      <c r="M140" s="45">
        <f>'3.1. My Income Tax Calculation'!$P$36/12</f>
        <v>145769270.76474926</v>
      </c>
      <c r="N140" s="45">
        <f>'3.1. My Income Tax Calculation'!$P$36/12</f>
        <v>145769270.76474926</v>
      </c>
      <c r="O140" s="45" t="s">
        <v>173</v>
      </c>
    </row>
    <row r="141" spans="1:25" x14ac:dyDescent="0.25">
      <c r="A141" s="82"/>
      <c r="B141" s="44" t="s">
        <v>246</v>
      </c>
      <c r="C141" s="45">
        <f>'3.2. My wife''s Tax Calc'!$P$36/12</f>
        <v>65443748.9330189</v>
      </c>
      <c r="D141" s="45">
        <f>'3.2. My wife''s Tax Calc'!$P$36/12</f>
        <v>65443748.9330189</v>
      </c>
      <c r="E141" s="45">
        <f>'3.2. My wife''s Tax Calc'!$P$36/12</f>
        <v>65443748.9330189</v>
      </c>
      <c r="F141" s="45">
        <f>'3.2. My wife''s Tax Calc'!$P$36/12</f>
        <v>65443748.9330189</v>
      </c>
      <c r="G141" s="45">
        <f>'3.2. My wife''s Tax Calc'!$P$36/12</f>
        <v>65443748.9330189</v>
      </c>
      <c r="H141" s="45">
        <f>'3.2. My wife''s Tax Calc'!$P$36/12</f>
        <v>65443748.9330189</v>
      </c>
      <c r="I141" s="45">
        <f>'3.2. My wife''s Tax Calc'!$P$36/12</f>
        <v>65443748.9330189</v>
      </c>
      <c r="J141" s="45">
        <f>'3.2. My wife''s Tax Calc'!$P$36/12</f>
        <v>65443748.9330189</v>
      </c>
      <c r="K141" s="45">
        <f>'3.2. My wife''s Tax Calc'!$P$36/12</f>
        <v>65443748.9330189</v>
      </c>
      <c r="L141" s="45">
        <f>'3.2. My wife''s Tax Calc'!$P$36/12</f>
        <v>65443748.9330189</v>
      </c>
      <c r="M141" s="45">
        <f>'3.2. My wife''s Tax Calc'!$P$36/12</f>
        <v>65443748.9330189</v>
      </c>
      <c r="N141" s="45">
        <f>'3.2. My wife''s Tax Calc'!$P$36/12</f>
        <v>65443748.9330189</v>
      </c>
      <c r="O141" s="45" t="s">
        <v>173</v>
      </c>
    </row>
    <row r="142" spans="1:25" x14ac:dyDescent="0.25">
      <c r="A142" s="82"/>
      <c r="B142" s="46" t="s">
        <v>209</v>
      </c>
      <c r="C142" s="47">
        <f>SUM(C140:C141)</f>
        <v>211213019.69776815</v>
      </c>
      <c r="D142" s="47">
        <f t="shared" ref="D142:J142" si="135">SUM(D140:D141)</f>
        <v>211213019.69776815</v>
      </c>
      <c r="E142" s="47">
        <f t="shared" si="135"/>
        <v>211213019.69776815</v>
      </c>
      <c r="F142" s="47">
        <f t="shared" si="135"/>
        <v>211213019.69776815</v>
      </c>
      <c r="G142" s="47">
        <f t="shared" si="135"/>
        <v>211213019.69776815</v>
      </c>
      <c r="H142" s="47">
        <f t="shared" si="135"/>
        <v>211213019.69776815</v>
      </c>
      <c r="I142" s="47">
        <f t="shared" si="135"/>
        <v>211213019.69776815</v>
      </c>
      <c r="J142" s="47">
        <f t="shared" si="135"/>
        <v>211213019.69776815</v>
      </c>
      <c r="K142" s="47">
        <f>SUM(K140:K141)</f>
        <v>211213019.69776815</v>
      </c>
      <c r="L142" s="47">
        <f t="shared" ref="L142:N142" si="136">SUM(L140:L141)</f>
        <v>211213019.69776815</v>
      </c>
      <c r="M142" s="47">
        <f t="shared" si="136"/>
        <v>211213019.69776815</v>
      </c>
      <c r="N142" s="47">
        <f t="shared" si="136"/>
        <v>211213019.69776815</v>
      </c>
      <c r="O142" s="47">
        <f>SUM(C142:N142)</f>
        <v>2534556236.3732181</v>
      </c>
    </row>
    <row r="143" spans="1:25" x14ac:dyDescent="0.25">
      <c r="A143" s="82"/>
      <c r="B143" s="52" t="s">
        <v>78</v>
      </c>
      <c r="C143" s="53" t="s">
        <v>173</v>
      </c>
      <c r="D143" s="53" t="s">
        <v>173</v>
      </c>
      <c r="E143" s="53" t="s">
        <v>173</v>
      </c>
      <c r="F143" s="53" t="s">
        <v>173</v>
      </c>
      <c r="G143" s="53" t="s">
        <v>173</v>
      </c>
      <c r="H143" s="53" t="s">
        <v>173</v>
      </c>
      <c r="I143" s="53" t="s">
        <v>173</v>
      </c>
      <c r="J143" s="53" t="s">
        <v>173</v>
      </c>
      <c r="K143" s="53" t="s">
        <v>173</v>
      </c>
      <c r="L143" s="53" t="s">
        <v>173</v>
      </c>
      <c r="M143" s="53" t="s">
        <v>173</v>
      </c>
      <c r="N143" s="53" t="s">
        <v>173</v>
      </c>
      <c r="O143" s="91" t="s">
        <v>173</v>
      </c>
    </row>
    <row r="144" spans="1:25" x14ac:dyDescent="0.25">
      <c r="A144" s="82"/>
      <c r="B144" s="48" t="s">
        <v>79</v>
      </c>
      <c r="C144" s="54" t="s">
        <v>173</v>
      </c>
      <c r="D144" s="54" t="s">
        <v>173</v>
      </c>
      <c r="E144" s="54" t="s">
        <v>173</v>
      </c>
      <c r="F144" s="54" t="s">
        <v>173</v>
      </c>
      <c r="G144" s="54" t="s">
        <v>173</v>
      </c>
      <c r="H144" s="54" t="s">
        <v>173</v>
      </c>
      <c r="I144" s="54" t="s">
        <v>173</v>
      </c>
      <c r="J144" s="54" t="s">
        <v>173</v>
      </c>
      <c r="K144" s="54" t="s">
        <v>173</v>
      </c>
      <c r="L144" s="54" t="s">
        <v>173</v>
      </c>
      <c r="M144" s="54" t="s">
        <v>173</v>
      </c>
      <c r="N144" s="54" t="s">
        <v>173</v>
      </c>
      <c r="O144" s="91" t="s">
        <v>173</v>
      </c>
    </row>
    <row r="145" spans="1:25" x14ac:dyDescent="0.25">
      <c r="A145" s="83"/>
      <c r="B145" s="49" t="s">
        <v>195</v>
      </c>
      <c r="C145" s="50">
        <f>C111*(1+$K$64)</f>
        <v>500849.75695766939</v>
      </c>
      <c r="D145" s="50">
        <v>0</v>
      </c>
      <c r="E145" s="50">
        <v>0</v>
      </c>
      <c r="F145" s="50">
        <v>0</v>
      </c>
      <c r="G145" s="50">
        <v>0</v>
      </c>
      <c r="H145" s="50">
        <v>0</v>
      </c>
      <c r="I145" s="50">
        <v>0</v>
      </c>
      <c r="J145" s="50">
        <v>0</v>
      </c>
      <c r="K145" s="50">
        <v>0</v>
      </c>
      <c r="L145" s="50">
        <v>0</v>
      </c>
      <c r="M145" s="50">
        <v>0</v>
      </c>
      <c r="N145" s="50">
        <v>0</v>
      </c>
      <c r="O145" s="90">
        <f t="shared" ref="O145:O148" si="137">SUM(C145:N145)</f>
        <v>500849.75695766939</v>
      </c>
    </row>
    <row r="146" spans="1:25" x14ac:dyDescent="0.25">
      <c r="A146" s="82"/>
      <c r="B146" s="51" t="s">
        <v>178</v>
      </c>
      <c r="C146" s="50">
        <f>C112*(1+$K$64)</f>
        <v>3794316.3405884062</v>
      </c>
      <c r="D146" s="50">
        <f t="shared" ref="D146:N146" si="138">D112*(1+$K$64)</f>
        <v>3794316.3405884062</v>
      </c>
      <c r="E146" s="50">
        <f t="shared" si="138"/>
        <v>3794316.3405884062</v>
      </c>
      <c r="F146" s="50">
        <f t="shared" si="138"/>
        <v>3794316.3405884062</v>
      </c>
      <c r="G146" s="50">
        <f t="shared" si="138"/>
        <v>3794316.3405884062</v>
      </c>
      <c r="H146" s="50">
        <f t="shared" si="138"/>
        <v>3794316.3405884062</v>
      </c>
      <c r="I146" s="50">
        <f t="shared" si="138"/>
        <v>3794316.3405884062</v>
      </c>
      <c r="J146" s="50">
        <f t="shared" si="138"/>
        <v>3794316.3405884062</v>
      </c>
      <c r="K146" s="50">
        <f t="shared" si="138"/>
        <v>3794316.3405884062</v>
      </c>
      <c r="L146" s="50">
        <f t="shared" si="138"/>
        <v>3794316.3405884062</v>
      </c>
      <c r="M146" s="50">
        <f t="shared" si="138"/>
        <v>3794316.3405884062</v>
      </c>
      <c r="N146" s="50">
        <f t="shared" si="138"/>
        <v>3794316.3405884062</v>
      </c>
      <c r="O146" s="90">
        <f t="shared" si="137"/>
        <v>45531796.087060876</v>
      </c>
    </row>
    <row r="147" spans="1:25" x14ac:dyDescent="0.25">
      <c r="A147" s="84"/>
      <c r="B147" s="51" t="s">
        <v>248</v>
      </c>
      <c r="C147" s="50">
        <f>C113*(1+$K$64)</f>
        <v>455317.96087060863</v>
      </c>
      <c r="D147" s="50">
        <f t="shared" ref="D147:N147" si="139">D113*(1+$K$64)</f>
        <v>455317.96087060863</v>
      </c>
      <c r="E147" s="50">
        <f t="shared" si="139"/>
        <v>455317.96087060863</v>
      </c>
      <c r="F147" s="50">
        <f t="shared" si="139"/>
        <v>455317.96087060863</v>
      </c>
      <c r="G147" s="50">
        <f t="shared" si="139"/>
        <v>455317.96087060863</v>
      </c>
      <c r="H147" s="50">
        <f t="shared" si="139"/>
        <v>455317.96087060863</v>
      </c>
      <c r="I147" s="50">
        <f t="shared" si="139"/>
        <v>455317.96087060863</v>
      </c>
      <c r="J147" s="50">
        <f t="shared" si="139"/>
        <v>455317.96087060863</v>
      </c>
      <c r="K147" s="50">
        <f t="shared" si="139"/>
        <v>455317.96087060863</v>
      </c>
      <c r="L147" s="50">
        <f t="shared" si="139"/>
        <v>455317.96087060863</v>
      </c>
      <c r="M147" s="50">
        <f t="shared" si="139"/>
        <v>455317.96087060863</v>
      </c>
      <c r="N147" s="50">
        <f t="shared" si="139"/>
        <v>455317.96087060863</v>
      </c>
      <c r="O147" s="90">
        <f t="shared" si="137"/>
        <v>5463815.5304473033</v>
      </c>
    </row>
    <row r="148" spans="1:25" x14ac:dyDescent="0.25">
      <c r="A148" s="82"/>
      <c r="B148" s="46" t="s">
        <v>207</v>
      </c>
      <c r="C148" s="47">
        <f t="shared" ref="C148" si="140">SUM(C145:C147)</f>
        <v>4750484.0584166842</v>
      </c>
      <c r="D148" s="47">
        <f t="shared" ref="D148" si="141">SUM(D145:D147)</f>
        <v>4249634.3014590144</v>
      </c>
      <c r="E148" s="47">
        <f t="shared" ref="E148" si="142">SUM(E145:E147)</f>
        <v>4249634.3014590144</v>
      </c>
      <c r="F148" s="47">
        <f t="shared" ref="F148" si="143">SUM(F145:F147)</f>
        <v>4249634.3014590144</v>
      </c>
      <c r="G148" s="47">
        <f t="shared" ref="G148" si="144">SUM(G145:G147)</f>
        <v>4249634.3014590144</v>
      </c>
      <c r="H148" s="47">
        <f t="shared" ref="H148" si="145">SUM(H145:H147)</f>
        <v>4249634.3014590144</v>
      </c>
      <c r="I148" s="47">
        <f t="shared" ref="I148" si="146">SUM(I145:I147)</f>
        <v>4249634.3014590144</v>
      </c>
      <c r="J148" s="47">
        <f t="shared" ref="J148" si="147">SUM(J145:J147)</f>
        <v>4249634.3014590144</v>
      </c>
      <c r="K148" s="47">
        <f t="shared" ref="K148" si="148">SUM(K145:K147)</f>
        <v>4249634.3014590144</v>
      </c>
      <c r="L148" s="47">
        <f t="shared" ref="L148" si="149">SUM(L145:L147)</f>
        <v>4249634.3014590144</v>
      </c>
      <c r="M148" s="47">
        <f t="shared" ref="M148" si="150">SUM(M145:M147)</f>
        <v>4249634.3014590144</v>
      </c>
      <c r="N148" s="47">
        <f t="shared" ref="N148" si="151">SUM(N145:N147)</f>
        <v>4249634.3014590144</v>
      </c>
      <c r="O148" s="47">
        <f t="shared" si="137"/>
        <v>51496461.374465838</v>
      </c>
    </row>
    <row r="149" spans="1:25" x14ac:dyDescent="0.25">
      <c r="A149" s="82"/>
      <c r="B149" s="55" t="s">
        <v>83</v>
      </c>
      <c r="C149" s="59" t="s">
        <v>173</v>
      </c>
      <c r="D149" s="59" t="s">
        <v>173</v>
      </c>
      <c r="E149" s="59" t="s">
        <v>173</v>
      </c>
      <c r="F149" s="59" t="s">
        <v>173</v>
      </c>
      <c r="G149" s="59" t="s">
        <v>173</v>
      </c>
      <c r="H149" s="59" t="s">
        <v>173</v>
      </c>
      <c r="I149" s="59" t="s">
        <v>173</v>
      </c>
      <c r="J149" s="59" t="s">
        <v>173</v>
      </c>
      <c r="K149" s="59" t="s">
        <v>173</v>
      </c>
      <c r="L149" s="59" t="s">
        <v>173</v>
      </c>
      <c r="M149" s="59" t="s">
        <v>173</v>
      </c>
      <c r="N149" s="59" t="s">
        <v>173</v>
      </c>
      <c r="O149" s="91" t="s">
        <v>173</v>
      </c>
    </row>
    <row r="150" spans="1:25" x14ac:dyDescent="0.25">
      <c r="A150" s="82"/>
      <c r="B150" s="57" t="s">
        <v>210</v>
      </c>
      <c r="C150" s="89">
        <f t="shared" ref="C150:N150" si="152">C116*(1+$K$64)</f>
        <v>3767756.1262042876</v>
      </c>
      <c r="D150" s="89">
        <f t="shared" si="152"/>
        <v>4541796.6596843228</v>
      </c>
      <c r="E150" s="89">
        <f t="shared" si="152"/>
        <v>4188925.240009597</v>
      </c>
      <c r="F150" s="89">
        <f t="shared" si="152"/>
        <v>3915734.4634872344</v>
      </c>
      <c r="G150" s="89">
        <f t="shared" si="152"/>
        <v>3597011.8908778084</v>
      </c>
      <c r="H150" s="89">
        <f t="shared" si="152"/>
        <v>4507647.8126190249</v>
      </c>
      <c r="I150" s="89">
        <f t="shared" si="152"/>
        <v>5258922.448055529</v>
      </c>
      <c r="J150" s="89">
        <f t="shared" si="152"/>
        <v>5042646.4166419907</v>
      </c>
      <c r="K150" s="89">
        <f t="shared" si="152"/>
        <v>3892968.565443703</v>
      </c>
      <c r="L150" s="89">
        <f t="shared" si="152"/>
        <v>3995415.1066395915</v>
      </c>
      <c r="M150" s="89">
        <f t="shared" si="152"/>
        <v>3801904.9732695813</v>
      </c>
      <c r="N150" s="89">
        <f t="shared" si="152"/>
        <v>4109244.5968572418</v>
      </c>
      <c r="O150" s="92">
        <f t="shared" ref="O150:O159" si="153">SUM(C150:N150)</f>
        <v>50619974.299789913</v>
      </c>
    </row>
    <row r="151" spans="1:25" x14ac:dyDescent="0.25">
      <c r="A151" s="82"/>
      <c r="B151" s="57" t="s">
        <v>203</v>
      </c>
      <c r="C151" s="89">
        <f t="shared" ref="C151:N151" si="154">C117*(1+$K$64)</f>
        <v>13602624.081009429</v>
      </c>
      <c r="D151" s="89">
        <f t="shared" si="154"/>
        <v>14649855.391011838</v>
      </c>
      <c r="E151" s="89">
        <f t="shared" si="154"/>
        <v>16425595.438407209</v>
      </c>
      <c r="F151" s="89">
        <f t="shared" si="154"/>
        <v>12452946.229811154</v>
      </c>
      <c r="G151" s="89">
        <f t="shared" si="154"/>
        <v>16573573.775690159</v>
      </c>
      <c r="H151" s="89">
        <f t="shared" si="154"/>
        <v>15617406.057861876</v>
      </c>
      <c r="I151" s="89">
        <f t="shared" si="154"/>
        <v>14331132.818402413</v>
      </c>
      <c r="J151" s="89">
        <f t="shared" si="154"/>
        <v>17040274.68558253</v>
      </c>
      <c r="K151" s="89">
        <f t="shared" si="154"/>
        <v>16653254.418842504</v>
      </c>
      <c r="L151" s="89">
        <f t="shared" si="154"/>
        <v>16653254.418842504</v>
      </c>
      <c r="M151" s="89">
        <f t="shared" si="154"/>
        <v>12942413.037747055</v>
      </c>
      <c r="N151" s="89">
        <f t="shared" si="154"/>
        <v>15958894.528514838</v>
      </c>
      <c r="O151" s="92">
        <f t="shared" si="153"/>
        <v>182901224.88172349</v>
      </c>
    </row>
    <row r="152" spans="1:25" x14ac:dyDescent="0.25">
      <c r="A152" s="82"/>
      <c r="B152" s="58" t="s">
        <v>84</v>
      </c>
      <c r="C152" s="89">
        <f t="shared" ref="C152:N152" si="155">C118*(1+$K$64)</f>
        <v>12031777.11600583</v>
      </c>
      <c r="D152" s="89">
        <f t="shared" si="155"/>
        <v>13135923.171117054</v>
      </c>
      <c r="E152" s="89">
        <f t="shared" si="155"/>
        <v>13181454.967204118</v>
      </c>
      <c r="F152" s="89">
        <f t="shared" si="155"/>
        <v>13614007.030031199</v>
      </c>
      <c r="G152" s="89">
        <f t="shared" si="155"/>
        <v>16106872.86579778</v>
      </c>
      <c r="H152" s="89">
        <f t="shared" si="155"/>
        <v>13932729.602640621</v>
      </c>
      <c r="I152" s="89">
        <f t="shared" si="155"/>
        <v>14467728.206663594</v>
      </c>
      <c r="J152" s="89">
        <f t="shared" si="155"/>
        <v>16653254.418842504</v>
      </c>
      <c r="K152" s="89">
        <f t="shared" si="155"/>
        <v>15241768.740143629</v>
      </c>
      <c r="L152" s="89">
        <f t="shared" si="155"/>
        <v>15219002.842100097</v>
      </c>
      <c r="M152" s="89">
        <f t="shared" si="155"/>
        <v>16289000.050146017</v>
      </c>
      <c r="N152" s="89">
        <f t="shared" si="155"/>
        <v>13079008.426008234</v>
      </c>
      <c r="O152" s="92">
        <f t="shared" si="153"/>
        <v>172952527.43670064</v>
      </c>
    </row>
    <row r="153" spans="1:25" x14ac:dyDescent="0.25">
      <c r="A153" s="82"/>
      <c r="B153" s="58" t="s">
        <v>81</v>
      </c>
      <c r="C153" s="89">
        <f t="shared" ref="C153:N153" si="156">C119*(1+$K$64)</f>
        <v>1138294.9021765222</v>
      </c>
      <c r="D153" s="89">
        <f t="shared" si="156"/>
        <v>1138294.9021765222</v>
      </c>
      <c r="E153" s="89">
        <f t="shared" si="156"/>
        <v>1138294.9021765222</v>
      </c>
      <c r="F153" s="89">
        <f t="shared" si="156"/>
        <v>1138294.9021765222</v>
      </c>
      <c r="G153" s="89">
        <f t="shared" si="156"/>
        <v>1138294.9021765222</v>
      </c>
      <c r="H153" s="89">
        <f t="shared" si="156"/>
        <v>1138294.9021765222</v>
      </c>
      <c r="I153" s="89">
        <f t="shared" si="156"/>
        <v>1138294.9021765222</v>
      </c>
      <c r="J153" s="89">
        <f t="shared" si="156"/>
        <v>1138294.9021765222</v>
      </c>
      <c r="K153" s="89">
        <f t="shared" si="156"/>
        <v>1138294.9021765222</v>
      </c>
      <c r="L153" s="89">
        <f t="shared" si="156"/>
        <v>1138294.9021765222</v>
      </c>
      <c r="M153" s="89">
        <f t="shared" si="156"/>
        <v>1138294.9021765222</v>
      </c>
      <c r="N153" s="89">
        <f t="shared" si="156"/>
        <v>1138294.9021765222</v>
      </c>
      <c r="O153" s="92">
        <f t="shared" si="153"/>
        <v>13659538.826118262</v>
      </c>
    </row>
    <row r="154" spans="1:25" x14ac:dyDescent="0.25">
      <c r="A154" s="82"/>
      <c r="B154" s="57" t="s">
        <v>85</v>
      </c>
      <c r="C154" s="89">
        <f t="shared" ref="C154:N154" si="157">C120*(1+$K$64)</f>
        <v>13978261.398727687</v>
      </c>
      <c r="D154" s="89">
        <f t="shared" si="157"/>
        <v>11963479.421875251</v>
      </c>
      <c r="E154" s="89">
        <f t="shared" si="157"/>
        <v>12384648.535680553</v>
      </c>
      <c r="F154" s="89">
        <f t="shared" si="157"/>
        <v>12578158.669050561</v>
      </c>
      <c r="G154" s="89">
        <f t="shared" si="157"/>
        <v>16915062.246343106</v>
      </c>
      <c r="H154" s="89">
        <f t="shared" si="157"/>
        <v>12418797.382745856</v>
      </c>
      <c r="I154" s="89">
        <f t="shared" si="157"/>
        <v>14410813.461554764</v>
      </c>
      <c r="J154" s="89">
        <f t="shared" si="157"/>
        <v>11405714.919808749</v>
      </c>
      <c r="K154" s="89">
        <f t="shared" si="157"/>
        <v>14831982.575360078</v>
      </c>
      <c r="L154" s="89">
        <f t="shared" si="157"/>
        <v>11781352.237527</v>
      </c>
      <c r="M154" s="89">
        <f t="shared" si="157"/>
        <v>15002726.810686555</v>
      </c>
      <c r="N154" s="89">
        <f t="shared" si="157"/>
        <v>14285601.022315344</v>
      </c>
      <c r="O154" s="92">
        <f t="shared" si="153"/>
        <v>161956598.68167552</v>
      </c>
    </row>
    <row r="155" spans="1:25" x14ac:dyDescent="0.25">
      <c r="A155" s="84"/>
      <c r="B155" s="58" t="s">
        <v>249</v>
      </c>
      <c r="C155" s="89">
        <f t="shared" ref="C155:N155" si="158">C142*5%</f>
        <v>10560650.984888408</v>
      </c>
      <c r="D155" s="89">
        <f t="shared" si="158"/>
        <v>10560650.984888408</v>
      </c>
      <c r="E155" s="89">
        <f t="shared" si="158"/>
        <v>10560650.984888408</v>
      </c>
      <c r="F155" s="89">
        <f t="shared" si="158"/>
        <v>10560650.984888408</v>
      </c>
      <c r="G155" s="89">
        <f t="shared" si="158"/>
        <v>10560650.984888408</v>
      </c>
      <c r="H155" s="89">
        <f t="shared" si="158"/>
        <v>10560650.984888408</v>
      </c>
      <c r="I155" s="89">
        <f t="shared" si="158"/>
        <v>10560650.984888408</v>
      </c>
      <c r="J155" s="89">
        <f t="shared" si="158"/>
        <v>10560650.984888408</v>
      </c>
      <c r="K155" s="89">
        <f t="shared" si="158"/>
        <v>10560650.984888408</v>
      </c>
      <c r="L155" s="89">
        <f t="shared" si="158"/>
        <v>10560650.984888408</v>
      </c>
      <c r="M155" s="89">
        <f t="shared" si="158"/>
        <v>10560650.984888408</v>
      </c>
      <c r="N155" s="89">
        <f t="shared" si="158"/>
        <v>10560650.984888408</v>
      </c>
      <c r="O155" s="92">
        <f t="shared" si="153"/>
        <v>126727811.81866087</v>
      </c>
    </row>
    <row r="156" spans="1:25" x14ac:dyDescent="0.25">
      <c r="A156" s="84"/>
      <c r="B156" s="58" t="s">
        <v>180</v>
      </c>
      <c r="C156" s="89">
        <f>C122*(1+$K$166)</f>
        <v>10696538.600269739</v>
      </c>
      <c r="D156" s="89">
        <f t="shared" ref="D156:N156" si="159">D122*(1+$K$166)</f>
        <v>10696538.600269739</v>
      </c>
      <c r="E156" s="89">
        <f t="shared" si="159"/>
        <v>10696538.600269739</v>
      </c>
      <c r="F156" s="89">
        <f t="shared" si="159"/>
        <v>10696538.600269739</v>
      </c>
      <c r="G156" s="89">
        <f t="shared" si="159"/>
        <v>10696538.600269739</v>
      </c>
      <c r="H156" s="89">
        <f t="shared" si="159"/>
        <v>10696538.600269739</v>
      </c>
      <c r="I156" s="89">
        <f t="shared" si="159"/>
        <v>10696538.600269739</v>
      </c>
      <c r="J156" s="89">
        <f t="shared" si="159"/>
        <v>10696538.600269739</v>
      </c>
      <c r="K156" s="89">
        <f t="shared" si="159"/>
        <v>10696538.600269739</v>
      </c>
      <c r="L156" s="89">
        <f t="shared" si="159"/>
        <v>10696538.600269739</v>
      </c>
      <c r="M156" s="89">
        <f t="shared" si="159"/>
        <v>10696538.600269739</v>
      </c>
      <c r="N156" s="89">
        <f t="shared" si="159"/>
        <v>10696538.600269739</v>
      </c>
      <c r="O156" s="92">
        <f t="shared" si="153"/>
        <v>128358463.20323683</v>
      </c>
    </row>
    <row r="157" spans="1:25" x14ac:dyDescent="0.25">
      <c r="A157" s="84"/>
      <c r="B157" s="58" t="s">
        <v>86</v>
      </c>
      <c r="C157" s="89">
        <f>'7.5. Stage 5&amp;6 budget'!C127*(1+'7.5. Stage 5&amp;6 budget'!$K$68)</f>
        <v>10333293.504446257</v>
      </c>
      <c r="D157" s="89">
        <f>'7.5. Stage 5&amp;6 budget'!D127*(1+'7.5. Stage 5&amp;6 budget'!$K$68)</f>
        <v>10333293.504446257</v>
      </c>
      <c r="E157" s="89">
        <f>'7.5. Stage 5&amp;6 budget'!E127*(1+'7.5. Stage 5&amp;6 budget'!$K$68)</f>
        <v>10333293.504446257</v>
      </c>
      <c r="F157" s="89">
        <f>'7.5. Stage 5&amp;6 budget'!F127*(1+'7.5. Stage 5&amp;6 budget'!$K$68)</f>
        <v>10333293.504446257</v>
      </c>
      <c r="G157" s="89">
        <f>'7.5. Stage 5&amp;6 budget'!G127*(1+'7.5. Stage 5&amp;6 budget'!$K$68)</f>
        <v>10333293.504446257</v>
      </c>
      <c r="H157" s="89">
        <f>'7.5. Stage 5&amp;6 budget'!H127*(1+'7.5. Stage 5&amp;6 budget'!$K$68)</f>
        <v>10333293.504446257</v>
      </c>
      <c r="I157" s="89">
        <f>'7.5. Stage 5&amp;6 budget'!I127*(1+'7.5. Stage 5&amp;6 budget'!$K$68)</f>
        <v>10333293.504446257</v>
      </c>
      <c r="J157" s="89">
        <f>'7.5. Stage 5&amp;6 budget'!J127*(1+'7.5. Stage 5&amp;6 budget'!$K$68)</f>
        <v>10333293.504446257</v>
      </c>
      <c r="K157" s="89">
        <f>'7.5. Stage 5&amp;6 budget'!K127*(1+'7.5. Stage 5&amp;6 budget'!$K$68)</f>
        <v>10333293.504446257</v>
      </c>
      <c r="L157" s="89">
        <f>'7.5. Stage 5&amp;6 budget'!L127*(1+'7.5. Stage 5&amp;6 budget'!$K$68)</f>
        <v>10333293.504446257</v>
      </c>
      <c r="M157" s="89">
        <f>'7.5. Stage 5&amp;6 budget'!M127*(1+'7.5. Stage 5&amp;6 budget'!$K$68)</f>
        <v>10333293.504446257</v>
      </c>
      <c r="N157" s="89">
        <f>'7.5. Stage 5&amp;6 budget'!N127*(1+'7.5. Stage 5&amp;6 budget'!$K$68)</f>
        <v>10333293.504446257</v>
      </c>
      <c r="O157" s="92">
        <f t="shared" si="153"/>
        <v>123999522.05335505</v>
      </c>
    </row>
    <row r="158" spans="1:25" x14ac:dyDescent="0.25">
      <c r="A158" s="82"/>
      <c r="B158" s="46" t="s">
        <v>208</v>
      </c>
      <c r="C158" s="47">
        <f t="shared" ref="C158:N158" si="160">SUM(C150:C157)</f>
        <v>76109196.713728145</v>
      </c>
      <c r="D158" s="47">
        <f t="shared" si="160"/>
        <v>77019832.635469392</v>
      </c>
      <c r="E158" s="47">
        <f t="shared" si="160"/>
        <v>78909402.173082396</v>
      </c>
      <c r="F158" s="47">
        <f t="shared" si="160"/>
        <v>75289624.38416107</v>
      </c>
      <c r="G158" s="47">
        <f t="shared" si="160"/>
        <v>85921298.770489767</v>
      </c>
      <c r="H158" s="47">
        <f t="shared" si="160"/>
        <v>79205358.847648293</v>
      </c>
      <c r="I158" s="47">
        <f t="shared" si="160"/>
        <v>81197374.926457226</v>
      </c>
      <c r="J158" s="47">
        <f t="shared" si="160"/>
        <v>82870668.43265669</v>
      </c>
      <c r="K158" s="47">
        <f t="shared" si="160"/>
        <v>83348752.291570827</v>
      </c>
      <c r="L158" s="47">
        <f t="shared" si="160"/>
        <v>80377802.596890107</v>
      </c>
      <c r="M158" s="47">
        <f t="shared" si="160"/>
        <v>80764822.863630131</v>
      </c>
      <c r="N158" s="47">
        <f t="shared" si="160"/>
        <v>80161526.565476581</v>
      </c>
      <c r="O158" s="47">
        <f t="shared" si="153"/>
        <v>961175661.20126045</v>
      </c>
    </row>
    <row r="159" spans="1:25" x14ac:dyDescent="0.25">
      <c r="A159" s="82"/>
      <c r="B159" s="60" t="s">
        <v>87</v>
      </c>
      <c r="C159" s="47">
        <f t="shared" ref="C159:N159" si="161">C148+C158</f>
        <v>80859680.772144824</v>
      </c>
      <c r="D159" s="47">
        <f t="shared" si="161"/>
        <v>81269466.936928406</v>
      </c>
      <c r="E159" s="47">
        <f t="shared" si="161"/>
        <v>83159036.474541411</v>
      </c>
      <c r="F159" s="47">
        <f t="shared" si="161"/>
        <v>79539258.685620084</v>
      </c>
      <c r="G159" s="47">
        <f t="shared" si="161"/>
        <v>90170933.071948782</v>
      </c>
      <c r="H159" s="47">
        <f t="shared" si="161"/>
        <v>83454993.149107307</v>
      </c>
      <c r="I159" s="47">
        <f t="shared" si="161"/>
        <v>85447009.227916241</v>
      </c>
      <c r="J159" s="47">
        <f t="shared" si="161"/>
        <v>87120302.734115705</v>
      </c>
      <c r="K159" s="47">
        <f t="shared" si="161"/>
        <v>87598386.593029842</v>
      </c>
      <c r="L159" s="47">
        <f t="shared" si="161"/>
        <v>84627436.898349121</v>
      </c>
      <c r="M159" s="47">
        <f t="shared" si="161"/>
        <v>85014457.165089145</v>
      </c>
      <c r="N159" s="47">
        <f t="shared" si="161"/>
        <v>84411160.866935596</v>
      </c>
      <c r="O159" s="47">
        <f t="shared" si="153"/>
        <v>1012672122.5757265</v>
      </c>
    </row>
    <row r="160" spans="1:25" s="11" customFormat="1" x14ac:dyDescent="0.25">
      <c r="A160" s="82"/>
      <c r="B160" s="108" t="s">
        <v>204</v>
      </c>
      <c r="C160" s="109">
        <f>$O159*(3/12)/12</f>
        <v>21097335.886994302</v>
      </c>
      <c r="D160" s="109">
        <f t="shared" ref="D160" si="162">$O159*(3/12)/12</f>
        <v>21097335.886994302</v>
      </c>
      <c r="E160" s="109">
        <f t="shared" ref="E160" si="163">$O159*(3/12)/12</f>
        <v>21097335.886994302</v>
      </c>
      <c r="F160" s="109">
        <f t="shared" ref="F160" si="164">$O159*(3/12)/12</f>
        <v>21097335.886994302</v>
      </c>
      <c r="G160" s="109">
        <f t="shared" ref="G160" si="165">$O159*(3/12)/12</f>
        <v>21097335.886994302</v>
      </c>
      <c r="H160" s="109">
        <f t="shared" ref="H160" si="166">$O159*(3/12)/12</f>
        <v>21097335.886994302</v>
      </c>
      <c r="I160" s="109">
        <f t="shared" ref="I160" si="167">$O159*(3/12)/12</f>
        <v>21097335.886994302</v>
      </c>
      <c r="J160" s="109">
        <f t="shared" ref="J160" si="168">$O159*(3/12)/12</f>
        <v>21097335.886994302</v>
      </c>
      <c r="K160" s="109">
        <f t="shared" ref="K160" si="169">$O159*(3/12)/12</f>
        <v>21097335.886994302</v>
      </c>
      <c r="L160" s="109">
        <f t="shared" ref="L160" si="170">$O159*(3/12)/12</f>
        <v>21097335.886994302</v>
      </c>
      <c r="M160" s="109">
        <f t="shared" ref="M160" si="171">$O159*(3/12)/12</f>
        <v>21097335.886994302</v>
      </c>
      <c r="N160" s="109">
        <f>$O159*(3/12)/12</f>
        <v>21097335.886994302</v>
      </c>
      <c r="O160" s="109">
        <f t="shared" ref="O160:O163" si="172">SUM(C160:N160)</f>
        <v>253168030.64393163</v>
      </c>
      <c r="P160" s="43"/>
      <c r="Q160" s="43"/>
      <c r="R160" s="40"/>
      <c r="S160" s="40"/>
      <c r="T160" s="40"/>
      <c r="U160" s="40"/>
      <c r="V160" s="40"/>
      <c r="W160" s="40"/>
      <c r="X160" s="40"/>
      <c r="Y160" s="40"/>
    </row>
    <row r="161" spans="1:25" s="11" customFormat="1" x14ac:dyDescent="0.25">
      <c r="A161" s="82"/>
      <c r="B161" s="108" t="s">
        <v>82</v>
      </c>
      <c r="C161" s="109">
        <f>'6. Mortgage payment'!$C$7</f>
        <v>28168245.060798287</v>
      </c>
      <c r="D161" s="109">
        <f>'6. Mortgage payment'!$C$7</f>
        <v>28168245.060798287</v>
      </c>
      <c r="E161" s="109">
        <f>'6. Mortgage payment'!$C$7</f>
        <v>28168245.060798287</v>
      </c>
      <c r="F161" s="109">
        <f>'6. Mortgage payment'!$C$7</f>
        <v>28168245.060798287</v>
      </c>
      <c r="G161" s="109">
        <f>'6. Mortgage payment'!$C$7</f>
        <v>28168245.060798287</v>
      </c>
      <c r="H161" s="109">
        <f>'6. Mortgage payment'!$C$7</f>
        <v>28168245.060798287</v>
      </c>
      <c r="I161" s="109">
        <f>'6. Mortgage payment'!$C$7</f>
        <v>28168245.060798287</v>
      </c>
      <c r="J161" s="109">
        <f>'6. Mortgage payment'!$C$7</f>
        <v>28168245.060798287</v>
      </c>
      <c r="K161" s="109">
        <f>'6. Mortgage payment'!$C$7</f>
        <v>28168245.060798287</v>
      </c>
      <c r="L161" s="109">
        <f>'6. Mortgage payment'!$C$7</f>
        <v>28168245.060798287</v>
      </c>
      <c r="M161" s="109">
        <f>'6. Mortgage payment'!$C$7</f>
        <v>28168245.060798287</v>
      </c>
      <c r="N161" s="109">
        <f>'6. Mortgage payment'!$C$7</f>
        <v>28168245.060798287</v>
      </c>
      <c r="O161" s="109">
        <f t="shared" si="172"/>
        <v>338018940.72957945</v>
      </c>
      <c r="P161" s="43"/>
      <c r="Q161" s="43"/>
      <c r="R161" s="40"/>
      <c r="S161" s="40"/>
      <c r="T161" s="40"/>
      <c r="U161" s="40"/>
      <c r="V161" s="40"/>
      <c r="W161" s="40"/>
      <c r="X161" s="40"/>
      <c r="Y161" s="40"/>
    </row>
    <row r="162" spans="1:25" s="11" customFormat="1" x14ac:dyDescent="0.25">
      <c r="A162" s="82"/>
      <c r="B162" s="108" t="s">
        <v>386</v>
      </c>
      <c r="C162" s="109">
        <f>C128*(1+$K$64)</f>
        <v>4158704.6771203782</v>
      </c>
      <c r="D162" s="109">
        <v>0</v>
      </c>
      <c r="E162" s="109">
        <v>0</v>
      </c>
      <c r="F162" s="109">
        <v>0</v>
      </c>
      <c r="G162" s="109">
        <v>0</v>
      </c>
      <c r="H162" s="109">
        <v>0</v>
      </c>
      <c r="I162" s="109">
        <v>0</v>
      </c>
      <c r="J162" s="109">
        <v>0</v>
      </c>
      <c r="K162" s="109">
        <v>0</v>
      </c>
      <c r="L162" s="109">
        <v>0</v>
      </c>
      <c r="M162" s="109">
        <v>0</v>
      </c>
      <c r="N162" s="109">
        <v>0</v>
      </c>
      <c r="O162" s="109">
        <f t="shared" si="172"/>
        <v>4158704.6771203782</v>
      </c>
      <c r="P162" s="43"/>
      <c r="Q162" s="43"/>
      <c r="R162" s="40"/>
      <c r="S162" s="40"/>
      <c r="T162" s="40"/>
      <c r="U162" s="40"/>
      <c r="V162" s="40"/>
      <c r="W162" s="40"/>
      <c r="X162" s="40"/>
      <c r="Y162" s="40"/>
    </row>
    <row r="163" spans="1:25" s="11" customFormat="1" x14ac:dyDescent="0.25">
      <c r="A163" s="82"/>
      <c r="B163" s="60" t="s">
        <v>206</v>
      </c>
      <c r="C163" s="61">
        <f>C142-C159-C160-C161-C162</f>
        <v>76929053.300710365</v>
      </c>
      <c r="D163" s="61">
        <f t="shared" ref="D163" si="173">D142-D159-D160-D161-D162</f>
        <v>80677971.813047156</v>
      </c>
      <c r="E163" s="61">
        <f t="shared" ref="E163" si="174">E142-E159-E160-E161-E162</f>
        <v>78788402.275434151</v>
      </c>
      <c r="F163" s="61">
        <f t="shared" ref="F163" si="175">F142-F159-F160-F161-F162</f>
        <v>82408180.064355478</v>
      </c>
      <c r="G163" s="61">
        <f t="shared" ref="G163" si="176">G142-G159-G160-G161-G162</f>
        <v>71776505.67802678</v>
      </c>
      <c r="H163" s="61">
        <f t="shared" ref="H163" si="177">H142-H159-H160-H161-H162</f>
        <v>78492445.600868255</v>
      </c>
      <c r="I163" s="61">
        <f t="shared" ref="I163" si="178">I142-I159-I160-I161-I162</f>
        <v>76500429.522059321</v>
      </c>
      <c r="J163" s="61">
        <f t="shared" ref="J163" si="179">J142-J159-J160-J161-J162</f>
        <v>74827136.015859857</v>
      </c>
      <c r="K163" s="61">
        <f t="shared" ref="K163" si="180">K142-K159-K160-K161-K162</f>
        <v>74349052.15694572</v>
      </c>
      <c r="L163" s="61">
        <f t="shared" ref="L163" si="181">L142-L159-L160-L161-L162</f>
        <v>77320001.851626441</v>
      </c>
      <c r="M163" s="61">
        <f t="shared" ref="M163" si="182">M142-M159-M160-M161-M162</f>
        <v>76932981.584886417</v>
      </c>
      <c r="N163" s="61">
        <f t="shared" ref="N163" si="183">N142-N159-N160-N161-N162</f>
        <v>77536277.883039966</v>
      </c>
      <c r="O163" s="47">
        <f t="shared" si="172"/>
        <v>926538437.74685991</v>
      </c>
      <c r="P163" s="43"/>
      <c r="Q163" s="43"/>
      <c r="R163" s="40"/>
      <c r="S163" s="40"/>
      <c r="T163" s="40"/>
      <c r="U163" s="40"/>
      <c r="V163" s="40"/>
      <c r="W163" s="40"/>
      <c r="X163" s="40"/>
      <c r="Y163" s="40"/>
    </row>
    <row r="164" spans="1:25" x14ac:dyDescent="0.25">
      <c r="A164" s="85"/>
      <c r="B164" s="40"/>
      <c r="C164" s="40"/>
      <c r="D164" s="40"/>
      <c r="E164" s="40"/>
      <c r="F164" s="40"/>
      <c r="G164" s="40"/>
      <c r="H164" s="40"/>
      <c r="I164" s="40"/>
      <c r="J164" s="40"/>
      <c r="K164" s="40"/>
      <c r="L164" s="353" t="s">
        <v>217</v>
      </c>
      <c r="M164" s="354"/>
      <c r="N164" s="350">
        <f>SUM(C163:N163)+N130</f>
        <v>16675135762.433889</v>
      </c>
      <c r="O164" s="40"/>
    </row>
    <row r="165" spans="1:25" x14ac:dyDescent="0.25">
      <c r="A165" s="85"/>
      <c r="B165" s="40"/>
      <c r="C165" s="40"/>
      <c r="D165" s="40"/>
      <c r="E165" s="40"/>
      <c r="F165" s="40"/>
      <c r="G165" s="40"/>
      <c r="H165" s="40"/>
      <c r="I165" s="40"/>
      <c r="J165" s="40"/>
      <c r="K165" s="40"/>
      <c r="L165" s="320"/>
      <c r="M165" s="355"/>
      <c r="N165" s="351"/>
      <c r="O165" s="40"/>
    </row>
    <row r="166" spans="1:25" x14ac:dyDescent="0.25">
      <c r="A166" s="85"/>
      <c r="B166" s="319" t="s">
        <v>632</v>
      </c>
      <c r="C166" s="352" t="s">
        <v>173</v>
      </c>
      <c r="D166" s="352"/>
      <c r="E166" s="352"/>
      <c r="F166" s="352"/>
      <c r="G166" s="352"/>
      <c r="H166" s="352"/>
      <c r="I166" s="40"/>
      <c r="J166" s="358" t="s">
        <v>231</v>
      </c>
      <c r="K166" s="359">
        <v>0.04</v>
      </c>
      <c r="L166" s="40"/>
      <c r="M166" s="40"/>
      <c r="N166" s="40"/>
      <c r="O166" s="361"/>
    </row>
    <row r="167" spans="1:25" x14ac:dyDescent="0.25">
      <c r="A167" s="85"/>
      <c r="B167" s="319"/>
      <c r="C167" s="352"/>
      <c r="D167" s="352"/>
      <c r="E167" s="352"/>
      <c r="F167" s="352"/>
      <c r="G167" s="352"/>
      <c r="H167" s="352"/>
      <c r="I167" s="40"/>
      <c r="J167" s="358"/>
      <c r="K167" s="360"/>
      <c r="L167" s="40"/>
      <c r="M167" s="40"/>
      <c r="N167" s="40"/>
      <c r="O167" s="362"/>
    </row>
    <row r="168" spans="1:25" x14ac:dyDescent="0.25">
      <c r="A168" s="85"/>
      <c r="B168" s="319"/>
      <c r="C168" s="352"/>
      <c r="D168" s="352"/>
      <c r="E168" s="352"/>
      <c r="F168" s="352"/>
      <c r="G168" s="352"/>
      <c r="H168" s="352"/>
      <c r="I168" s="40"/>
      <c r="J168" s="40"/>
      <c r="K168" s="40"/>
      <c r="L168" s="40"/>
      <c r="M168" s="40"/>
      <c r="N168" s="40"/>
      <c r="O168" s="40"/>
    </row>
    <row r="171" spans="1:25" ht="24.6" x14ac:dyDescent="0.25">
      <c r="A171" s="96"/>
      <c r="B171" s="348" t="s">
        <v>277</v>
      </c>
      <c r="C171" s="348"/>
      <c r="D171" s="348"/>
      <c r="E171" s="348"/>
      <c r="F171" s="348"/>
      <c r="G171" s="348"/>
      <c r="H171" s="348"/>
      <c r="I171" s="348"/>
      <c r="J171" s="348"/>
      <c r="K171" s="348"/>
      <c r="L171" s="348"/>
      <c r="M171" s="348"/>
      <c r="N171" s="348"/>
      <c r="O171" s="348"/>
    </row>
    <row r="172" spans="1:25" ht="24.6" x14ac:dyDescent="0.25">
      <c r="A172" s="96"/>
      <c r="B172" s="349"/>
      <c r="C172" s="349"/>
      <c r="D172" s="349"/>
      <c r="E172" s="349"/>
      <c r="F172" s="349"/>
      <c r="G172" s="349"/>
      <c r="H172" s="349"/>
      <c r="I172" s="349"/>
      <c r="J172" s="349"/>
      <c r="K172" s="349"/>
      <c r="L172" s="349"/>
      <c r="M172" s="349"/>
      <c r="N172" s="349"/>
      <c r="O172" s="349"/>
    </row>
    <row r="173" spans="1:25" x14ac:dyDescent="0.25">
      <c r="A173" s="82"/>
      <c r="B173" s="41"/>
      <c r="C173" s="42" t="s">
        <v>66</v>
      </c>
      <c r="D173" s="42" t="s">
        <v>67</v>
      </c>
      <c r="E173" s="42" t="s">
        <v>68</v>
      </c>
      <c r="F173" s="42" t="s">
        <v>69</v>
      </c>
      <c r="G173" s="42" t="s">
        <v>70</v>
      </c>
      <c r="H173" s="42" t="s">
        <v>71</v>
      </c>
      <c r="I173" s="42" t="s">
        <v>72</v>
      </c>
      <c r="J173" s="42" t="s">
        <v>73</v>
      </c>
      <c r="K173" s="42" t="s">
        <v>74</v>
      </c>
      <c r="L173" s="42" t="s">
        <v>75</v>
      </c>
      <c r="M173" s="42" t="s">
        <v>76</v>
      </c>
      <c r="N173" s="42" t="s">
        <v>77</v>
      </c>
      <c r="O173" s="42" t="s">
        <v>236</v>
      </c>
    </row>
    <row r="174" spans="1:25" x14ac:dyDescent="0.25">
      <c r="A174" s="82"/>
      <c r="B174" s="44" t="s">
        <v>194</v>
      </c>
      <c r="C174" s="45">
        <f>'3.1. My Income Tax Calculation'!$P$37/12</f>
        <v>146468461.02173913</v>
      </c>
      <c r="D174" s="45">
        <f>'3.1. My Income Tax Calculation'!$P$37/12</f>
        <v>146468461.02173913</v>
      </c>
      <c r="E174" s="45">
        <f>'3.1. My Income Tax Calculation'!$P$37/12</f>
        <v>146468461.02173913</v>
      </c>
      <c r="F174" s="45">
        <f>'3.1. My Income Tax Calculation'!$P$37/12</f>
        <v>146468461.02173913</v>
      </c>
      <c r="G174" s="45">
        <f>'3.1. My Income Tax Calculation'!$P$37/12</f>
        <v>146468461.02173913</v>
      </c>
      <c r="H174" s="45">
        <f>'3.1. My Income Tax Calculation'!$P$37/12</f>
        <v>146468461.02173913</v>
      </c>
      <c r="I174" s="45">
        <f>'3.1. My Income Tax Calculation'!$P$37/12</f>
        <v>146468461.02173913</v>
      </c>
      <c r="J174" s="45">
        <f>'3.1. My Income Tax Calculation'!$P$37/12</f>
        <v>146468461.02173913</v>
      </c>
      <c r="K174" s="45">
        <f>'3.1. My Income Tax Calculation'!$P$37/12</f>
        <v>146468461.02173913</v>
      </c>
      <c r="L174" s="45">
        <f>'3.1. My Income Tax Calculation'!$P$37/12</f>
        <v>146468461.02173913</v>
      </c>
      <c r="M174" s="45">
        <f>'3.1. My Income Tax Calculation'!$P$37/12</f>
        <v>146468461.02173913</v>
      </c>
      <c r="N174" s="45">
        <f>'3.1. My Income Tax Calculation'!$P$37/12</f>
        <v>146468461.02173913</v>
      </c>
      <c r="O174" s="45" t="s">
        <v>173</v>
      </c>
    </row>
    <row r="175" spans="1:25" x14ac:dyDescent="0.25">
      <c r="A175" s="82"/>
      <c r="B175" s="44" t="s">
        <v>246</v>
      </c>
      <c r="C175" s="45">
        <f>'3.2. My wife''s Tax Calc'!$P$37/12</f>
        <v>65741774.662664302</v>
      </c>
      <c r="D175" s="45">
        <f>'3.2. My wife''s Tax Calc'!$P$37/12</f>
        <v>65741774.662664302</v>
      </c>
      <c r="E175" s="45">
        <f>'3.2. My wife''s Tax Calc'!$P$37/12</f>
        <v>65741774.662664302</v>
      </c>
      <c r="F175" s="45">
        <f>'3.2. My wife''s Tax Calc'!$P$37/12</f>
        <v>65741774.662664302</v>
      </c>
      <c r="G175" s="45">
        <f>'3.2. My wife''s Tax Calc'!$P$37/12</f>
        <v>65741774.662664302</v>
      </c>
      <c r="H175" s="45">
        <f>'3.2. My wife''s Tax Calc'!$P$37/12</f>
        <v>65741774.662664302</v>
      </c>
      <c r="I175" s="45">
        <f>'3.2. My wife''s Tax Calc'!$P$37/12</f>
        <v>65741774.662664302</v>
      </c>
      <c r="J175" s="45">
        <f>'3.2. My wife''s Tax Calc'!$P$37/12</f>
        <v>65741774.662664302</v>
      </c>
      <c r="K175" s="45">
        <f>'3.2. My wife''s Tax Calc'!$P$37/12</f>
        <v>65741774.662664302</v>
      </c>
      <c r="L175" s="45">
        <f>'3.2. My wife''s Tax Calc'!$P$37/12</f>
        <v>65741774.662664302</v>
      </c>
      <c r="M175" s="45">
        <f>'3.2. My wife''s Tax Calc'!$P$37/12</f>
        <v>65741774.662664302</v>
      </c>
      <c r="N175" s="45">
        <f>'3.2. My wife''s Tax Calc'!$P$37/12</f>
        <v>65741774.662664302</v>
      </c>
      <c r="O175" s="45" t="s">
        <v>173</v>
      </c>
    </row>
    <row r="176" spans="1:25" x14ac:dyDescent="0.25">
      <c r="A176" s="82"/>
      <c r="B176" s="46" t="s">
        <v>209</v>
      </c>
      <c r="C176" s="47">
        <f>SUM(C174:C175)</f>
        <v>212210235.68440342</v>
      </c>
      <c r="D176" s="47">
        <f t="shared" ref="D176:J176" si="184">SUM(D174:D175)</f>
        <v>212210235.68440342</v>
      </c>
      <c r="E176" s="47">
        <f t="shared" si="184"/>
        <v>212210235.68440342</v>
      </c>
      <c r="F176" s="47">
        <f t="shared" si="184"/>
        <v>212210235.68440342</v>
      </c>
      <c r="G176" s="47">
        <f t="shared" si="184"/>
        <v>212210235.68440342</v>
      </c>
      <c r="H176" s="47">
        <f t="shared" si="184"/>
        <v>212210235.68440342</v>
      </c>
      <c r="I176" s="47">
        <f t="shared" si="184"/>
        <v>212210235.68440342</v>
      </c>
      <c r="J176" s="47">
        <f t="shared" si="184"/>
        <v>212210235.68440342</v>
      </c>
      <c r="K176" s="47">
        <f>SUM(K174:K175)</f>
        <v>212210235.68440342</v>
      </c>
      <c r="L176" s="47">
        <f t="shared" ref="L176:N176" si="185">SUM(L174:L175)</f>
        <v>212210235.68440342</v>
      </c>
      <c r="M176" s="47">
        <f t="shared" si="185"/>
        <v>212210235.68440342</v>
      </c>
      <c r="N176" s="47">
        <f t="shared" si="185"/>
        <v>212210235.68440342</v>
      </c>
      <c r="O176" s="47">
        <f>SUM(C176:N176)</f>
        <v>2546522828.212841</v>
      </c>
    </row>
    <row r="177" spans="1:15" x14ac:dyDescent="0.25">
      <c r="A177" s="82"/>
      <c r="B177" s="52" t="s">
        <v>78</v>
      </c>
      <c r="C177" s="53" t="s">
        <v>173</v>
      </c>
      <c r="D177" s="53" t="s">
        <v>173</v>
      </c>
      <c r="E177" s="53" t="s">
        <v>173</v>
      </c>
      <c r="F177" s="53" t="s">
        <v>173</v>
      </c>
      <c r="G177" s="53" t="s">
        <v>173</v>
      </c>
      <c r="H177" s="53" t="s">
        <v>173</v>
      </c>
      <c r="I177" s="53" t="s">
        <v>173</v>
      </c>
      <c r="J177" s="53" t="s">
        <v>173</v>
      </c>
      <c r="K177" s="53" t="s">
        <v>173</v>
      </c>
      <c r="L177" s="53" t="s">
        <v>173</v>
      </c>
      <c r="M177" s="53" t="s">
        <v>173</v>
      </c>
      <c r="N177" s="53" t="s">
        <v>173</v>
      </c>
      <c r="O177" s="91" t="s">
        <v>173</v>
      </c>
    </row>
    <row r="178" spans="1:15" x14ac:dyDescent="0.25">
      <c r="A178" s="82"/>
      <c r="B178" s="48" t="s">
        <v>79</v>
      </c>
      <c r="C178" s="54" t="s">
        <v>173</v>
      </c>
      <c r="D178" s="54" t="s">
        <v>173</v>
      </c>
      <c r="E178" s="54" t="s">
        <v>173</v>
      </c>
      <c r="F178" s="54" t="s">
        <v>173</v>
      </c>
      <c r="G178" s="54" t="s">
        <v>173</v>
      </c>
      <c r="H178" s="54" t="s">
        <v>173</v>
      </c>
      <c r="I178" s="54" t="s">
        <v>173</v>
      </c>
      <c r="J178" s="54" t="s">
        <v>173</v>
      </c>
      <c r="K178" s="54" t="s">
        <v>173</v>
      </c>
      <c r="L178" s="54" t="s">
        <v>173</v>
      </c>
      <c r="M178" s="54" t="s">
        <v>173</v>
      </c>
      <c r="N178" s="54" t="s">
        <v>173</v>
      </c>
      <c r="O178" s="91" t="s">
        <v>173</v>
      </c>
    </row>
    <row r="179" spans="1:15" x14ac:dyDescent="0.25">
      <c r="A179" s="83"/>
      <c r="B179" s="49" t="s">
        <v>195</v>
      </c>
      <c r="C179" s="50">
        <f>C145*(1+$K$64)</f>
        <v>520883.74723597616</v>
      </c>
      <c r="D179" s="50">
        <v>0</v>
      </c>
      <c r="E179" s="50">
        <v>0</v>
      </c>
      <c r="F179" s="50">
        <v>0</v>
      </c>
      <c r="G179" s="50">
        <v>0</v>
      </c>
      <c r="H179" s="50">
        <v>0</v>
      </c>
      <c r="I179" s="50">
        <v>0</v>
      </c>
      <c r="J179" s="50">
        <v>0</v>
      </c>
      <c r="K179" s="50">
        <v>0</v>
      </c>
      <c r="L179" s="50">
        <v>0</v>
      </c>
      <c r="M179" s="50">
        <v>0</v>
      </c>
      <c r="N179" s="50">
        <v>0</v>
      </c>
      <c r="O179" s="90">
        <f t="shared" ref="O179:O182" si="186">SUM(C179:N179)</f>
        <v>520883.74723597616</v>
      </c>
    </row>
    <row r="180" spans="1:15" x14ac:dyDescent="0.25">
      <c r="A180" s="82"/>
      <c r="B180" s="51" t="s">
        <v>178</v>
      </c>
      <c r="C180" s="50">
        <f>C146*(1+$K$64)</f>
        <v>3946088.9942119424</v>
      </c>
      <c r="D180" s="50">
        <f t="shared" ref="D180:N180" si="187">D146*(1+$K$64)</f>
        <v>3946088.9942119424</v>
      </c>
      <c r="E180" s="50">
        <f t="shared" si="187"/>
        <v>3946088.9942119424</v>
      </c>
      <c r="F180" s="50">
        <f t="shared" si="187"/>
        <v>3946088.9942119424</v>
      </c>
      <c r="G180" s="50">
        <f t="shared" si="187"/>
        <v>3946088.9942119424</v>
      </c>
      <c r="H180" s="50">
        <f t="shared" si="187"/>
        <v>3946088.9942119424</v>
      </c>
      <c r="I180" s="50">
        <f t="shared" si="187"/>
        <v>3946088.9942119424</v>
      </c>
      <c r="J180" s="50">
        <f t="shared" si="187"/>
        <v>3946088.9942119424</v>
      </c>
      <c r="K180" s="50">
        <f t="shared" si="187"/>
        <v>3946088.9942119424</v>
      </c>
      <c r="L180" s="50">
        <f t="shared" si="187"/>
        <v>3946088.9942119424</v>
      </c>
      <c r="M180" s="50">
        <f t="shared" si="187"/>
        <v>3946088.9942119424</v>
      </c>
      <c r="N180" s="50">
        <f t="shared" si="187"/>
        <v>3946088.9942119424</v>
      </c>
      <c r="O180" s="90">
        <f t="shared" si="186"/>
        <v>47353067.930543311</v>
      </c>
    </row>
    <row r="181" spans="1:15" x14ac:dyDescent="0.25">
      <c r="A181" s="84"/>
      <c r="B181" s="51" t="s">
        <v>248</v>
      </c>
      <c r="C181" s="50">
        <f>C147*(1+$K$64)</f>
        <v>473530.679305433</v>
      </c>
      <c r="D181" s="50">
        <f t="shared" ref="D181:N181" si="188">D147*(1+$K$64)</f>
        <v>473530.679305433</v>
      </c>
      <c r="E181" s="50">
        <f t="shared" si="188"/>
        <v>473530.679305433</v>
      </c>
      <c r="F181" s="50">
        <f t="shared" si="188"/>
        <v>473530.679305433</v>
      </c>
      <c r="G181" s="50">
        <f t="shared" si="188"/>
        <v>473530.679305433</v>
      </c>
      <c r="H181" s="50">
        <f t="shared" si="188"/>
        <v>473530.679305433</v>
      </c>
      <c r="I181" s="50">
        <f t="shared" si="188"/>
        <v>473530.679305433</v>
      </c>
      <c r="J181" s="50">
        <f t="shared" si="188"/>
        <v>473530.679305433</v>
      </c>
      <c r="K181" s="50">
        <f t="shared" si="188"/>
        <v>473530.679305433</v>
      </c>
      <c r="L181" s="50">
        <f t="shared" si="188"/>
        <v>473530.679305433</v>
      </c>
      <c r="M181" s="50">
        <f t="shared" si="188"/>
        <v>473530.679305433</v>
      </c>
      <c r="N181" s="50">
        <f t="shared" si="188"/>
        <v>473530.679305433</v>
      </c>
      <c r="O181" s="90">
        <f t="shared" si="186"/>
        <v>5682368.1516651968</v>
      </c>
    </row>
    <row r="182" spans="1:15" x14ac:dyDescent="0.25">
      <c r="A182" s="82"/>
      <c r="B182" s="46" t="s">
        <v>207</v>
      </c>
      <c r="C182" s="47">
        <f t="shared" ref="C182" si="189">SUM(C179:C181)</f>
        <v>4940503.4207533514</v>
      </c>
      <c r="D182" s="47">
        <f t="shared" ref="D182" si="190">SUM(D179:D181)</f>
        <v>4419619.6735173753</v>
      </c>
      <c r="E182" s="47">
        <f t="shared" ref="E182" si="191">SUM(E179:E181)</f>
        <v>4419619.6735173753</v>
      </c>
      <c r="F182" s="47">
        <f t="shared" ref="F182" si="192">SUM(F179:F181)</f>
        <v>4419619.6735173753</v>
      </c>
      <c r="G182" s="47">
        <f t="shared" ref="G182" si="193">SUM(G179:G181)</f>
        <v>4419619.6735173753</v>
      </c>
      <c r="H182" s="47">
        <f t="shared" ref="H182" si="194">SUM(H179:H181)</f>
        <v>4419619.6735173753</v>
      </c>
      <c r="I182" s="47">
        <f t="shared" ref="I182" si="195">SUM(I179:I181)</f>
        <v>4419619.6735173753</v>
      </c>
      <c r="J182" s="47">
        <f t="shared" ref="J182" si="196">SUM(J179:J181)</f>
        <v>4419619.6735173753</v>
      </c>
      <c r="K182" s="47">
        <f t="shared" ref="K182" si="197">SUM(K179:K181)</f>
        <v>4419619.6735173753</v>
      </c>
      <c r="L182" s="47">
        <f t="shared" ref="L182" si="198">SUM(L179:L181)</f>
        <v>4419619.6735173753</v>
      </c>
      <c r="M182" s="47">
        <f t="shared" ref="M182" si="199">SUM(M179:M181)</f>
        <v>4419619.6735173753</v>
      </c>
      <c r="N182" s="47">
        <f t="shared" ref="N182" si="200">SUM(N179:N181)</f>
        <v>4419619.6735173753</v>
      </c>
      <c r="O182" s="47">
        <f t="shared" si="186"/>
        <v>53556319.829444483</v>
      </c>
    </row>
    <row r="183" spans="1:15" x14ac:dyDescent="0.25">
      <c r="A183" s="82"/>
      <c r="B183" s="55" t="s">
        <v>83</v>
      </c>
      <c r="C183" s="59" t="s">
        <v>173</v>
      </c>
      <c r="D183" s="59" t="s">
        <v>173</v>
      </c>
      <c r="E183" s="59" t="s">
        <v>173</v>
      </c>
      <c r="F183" s="59" t="s">
        <v>173</v>
      </c>
      <c r="G183" s="59" t="s">
        <v>173</v>
      </c>
      <c r="H183" s="59" t="s">
        <v>173</v>
      </c>
      <c r="I183" s="59" t="s">
        <v>173</v>
      </c>
      <c r="J183" s="59" t="s">
        <v>173</v>
      </c>
      <c r="K183" s="59" t="s">
        <v>173</v>
      </c>
      <c r="L183" s="59" t="s">
        <v>173</v>
      </c>
      <c r="M183" s="59" t="s">
        <v>173</v>
      </c>
      <c r="N183" s="59" t="s">
        <v>173</v>
      </c>
      <c r="O183" s="91" t="s">
        <v>173</v>
      </c>
    </row>
    <row r="184" spans="1:15" x14ac:dyDescent="0.25">
      <c r="A184" s="82"/>
      <c r="B184" s="57" t="s">
        <v>210</v>
      </c>
      <c r="C184" s="89">
        <f t="shared" ref="C184:N184" si="201">C150*(1+$K$64)</f>
        <v>3918466.3712524595</v>
      </c>
      <c r="D184" s="89">
        <f t="shared" si="201"/>
        <v>4723468.5260716956</v>
      </c>
      <c r="E184" s="89">
        <f t="shared" si="201"/>
        <v>4356482.2496099807</v>
      </c>
      <c r="F184" s="89">
        <f t="shared" si="201"/>
        <v>4072363.842026724</v>
      </c>
      <c r="G184" s="89">
        <f t="shared" si="201"/>
        <v>3740892.3665129207</v>
      </c>
      <c r="H184" s="89">
        <f t="shared" si="201"/>
        <v>4687953.7251237864</v>
      </c>
      <c r="I184" s="89">
        <f t="shared" si="201"/>
        <v>5469279.3459777506</v>
      </c>
      <c r="J184" s="89">
        <f t="shared" si="201"/>
        <v>5244352.2733076708</v>
      </c>
      <c r="K184" s="89">
        <f t="shared" si="201"/>
        <v>4048687.3080614512</v>
      </c>
      <c r="L184" s="89">
        <f t="shared" si="201"/>
        <v>4155231.7109051752</v>
      </c>
      <c r="M184" s="89">
        <f t="shared" si="201"/>
        <v>3953981.1722003645</v>
      </c>
      <c r="N184" s="89">
        <f t="shared" si="201"/>
        <v>4273614.3807315314</v>
      </c>
      <c r="O184" s="92">
        <f t="shared" ref="O184:O192" si="202">SUM(C184:N184)</f>
        <v>52644773.271781512</v>
      </c>
    </row>
    <row r="185" spans="1:15" x14ac:dyDescent="0.25">
      <c r="A185" s="82"/>
      <c r="B185" s="57" t="s">
        <v>203</v>
      </c>
      <c r="C185" s="89">
        <f t="shared" ref="C185:N185" si="203">C151*(1+$K$64)</f>
        <v>14146729.044249807</v>
      </c>
      <c r="D185" s="89">
        <f t="shared" si="203"/>
        <v>15235849.606652312</v>
      </c>
      <c r="E185" s="89">
        <f t="shared" si="203"/>
        <v>17082619.2559435</v>
      </c>
      <c r="F185" s="89">
        <f t="shared" si="203"/>
        <v>12951064.0790036</v>
      </c>
      <c r="G185" s="89">
        <f t="shared" si="203"/>
        <v>17236516.726717766</v>
      </c>
      <c r="H185" s="89">
        <f t="shared" si="203"/>
        <v>16242102.30017635</v>
      </c>
      <c r="I185" s="89">
        <f t="shared" si="203"/>
        <v>14904378.131138511</v>
      </c>
      <c r="J185" s="89">
        <f t="shared" si="203"/>
        <v>17721885.67300583</v>
      </c>
      <c r="K185" s="89">
        <f t="shared" si="203"/>
        <v>17319384.595596205</v>
      </c>
      <c r="L185" s="89">
        <f t="shared" si="203"/>
        <v>17319384.595596205</v>
      </c>
      <c r="M185" s="89">
        <f t="shared" si="203"/>
        <v>13460109.559256937</v>
      </c>
      <c r="N185" s="89">
        <f t="shared" si="203"/>
        <v>16597250.309655432</v>
      </c>
      <c r="O185" s="92">
        <f t="shared" si="202"/>
        <v>190217273.87699246</v>
      </c>
    </row>
    <row r="186" spans="1:15" x14ac:dyDescent="0.25">
      <c r="A186" s="82"/>
      <c r="B186" s="58" t="s">
        <v>84</v>
      </c>
      <c r="C186" s="89">
        <f t="shared" ref="C186:N186" si="204">C152*(1+$K$64)</f>
        <v>12513048.200646063</v>
      </c>
      <c r="D186" s="89">
        <f t="shared" si="204"/>
        <v>13661360.097961737</v>
      </c>
      <c r="E186" s="89">
        <f t="shared" si="204"/>
        <v>13708713.165892283</v>
      </c>
      <c r="F186" s="89">
        <f t="shared" si="204"/>
        <v>14158567.311232448</v>
      </c>
      <c r="G186" s="89">
        <f t="shared" si="204"/>
        <v>16751147.780429693</v>
      </c>
      <c r="H186" s="89">
        <f t="shared" si="204"/>
        <v>14490038.786746247</v>
      </c>
      <c r="I186" s="89">
        <f t="shared" si="204"/>
        <v>15046437.334930139</v>
      </c>
      <c r="J186" s="89">
        <f t="shared" si="204"/>
        <v>17319384.595596205</v>
      </c>
      <c r="K186" s="89">
        <f t="shared" si="204"/>
        <v>15851439.489749374</v>
      </c>
      <c r="L186" s="89">
        <f t="shared" si="204"/>
        <v>15827762.955784101</v>
      </c>
      <c r="M186" s="89">
        <f t="shared" si="204"/>
        <v>16940560.052151859</v>
      </c>
      <c r="N186" s="89">
        <f t="shared" si="204"/>
        <v>13602168.763048563</v>
      </c>
      <c r="O186" s="92">
        <f t="shared" si="202"/>
        <v>179870628.53416872</v>
      </c>
    </row>
    <row r="187" spans="1:15" x14ac:dyDescent="0.25">
      <c r="A187" s="82"/>
      <c r="B187" s="57" t="s">
        <v>85</v>
      </c>
      <c r="C187" s="89">
        <f t="shared" ref="C187:N187" si="205">C154*(1+$K$64)</f>
        <v>14537391.854676794</v>
      </c>
      <c r="D187" s="89">
        <f t="shared" si="205"/>
        <v>12442018.598750262</v>
      </c>
      <c r="E187" s="89">
        <f t="shared" si="205"/>
        <v>12880034.477107776</v>
      </c>
      <c r="F187" s="89">
        <f t="shared" si="205"/>
        <v>13081285.015812583</v>
      </c>
      <c r="G187" s="89">
        <f t="shared" si="205"/>
        <v>17591664.736196831</v>
      </c>
      <c r="H187" s="89">
        <f t="shared" si="205"/>
        <v>12915549.27805569</v>
      </c>
      <c r="I187" s="89">
        <f t="shared" si="205"/>
        <v>14987246.000016956</v>
      </c>
      <c r="J187" s="89">
        <f t="shared" si="205"/>
        <v>11861943.516601099</v>
      </c>
      <c r="K187" s="89">
        <f t="shared" si="205"/>
        <v>15425261.878374482</v>
      </c>
      <c r="L187" s="89">
        <f t="shared" si="205"/>
        <v>12252606.327028081</v>
      </c>
      <c r="M187" s="89">
        <f t="shared" si="205"/>
        <v>15602835.883114018</v>
      </c>
      <c r="N187" s="89">
        <f t="shared" si="205"/>
        <v>14857025.063207958</v>
      </c>
      <c r="O187" s="92">
        <f t="shared" si="202"/>
        <v>168434862.62894252</v>
      </c>
    </row>
    <row r="188" spans="1:15" x14ac:dyDescent="0.25">
      <c r="A188" s="84"/>
      <c r="B188" s="58" t="s">
        <v>249</v>
      </c>
      <c r="C188" s="89">
        <f t="shared" ref="C188:N188" si="206">C176*5%</f>
        <v>10610511.784220172</v>
      </c>
      <c r="D188" s="89">
        <f t="shared" si="206"/>
        <v>10610511.784220172</v>
      </c>
      <c r="E188" s="89">
        <f t="shared" si="206"/>
        <v>10610511.784220172</v>
      </c>
      <c r="F188" s="89">
        <f t="shared" si="206"/>
        <v>10610511.784220172</v>
      </c>
      <c r="G188" s="89">
        <f t="shared" si="206"/>
        <v>10610511.784220172</v>
      </c>
      <c r="H188" s="89">
        <f t="shared" si="206"/>
        <v>10610511.784220172</v>
      </c>
      <c r="I188" s="89">
        <f t="shared" si="206"/>
        <v>10610511.784220172</v>
      </c>
      <c r="J188" s="89">
        <f t="shared" si="206"/>
        <v>10610511.784220172</v>
      </c>
      <c r="K188" s="89">
        <f t="shared" si="206"/>
        <v>10610511.784220172</v>
      </c>
      <c r="L188" s="89">
        <f t="shared" si="206"/>
        <v>10610511.784220172</v>
      </c>
      <c r="M188" s="89">
        <f t="shared" si="206"/>
        <v>10610511.784220172</v>
      </c>
      <c r="N188" s="89">
        <f t="shared" si="206"/>
        <v>10610511.784220172</v>
      </c>
      <c r="O188" s="92">
        <f t="shared" si="202"/>
        <v>127326141.41064207</v>
      </c>
    </row>
    <row r="189" spans="1:15" x14ac:dyDescent="0.25">
      <c r="A189" s="84"/>
      <c r="B189" s="58" t="s">
        <v>180</v>
      </c>
      <c r="C189" s="89">
        <f>'7.5. Stage 5&amp;6 budget'!C162*(1+'7.5. Stage 5&amp;6 budget'!$K$68)</f>
        <v>12106682.7480272</v>
      </c>
      <c r="D189" s="89">
        <f>'7.5. Stage 5&amp;6 budget'!D162*(1+'7.5. Stage 5&amp;6 budget'!$K$68)</f>
        <v>10361664.143466279</v>
      </c>
      <c r="E189" s="89">
        <f>'7.5. Stage 5&amp;6 budget'!E162*(1+'7.5. Stage 5&amp;6 budget'!$K$68)</f>
        <v>10726442.043854715</v>
      </c>
      <c r="F189" s="89">
        <f>'7.5. Stage 5&amp;6 budget'!F162*(1+'7.5. Stage 5&amp;6 budget'!$K$68)</f>
        <v>10894042.700789943</v>
      </c>
      <c r="G189" s="89">
        <f>'7.5. Stage 5&amp;6 budget'!G162*(1+'7.5. Stage 5&amp;6 budget'!$K$68)</f>
        <v>14650269.188573627</v>
      </c>
      <c r="H189" s="89">
        <f>'7.5. Stage 5&amp;6 budget'!H162*(1+'7.5. Stage 5&amp;6 budget'!$K$68)</f>
        <v>10756018.630372701</v>
      </c>
      <c r="I189" s="89">
        <f>'7.5. Stage 5&amp;6 budget'!I162*(1+'7.5. Stage 5&amp;6 budget'!$K$68)</f>
        <v>12481319.510588299</v>
      </c>
      <c r="J189" s="89">
        <f>'7.5. Stage 5&amp;6 budget'!J162*(1+'7.5. Stage 5&amp;6 budget'!$K$68)</f>
        <v>9878579.8970059063</v>
      </c>
      <c r="K189" s="89">
        <f>'7.5. Stage 5&amp;6 budget'!K162*(1+'7.5. Stage 5&amp;6 budget'!$K$68)</f>
        <v>12846097.410976745</v>
      </c>
      <c r="L189" s="89">
        <f>'7.5. Stage 5&amp;6 budget'!L162*(1+'7.5. Stage 5&amp;6 budget'!$K$68)</f>
        <v>10203922.348703703</v>
      </c>
      <c r="M189" s="89">
        <f>'7.5. Stage 5&amp;6 budget'!M162*(1+'7.5. Stage 5&amp;6 budget'!$K$68)</f>
        <v>12993980.343566652</v>
      </c>
      <c r="N189" s="89">
        <f>'7.5. Stage 5&amp;6 budget'!N162*(1+'7.5. Stage 5&amp;6 budget'!$K$68)</f>
        <v>12372872.026689032</v>
      </c>
      <c r="O189" s="92">
        <f t="shared" si="202"/>
        <v>140271890.99261481</v>
      </c>
    </row>
    <row r="190" spans="1:15" x14ac:dyDescent="0.25">
      <c r="A190" s="84"/>
      <c r="B190" s="58" t="s">
        <v>86</v>
      </c>
      <c r="C190" s="89">
        <f t="shared" ref="C190:N190" si="207">C157*(1+$K$199)</f>
        <v>10746625.244624108</v>
      </c>
      <c r="D190" s="89">
        <f t="shared" si="207"/>
        <v>10746625.244624108</v>
      </c>
      <c r="E190" s="89">
        <f t="shared" si="207"/>
        <v>10746625.244624108</v>
      </c>
      <c r="F190" s="89">
        <f t="shared" si="207"/>
        <v>10746625.244624108</v>
      </c>
      <c r="G190" s="89">
        <f t="shared" si="207"/>
        <v>10746625.244624108</v>
      </c>
      <c r="H190" s="89">
        <f t="shared" si="207"/>
        <v>10746625.244624108</v>
      </c>
      <c r="I190" s="89">
        <f t="shared" si="207"/>
        <v>10746625.244624108</v>
      </c>
      <c r="J190" s="89">
        <f t="shared" si="207"/>
        <v>10746625.244624108</v>
      </c>
      <c r="K190" s="89">
        <f t="shared" si="207"/>
        <v>10746625.244624108</v>
      </c>
      <c r="L190" s="89">
        <f t="shared" si="207"/>
        <v>10746625.244624108</v>
      </c>
      <c r="M190" s="89">
        <f t="shared" si="207"/>
        <v>10746625.244624108</v>
      </c>
      <c r="N190" s="89">
        <f t="shared" si="207"/>
        <v>10746625.244624108</v>
      </c>
      <c r="O190" s="92">
        <f t="shared" si="202"/>
        <v>128959502.9354893</v>
      </c>
    </row>
    <row r="191" spans="1:15" x14ac:dyDescent="0.25">
      <c r="A191" s="82"/>
      <c r="B191" s="46" t="s">
        <v>208</v>
      </c>
      <c r="C191" s="47">
        <f t="shared" ref="C191:N191" si="208">SUM(C184:C190)</f>
        <v>78579455.247696608</v>
      </c>
      <c r="D191" s="47">
        <f t="shared" si="208"/>
        <v>77781498.001746565</v>
      </c>
      <c r="E191" s="47">
        <f t="shared" si="208"/>
        <v>80111428.221252546</v>
      </c>
      <c r="F191" s="47">
        <f t="shared" si="208"/>
        <v>76514459.977709576</v>
      </c>
      <c r="G191" s="47">
        <f t="shared" si="208"/>
        <v>91327627.827275112</v>
      </c>
      <c r="H191" s="47">
        <f t="shared" si="208"/>
        <v>80448799.749319062</v>
      </c>
      <c r="I191" s="47">
        <f t="shared" si="208"/>
        <v>84245797.351495937</v>
      </c>
      <c r="J191" s="47">
        <f t="shared" si="208"/>
        <v>83383282.984360993</v>
      </c>
      <c r="K191" s="47">
        <f t="shared" si="208"/>
        <v>86848007.711602539</v>
      </c>
      <c r="L191" s="47">
        <f t="shared" si="208"/>
        <v>81116044.966861546</v>
      </c>
      <c r="M191" s="47">
        <f t="shared" si="208"/>
        <v>84308604.039134115</v>
      </c>
      <c r="N191" s="47">
        <f t="shared" si="208"/>
        <v>83060067.572176799</v>
      </c>
      <c r="O191" s="47">
        <f t="shared" si="202"/>
        <v>987725073.65063167</v>
      </c>
    </row>
    <row r="192" spans="1:15" x14ac:dyDescent="0.25">
      <c r="A192" s="82"/>
      <c r="B192" s="60" t="s">
        <v>87</v>
      </c>
      <c r="C192" s="47">
        <f t="shared" ref="C192:N192" si="209">C182+C191</f>
        <v>83519958.668449953</v>
      </c>
      <c r="D192" s="47">
        <f t="shared" si="209"/>
        <v>82201117.675263941</v>
      </c>
      <c r="E192" s="47">
        <f t="shared" si="209"/>
        <v>84531047.894769922</v>
      </c>
      <c r="F192" s="47">
        <f t="shared" si="209"/>
        <v>80934079.651226953</v>
      </c>
      <c r="G192" s="47">
        <f t="shared" si="209"/>
        <v>95747247.500792488</v>
      </c>
      <c r="H192" s="47">
        <f t="shared" si="209"/>
        <v>84868419.422836438</v>
      </c>
      <c r="I192" s="47">
        <f t="shared" si="209"/>
        <v>88665417.025013313</v>
      </c>
      <c r="J192" s="47">
        <f t="shared" si="209"/>
        <v>87802902.657878369</v>
      </c>
      <c r="K192" s="47">
        <f t="shared" si="209"/>
        <v>91267627.385119915</v>
      </c>
      <c r="L192" s="47">
        <f t="shared" si="209"/>
        <v>85535664.640378922</v>
      </c>
      <c r="M192" s="47">
        <f t="shared" si="209"/>
        <v>88728223.712651491</v>
      </c>
      <c r="N192" s="47">
        <f t="shared" si="209"/>
        <v>87479687.245694175</v>
      </c>
      <c r="O192" s="47">
        <f t="shared" si="202"/>
        <v>1041281393.4800758</v>
      </c>
    </row>
    <row r="193" spans="1:25" s="11" customFormat="1" x14ac:dyDescent="0.25">
      <c r="A193" s="82"/>
      <c r="B193" s="108" t="s">
        <v>204</v>
      </c>
      <c r="C193" s="109">
        <f>$O192*(3/12)/12</f>
        <v>21693362.364168245</v>
      </c>
      <c r="D193" s="109">
        <f t="shared" ref="D193" si="210">$O192*(3/12)/12</f>
        <v>21693362.364168245</v>
      </c>
      <c r="E193" s="109">
        <f t="shared" ref="E193" si="211">$O192*(3/12)/12</f>
        <v>21693362.364168245</v>
      </c>
      <c r="F193" s="109">
        <f t="shared" ref="F193" si="212">$O192*(3/12)/12</f>
        <v>21693362.364168245</v>
      </c>
      <c r="G193" s="109">
        <f t="shared" ref="G193" si="213">$O192*(3/12)/12</f>
        <v>21693362.364168245</v>
      </c>
      <c r="H193" s="109">
        <f t="shared" ref="H193" si="214">$O192*(3/12)/12</f>
        <v>21693362.364168245</v>
      </c>
      <c r="I193" s="109">
        <f t="shared" ref="I193" si="215">$O192*(3/12)/12</f>
        <v>21693362.364168245</v>
      </c>
      <c r="J193" s="109">
        <f t="shared" ref="J193" si="216">$O192*(3/12)/12</f>
        <v>21693362.364168245</v>
      </c>
      <c r="K193" s="109">
        <f t="shared" ref="K193" si="217">$O192*(3/12)/12</f>
        <v>21693362.364168245</v>
      </c>
      <c r="L193" s="109">
        <f t="shared" ref="L193" si="218">$O192*(3/12)/12</f>
        <v>21693362.364168245</v>
      </c>
      <c r="M193" s="109">
        <f t="shared" ref="M193" si="219">$O192*(3/12)/12</f>
        <v>21693362.364168245</v>
      </c>
      <c r="N193" s="109">
        <f>$O192*(3/12)/12</f>
        <v>21693362.364168245</v>
      </c>
      <c r="O193" s="109">
        <f t="shared" ref="O193:O196" si="220">SUM(C193:N193)</f>
        <v>260320348.37001899</v>
      </c>
      <c r="P193" s="43"/>
      <c r="Q193" s="43"/>
      <c r="R193" s="40"/>
      <c r="S193" s="40"/>
      <c r="T193" s="40"/>
      <c r="U193" s="40"/>
      <c r="V193" s="40"/>
      <c r="W193" s="40"/>
      <c r="X193" s="40"/>
      <c r="Y193" s="40"/>
    </row>
    <row r="194" spans="1:25" s="11" customFormat="1" x14ac:dyDescent="0.25">
      <c r="A194" s="82"/>
      <c r="B194" s="108" t="s">
        <v>82</v>
      </c>
      <c r="C194" s="109">
        <f>'6. Mortgage payment'!$C$7</f>
        <v>28168245.060798287</v>
      </c>
      <c r="D194" s="109">
        <f>'6. Mortgage payment'!$C$7</f>
        <v>28168245.060798287</v>
      </c>
      <c r="E194" s="109">
        <f>'6. Mortgage payment'!$C$7</f>
        <v>28168245.060798287</v>
      </c>
      <c r="F194" s="109">
        <f>'6. Mortgage payment'!$C$7</f>
        <v>28168245.060798287</v>
      </c>
      <c r="G194" s="109">
        <f>'6. Mortgage payment'!$C$7</f>
        <v>28168245.060798287</v>
      </c>
      <c r="H194" s="109">
        <f>'6. Mortgage payment'!$C$7</f>
        <v>28168245.060798287</v>
      </c>
      <c r="I194" s="109">
        <f>'6. Mortgage payment'!$C$7</f>
        <v>28168245.060798287</v>
      </c>
      <c r="J194" s="109">
        <f>'6. Mortgage payment'!$C$7</f>
        <v>28168245.060798287</v>
      </c>
      <c r="K194" s="109">
        <f>'6. Mortgage payment'!$C$7</f>
        <v>28168245.060798287</v>
      </c>
      <c r="L194" s="109">
        <f>'6. Mortgage payment'!$C$7</f>
        <v>28168245.060798287</v>
      </c>
      <c r="M194" s="109">
        <f>'6. Mortgage payment'!$C$7</f>
        <v>28168245.060798287</v>
      </c>
      <c r="N194" s="109">
        <f>'6. Mortgage payment'!$C$7</f>
        <v>28168245.060798287</v>
      </c>
      <c r="O194" s="109">
        <f t="shared" si="220"/>
        <v>338018940.72957945</v>
      </c>
      <c r="P194" s="43"/>
      <c r="Q194" s="43"/>
      <c r="R194" s="40"/>
      <c r="S194" s="40"/>
      <c r="T194" s="40"/>
      <c r="U194" s="40"/>
      <c r="V194" s="40"/>
      <c r="W194" s="40"/>
      <c r="X194" s="40"/>
      <c r="Y194" s="40"/>
    </row>
    <row r="195" spans="1:25" s="11" customFormat="1" x14ac:dyDescent="0.25">
      <c r="A195" s="82"/>
      <c r="B195" s="108" t="s">
        <v>386</v>
      </c>
      <c r="C195" s="109">
        <f>C162*(1+$K$199)</f>
        <v>4325052.8642051937</v>
      </c>
      <c r="D195" s="109">
        <v>0</v>
      </c>
      <c r="E195" s="109">
        <v>0</v>
      </c>
      <c r="F195" s="109">
        <v>0</v>
      </c>
      <c r="G195" s="109">
        <v>0</v>
      </c>
      <c r="H195" s="109">
        <v>0</v>
      </c>
      <c r="I195" s="109">
        <v>0</v>
      </c>
      <c r="J195" s="109">
        <v>0</v>
      </c>
      <c r="K195" s="109">
        <v>0</v>
      </c>
      <c r="L195" s="109">
        <v>0</v>
      </c>
      <c r="M195" s="109">
        <v>0</v>
      </c>
      <c r="N195" s="109">
        <v>0</v>
      </c>
      <c r="O195" s="109">
        <f t="shared" si="220"/>
        <v>4325052.8642051937</v>
      </c>
      <c r="P195" s="43"/>
      <c r="Q195" s="43"/>
      <c r="R195" s="40"/>
      <c r="S195" s="40"/>
      <c r="T195" s="40"/>
      <c r="U195" s="40"/>
      <c r="V195" s="40"/>
      <c r="W195" s="40"/>
      <c r="X195" s="40"/>
      <c r="Y195" s="40"/>
    </row>
    <row r="196" spans="1:25" s="11" customFormat="1" x14ac:dyDescent="0.25">
      <c r="A196" s="82"/>
      <c r="B196" s="60" t="s">
        <v>206</v>
      </c>
      <c r="C196" s="61">
        <f>C176-C192-C193-C194-C195</f>
        <v>74503616.726781741</v>
      </c>
      <c r="D196" s="61">
        <f t="shared" ref="D196:N196" si="221">D176-D192-D193-D194-D195</f>
        <v>80147510.584172949</v>
      </c>
      <c r="E196" s="61">
        <f t="shared" si="221"/>
        <v>77817580.364666969</v>
      </c>
      <c r="F196" s="61">
        <f t="shared" si="221"/>
        <v>81414548.608209938</v>
      </c>
      <c r="G196" s="61">
        <f t="shared" si="221"/>
        <v>66601380.758644402</v>
      </c>
      <c r="H196" s="61">
        <f t="shared" si="221"/>
        <v>77480208.836600453</v>
      </c>
      <c r="I196" s="61">
        <f t="shared" si="221"/>
        <v>73683211.234423578</v>
      </c>
      <c r="J196" s="61">
        <f t="shared" si="221"/>
        <v>74545725.601558521</v>
      </c>
      <c r="K196" s="61">
        <f t="shared" si="221"/>
        <v>71081000.874316975</v>
      </c>
      <c r="L196" s="61">
        <f t="shared" si="221"/>
        <v>76812963.619057968</v>
      </c>
      <c r="M196" s="61">
        <f t="shared" si="221"/>
        <v>73620404.546785399</v>
      </c>
      <c r="N196" s="61">
        <f t="shared" si="221"/>
        <v>74868941.013742715</v>
      </c>
      <c r="O196" s="47">
        <f t="shared" si="220"/>
        <v>902577092.76896155</v>
      </c>
      <c r="P196" s="43"/>
      <c r="Q196" s="43"/>
      <c r="R196" s="40"/>
      <c r="S196" s="40"/>
      <c r="T196" s="40"/>
      <c r="U196" s="40"/>
      <c r="V196" s="40"/>
      <c r="W196" s="40"/>
      <c r="X196" s="40"/>
      <c r="Y196" s="40"/>
    </row>
    <row r="197" spans="1:25" x14ac:dyDescent="0.25">
      <c r="A197" s="85"/>
      <c r="B197" s="40"/>
      <c r="C197" s="40"/>
      <c r="D197" s="40"/>
      <c r="E197" s="40"/>
      <c r="F197" s="40"/>
      <c r="G197" s="40"/>
      <c r="H197" s="40"/>
      <c r="I197" s="40"/>
      <c r="J197" s="40"/>
      <c r="K197" s="40"/>
      <c r="L197" s="353" t="s">
        <v>217</v>
      </c>
      <c r="M197" s="354"/>
      <c r="N197" s="350">
        <f>SUM(C196:N196)+N164</f>
        <v>17577712855.20285</v>
      </c>
      <c r="O197" s="40"/>
    </row>
    <row r="198" spans="1:25" x14ac:dyDescent="0.25">
      <c r="A198" s="85"/>
      <c r="B198" s="40"/>
      <c r="C198" s="40"/>
      <c r="D198" s="40"/>
      <c r="E198" s="40"/>
      <c r="F198" s="40"/>
      <c r="G198" s="40"/>
      <c r="H198" s="40"/>
      <c r="I198" s="40"/>
      <c r="J198" s="40"/>
      <c r="K198" s="40"/>
      <c r="L198" s="320"/>
      <c r="M198" s="355"/>
      <c r="N198" s="351"/>
      <c r="O198" s="40"/>
    </row>
    <row r="199" spans="1:25" x14ac:dyDescent="0.25">
      <c r="A199" s="85"/>
      <c r="B199" s="319" t="s">
        <v>632</v>
      </c>
      <c r="C199" s="352" t="s">
        <v>342</v>
      </c>
      <c r="D199" s="352"/>
      <c r="E199" s="352"/>
      <c r="F199" s="352"/>
      <c r="G199" s="352"/>
      <c r="H199" s="352"/>
      <c r="I199" s="40"/>
      <c r="J199" s="358" t="s">
        <v>231</v>
      </c>
      <c r="K199" s="359">
        <v>0.04</v>
      </c>
      <c r="L199" s="40"/>
      <c r="M199" s="40"/>
      <c r="N199" s="40"/>
      <c r="O199" s="361"/>
    </row>
    <row r="200" spans="1:25" x14ac:dyDescent="0.25">
      <c r="A200" s="85"/>
      <c r="B200" s="319"/>
      <c r="C200" s="352"/>
      <c r="D200" s="352"/>
      <c r="E200" s="352"/>
      <c r="F200" s="352"/>
      <c r="G200" s="352"/>
      <c r="H200" s="352"/>
      <c r="I200" s="40"/>
      <c r="J200" s="358"/>
      <c r="K200" s="360"/>
      <c r="L200" s="40"/>
      <c r="M200" s="40"/>
      <c r="N200" s="40"/>
      <c r="O200" s="362"/>
    </row>
    <row r="201" spans="1:25" x14ac:dyDescent="0.25">
      <c r="A201" s="85"/>
      <c r="B201" s="319"/>
      <c r="C201" s="352"/>
      <c r="D201" s="352"/>
      <c r="E201" s="352"/>
      <c r="F201" s="352"/>
      <c r="G201" s="352"/>
      <c r="H201" s="352"/>
      <c r="I201" s="40"/>
      <c r="J201" s="40"/>
      <c r="K201" s="40"/>
      <c r="L201" s="40"/>
      <c r="M201" s="40"/>
      <c r="N201" s="40"/>
      <c r="O201" s="40"/>
    </row>
  </sheetData>
  <mergeCells count="48">
    <mergeCell ref="B171:O172"/>
    <mergeCell ref="L197:M198"/>
    <mergeCell ref="N197:N198"/>
    <mergeCell ref="B199:B201"/>
    <mergeCell ref="C199:H201"/>
    <mergeCell ref="J199:J200"/>
    <mergeCell ref="K199:K200"/>
    <mergeCell ref="O199:O200"/>
    <mergeCell ref="B137:O138"/>
    <mergeCell ref="L164:M165"/>
    <mergeCell ref="N164:N165"/>
    <mergeCell ref="B166:B168"/>
    <mergeCell ref="C166:H168"/>
    <mergeCell ref="J166:J167"/>
    <mergeCell ref="K166:K167"/>
    <mergeCell ref="O166:O167"/>
    <mergeCell ref="O98:O99"/>
    <mergeCell ref="L130:M131"/>
    <mergeCell ref="N130:N131"/>
    <mergeCell ref="B132:B134"/>
    <mergeCell ref="C132:H134"/>
    <mergeCell ref="J132:J133"/>
    <mergeCell ref="K132:K133"/>
    <mergeCell ref="O132:O133"/>
    <mergeCell ref="B103:O104"/>
    <mergeCell ref="B98:B100"/>
    <mergeCell ref="C98:H100"/>
    <mergeCell ref="J98:J99"/>
    <mergeCell ref="K98:K99"/>
    <mergeCell ref="B69:O70"/>
    <mergeCell ref="L96:M97"/>
    <mergeCell ref="N96:N97"/>
    <mergeCell ref="B35:O36"/>
    <mergeCell ref="L62:M63"/>
    <mergeCell ref="N62:N63"/>
    <mergeCell ref="B64:B66"/>
    <mergeCell ref="C64:H66"/>
    <mergeCell ref="J64:J65"/>
    <mergeCell ref="K64:K65"/>
    <mergeCell ref="O64:O65"/>
    <mergeCell ref="B1:O2"/>
    <mergeCell ref="L28:M29"/>
    <mergeCell ref="N28:N29"/>
    <mergeCell ref="B30:B32"/>
    <mergeCell ref="C30:H32"/>
    <mergeCell ref="J30:J31"/>
    <mergeCell ref="K30:K31"/>
    <mergeCell ref="O30:O3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97E25-3D4A-4E45-9B18-294B11096FCE}">
  <dimension ref="A1:Y866"/>
  <sheetViews>
    <sheetView showGridLines="0" topLeftCell="A511" zoomScale="85" zoomScaleNormal="85" workbookViewId="0">
      <selection activeCell="O108" sqref="O108"/>
    </sheetView>
  </sheetViews>
  <sheetFormatPr defaultRowHeight="13.2" x14ac:dyDescent="0.25"/>
  <cols>
    <col min="2" max="2" width="43.88671875" bestFit="1" customWidth="1"/>
    <col min="3" max="3" width="13.109375" bestFit="1" customWidth="1"/>
    <col min="4" max="9" width="12.33203125" bestFit="1" customWidth="1"/>
    <col min="10" max="10" width="13.6640625" customWidth="1"/>
    <col min="11" max="13" width="12.33203125" bestFit="1" customWidth="1"/>
    <col min="14" max="14" width="14.88671875" bestFit="1" customWidth="1"/>
    <col min="15" max="15" width="15.109375" bestFit="1" customWidth="1"/>
  </cols>
  <sheetData>
    <row r="1" spans="1:15" ht="24.6" x14ac:dyDescent="0.25">
      <c r="A1" s="96"/>
      <c r="B1" s="348" t="s">
        <v>278</v>
      </c>
      <c r="C1" s="348"/>
      <c r="D1" s="348"/>
      <c r="E1" s="348"/>
      <c r="F1" s="348"/>
      <c r="G1" s="348"/>
      <c r="H1" s="348"/>
      <c r="I1" s="348"/>
      <c r="J1" s="348"/>
      <c r="K1" s="348"/>
      <c r="L1" s="348"/>
      <c r="M1" s="348"/>
      <c r="N1" s="348"/>
      <c r="O1" s="348"/>
    </row>
    <row r="2" spans="1:15" ht="24.6" x14ac:dyDescent="0.25">
      <c r="A2" s="96"/>
      <c r="B2" s="349"/>
      <c r="C2" s="349"/>
      <c r="D2" s="349"/>
      <c r="E2" s="349"/>
      <c r="F2" s="349"/>
      <c r="G2" s="349"/>
      <c r="H2" s="349"/>
      <c r="I2" s="349"/>
      <c r="J2" s="349"/>
      <c r="K2" s="349"/>
      <c r="L2" s="349"/>
      <c r="M2" s="349"/>
      <c r="N2" s="349"/>
      <c r="O2" s="349"/>
    </row>
    <row r="3" spans="1:15" x14ac:dyDescent="0.25">
      <c r="A3" s="82"/>
      <c r="B3" s="41"/>
      <c r="C3" s="42" t="s">
        <v>66</v>
      </c>
      <c r="D3" s="42" t="s">
        <v>67</v>
      </c>
      <c r="E3" s="42" t="s">
        <v>68</v>
      </c>
      <c r="F3" s="42" t="s">
        <v>69</v>
      </c>
      <c r="G3" s="42" t="s">
        <v>70</v>
      </c>
      <c r="H3" s="42" t="s">
        <v>71</v>
      </c>
      <c r="I3" s="42" t="s">
        <v>72</v>
      </c>
      <c r="J3" s="42" t="s">
        <v>73</v>
      </c>
      <c r="K3" s="42" t="s">
        <v>74</v>
      </c>
      <c r="L3" s="42" t="s">
        <v>75</v>
      </c>
      <c r="M3" s="42" t="s">
        <v>76</v>
      </c>
      <c r="N3" s="42" t="s">
        <v>77</v>
      </c>
      <c r="O3" s="42" t="s">
        <v>236</v>
      </c>
    </row>
    <row r="4" spans="1:15" x14ac:dyDescent="0.25">
      <c r="A4" s="82"/>
      <c r="B4" s="44" t="s">
        <v>194</v>
      </c>
      <c r="C4" s="45">
        <f>'3.1. My Income Tax Calculation'!$P$38/12</f>
        <v>147171352.87420717</v>
      </c>
      <c r="D4" s="45">
        <f>'3.1. My Income Tax Calculation'!$P$38/12</f>
        <v>147171352.87420717</v>
      </c>
      <c r="E4" s="45">
        <f>'3.1. My Income Tax Calculation'!$P$38/12</f>
        <v>147171352.87420717</v>
      </c>
      <c r="F4" s="45">
        <f>'3.1. My Income Tax Calculation'!$P$38/12</f>
        <v>147171352.87420717</v>
      </c>
      <c r="G4" s="45">
        <f>'3.1. My Income Tax Calculation'!$P$38/12</f>
        <v>147171352.87420717</v>
      </c>
      <c r="H4" s="45">
        <f>'3.1. My Income Tax Calculation'!$P$38/12</f>
        <v>147171352.87420717</v>
      </c>
      <c r="I4" s="45">
        <f>'3.1. My Income Tax Calculation'!$P$38/12</f>
        <v>147171352.87420717</v>
      </c>
      <c r="J4" s="45">
        <f>'3.1. My Income Tax Calculation'!$P$38/12</f>
        <v>147171352.87420717</v>
      </c>
      <c r="K4" s="45">
        <f>'3.1. My Income Tax Calculation'!$P$38/12</f>
        <v>147171352.87420717</v>
      </c>
      <c r="L4" s="45">
        <f>'3.1. My Income Tax Calculation'!$P$38/12</f>
        <v>147171352.87420717</v>
      </c>
      <c r="M4" s="45">
        <f>'3.1. My Income Tax Calculation'!$P$38/12</f>
        <v>147171352.87420717</v>
      </c>
      <c r="N4" s="45">
        <f>'3.1. My Income Tax Calculation'!$P$38/12</f>
        <v>147171352.87420717</v>
      </c>
      <c r="O4" s="45" t="s">
        <v>173</v>
      </c>
    </row>
    <row r="5" spans="1:15" x14ac:dyDescent="0.25">
      <c r="A5" s="82"/>
      <c r="B5" s="44" t="s">
        <v>246</v>
      </c>
      <c r="C5" s="45">
        <f>'3.2. My wife''s Tax Calc'!$P$38/12</f>
        <v>66041378.175584286</v>
      </c>
      <c r="D5" s="45">
        <f>'3.2. My wife''s Tax Calc'!$P$38/12</f>
        <v>66041378.175584286</v>
      </c>
      <c r="E5" s="45">
        <f>'3.2. My wife''s Tax Calc'!$P$38/12</f>
        <v>66041378.175584286</v>
      </c>
      <c r="F5" s="45">
        <f>'3.2. My wife''s Tax Calc'!$P$38/12</f>
        <v>66041378.175584286</v>
      </c>
      <c r="G5" s="45">
        <f>'3.2. My wife''s Tax Calc'!$P$38/12</f>
        <v>66041378.175584286</v>
      </c>
      <c r="H5" s="45">
        <f>'3.2. My wife''s Tax Calc'!$P$38/12</f>
        <v>66041378.175584286</v>
      </c>
      <c r="I5" s="45">
        <f>'3.2. My wife''s Tax Calc'!$P$38/12</f>
        <v>66041378.175584286</v>
      </c>
      <c r="J5" s="45">
        <f>'3.2. My wife''s Tax Calc'!$P$38/12</f>
        <v>66041378.175584286</v>
      </c>
      <c r="K5" s="45">
        <f>'3.2. My wife''s Tax Calc'!$P$38/12</f>
        <v>66041378.175584286</v>
      </c>
      <c r="L5" s="45">
        <f>'3.2. My wife''s Tax Calc'!$P$38/12</f>
        <v>66041378.175584286</v>
      </c>
      <c r="M5" s="45">
        <f>'3.2. My wife''s Tax Calc'!$P$38/12</f>
        <v>66041378.175584286</v>
      </c>
      <c r="N5" s="45">
        <f>'3.2. My wife''s Tax Calc'!$P$38/12</f>
        <v>66041378.175584286</v>
      </c>
      <c r="O5" s="45" t="s">
        <v>173</v>
      </c>
    </row>
    <row r="6" spans="1:15" x14ac:dyDescent="0.25">
      <c r="A6" s="82"/>
      <c r="B6" s="46" t="s">
        <v>209</v>
      </c>
      <c r="C6" s="47">
        <f>SUM(C4:C5)</f>
        <v>213212731.04979146</v>
      </c>
      <c r="D6" s="47">
        <f t="shared" ref="D6:J6" si="0">SUM(D4:D5)</f>
        <v>213212731.04979146</v>
      </c>
      <c r="E6" s="47">
        <f t="shared" si="0"/>
        <v>213212731.04979146</v>
      </c>
      <c r="F6" s="47">
        <f t="shared" si="0"/>
        <v>213212731.04979146</v>
      </c>
      <c r="G6" s="47">
        <f t="shared" si="0"/>
        <v>213212731.04979146</v>
      </c>
      <c r="H6" s="47">
        <f t="shared" si="0"/>
        <v>213212731.04979146</v>
      </c>
      <c r="I6" s="47">
        <f t="shared" si="0"/>
        <v>213212731.04979146</v>
      </c>
      <c r="J6" s="47">
        <f t="shared" si="0"/>
        <v>213212731.04979146</v>
      </c>
      <c r="K6" s="47">
        <f>SUM(K4:K5)</f>
        <v>213212731.04979146</v>
      </c>
      <c r="L6" s="47">
        <f t="shared" ref="L6:N6" si="1">SUM(L4:L5)</f>
        <v>213212731.04979146</v>
      </c>
      <c r="M6" s="47">
        <f t="shared" si="1"/>
        <v>213212731.04979146</v>
      </c>
      <c r="N6" s="47">
        <f t="shared" si="1"/>
        <v>213212731.04979146</v>
      </c>
      <c r="O6" s="47">
        <f>SUM(C6:N6)</f>
        <v>2558552772.597497</v>
      </c>
    </row>
    <row r="7" spans="1:15" x14ac:dyDescent="0.25">
      <c r="A7" s="82"/>
      <c r="B7" s="52" t="s">
        <v>78</v>
      </c>
      <c r="C7" s="53" t="s">
        <v>173</v>
      </c>
      <c r="D7" s="53" t="s">
        <v>173</v>
      </c>
      <c r="E7" s="53" t="s">
        <v>173</v>
      </c>
      <c r="F7" s="53" t="s">
        <v>173</v>
      </c>
      <c r="G7" s="53" t="s">
        <v>173</v>
      </c>
      <c r="H7" s="53" t="s">
        <v>173</v>
      </c>
      <c r="I7" s="53" t="s">
        <v>173</v>
      </c>
      <c r="J7" s="53" t="s">
        <v>173</v>
      </c>
      <c r="K7" s="53" t="s">
        <v>173</v>
      </c>
      <c r="L7" s="53" t="s">
        <v>173</v>
      </c>
      <c r="M7" s="53" t="s">
        <v>173</v>
      </c>
      <c r="N7" s="53" t="s">
        <v>173</v>
      </c>
      <c r="O7" s="91" t="s">
        <v>173</v>
      </c>
    </row>
    <row r="8" spans="1:15" x14ac:dyDescent="0.25">
      <c r="A8" s="82"/>
      <c r="B8" s="48" t="s">
        <v>79</v>
      </c>
      <c r="C8" s="54" t="s">
        <v>173</v>
      </c>
      <c r="D8" s="54" t="s">
        <v>173</v>
      </c>
      <c r="E8" s="54" t="s">
        <v>173</v>
      </c>
      <c r="F8" s="54" t="s">
        <v>173</v>
      </c>
      <c r="G8" s="54" t="s">
        <v>173</v>
      </c>
      <c r="H8" s="54" t="s">
        <v>173</v>
      </c>
      <c r="I8" s="54" t="s">
        <v>173</v>
      </c>
      <c r="J8" s="54" t="s">
        <v>173</v>
      </c>
      <c r="K8" s="54" t="s">
        <v>173</v>
      </c>
      <c r="L8" s="54" t="s">
        <v>173</v>
      </c>
      <c r="M8" s="54" t="s">
        <v>173</v>
      </c>
      <c r="N8" s="54" t="s">
        <v>173</v>
      </c>
      <c r="O8" s="91" t="s">
        <v>173</v>
      </c>
    </row>
    <row r="9" spans="1:15" x14ac:dyDescent="0.25">
      <c r="A9" s="83"/>
      <c r="B9" s="49" t="s">
        <v>195</v>
      </c>
      <c r="C9" s="50">
        <f>'7.6. Stage 7&amp;8 budget'!C179*(1+'7.7. Stage 9&amp;10&amp;11'!$K$29)</f>
        <v>541719.09712541522</v>
      </c>
      <c r="D9" s="50">
        <v>0</v>
      </c>
      <c r="E9" s="50">
        <v>0</v>
      </c>
      <c r="F9" s="50">
        <v>0</v>
      </c>
      <c r="G9" s="50">
        <v>0</v>
      </c>
      <c r="H9" s="50">
        <v>0</v>
      </c>
      <c r="I9" s="50">
        <v>0</v>
      </c>
      <c r="J9" s="50">
        <v>0</v>
      </c>
      <c r="K9" s="50">
        <v>0</v>
      </c>
      <c r="L9" s="50">
        <v>0</v>
      </c>
      <c r="M9" s="50">
        <v>0</v>
      </c>
      <c r="N9" s="50">
        <v>0</v>
      </c>
      <c r="O9" s="90">
        <f t="shared" ref="O9:O12" si="2">SUM(C9:N9)</f>
        <v>541719.09712541522</v>
      </c>
    </row>
    <row r="10" spans="1:15" x14ac:dyDescent="0.25">
      <c r="A10" s="82"/>
      <c r="B10" s="51" t="s">
        <v>178</v>
      </c>
      <c r="C10" s="50">
        <f>'7.6. Stage 7&amp;8 budget'!C180*(1+'7.7. Stage 9&amp;10&amp;11'!$K$29)</f>
        <v>4103932.5539804203</v>
      </c>
      <c r="D10" s="50">
        <f>'7.6. Stage 7&amp;8 budget'!D180*(1+'7.7. Stage 9&amp;10&amp;11'!$K$29)</f>
        <v>4103932.5539804203</v>
      </c>
      <c r="E10" s="50">
        <f>'7.6. Stage 7&amp;8 budget'!E180*(1+'7.7. Stage 9&amp;10&amp;11'!$K$29)</f>
        <v>4103932.5539804203</v>
      </c>
      <c r="F10" s="50">
        <f>'7.6. Stage 7&amp;8 budget'!F180*(1+'7.7. Stage 9&amp;10&amp;11'!$K$29)</f>
        <v>4103932.5539804203</v>
      </c>
      <c r="G10" s="50">
        <f>'7.6. Stage 7&amp;8 budget'!G180*(1+'7.7. Stage 9&amp;10&amp;11'!$K$29)</f>
        <v>4103932.5539804203</v>
      </c>
      <c r="H10" s="50">
        <f>'7.6. Stage 7&amp;8 budget'!H180*(1+'7.7. Stage 9&amp;10&amp;11'!$K$29)</f>
        <v>4103932.5539804203</v>
      </c>
      <c r="I10" s="50">
        <f>'7.6. Stage 7&amp;8 budget'!I180*(1+'7.7. Stage 9&amp;10&amp;11'!$K$29)</f>
        <v>4103932.5539804203</v>
      </c>
      <c r="J10" s="50">
        <f>'7.6. Stage 7&amp;8 budget'!J180*(1+'7.7. Stage 9&amp;10&amp;11'!$K$29)</f>
        <v>4103932.5539804203</v>
      </c>
      <c r="K10" s="50">
        <f>'7.6. Stage 7&amp;8 budget'!K180*(1+'7.7. Stage 9&amp;10&amp;11'!$K$29)</f>
        <v>4103932.5539804203</v>
      </c>
      <c r="L10" s="50">
        <f>'7.6. Stage 7&amp;8 budget'!L180*(1+'7.7. Stage 9&amp;10&amp;11'!$K$29)</f>
        <v>4103932.5539804203</v>
      </c>
      <c r="M10" s="50">
        <f>'7.6. Stage 7&amp;8 budget'!M180*(1+'7.7. Stage 9&amp;10&amp;11'!$K$29)</f>
        <v>4103932.5539804203</v>
      </c>
      <c r="N10" s="50">
        <f>'7.6. Stage 7&amp;8 budget'!N180*(1+'7.7. Stage 9&amp;10&amp;11'!$K$29)</f>
        <v>4103932.5539804203</v>
      </c>
      <c r="O10" s="90">
        <f t="shared" si="2"/>
        <v>49247190.64776504</v>
      </c>
    </row>
    <row r="11" spans="1:15" x14ac:dyDescent="0.25">
      <c r="A11" s="84"/>
      <c r="B11" s="51" t="s">
        <v>248</v>
      </c>
      <c r="C11" s="50">
        <f>'7.6. Stage 7&amp;8 budget'!C181*(1+'7.7. Stage 9&amp;10&amp;11'!$K$29)</f>
        <v>492471.90647765034</v>
      </c>
      <c r="D11" s="50">
        <f>'7.6. Stage 7&amp;8 budget'!D181*(1+'7.7. Stage 9&amp;10&amp;11'!$K$29)</f>
        <v>492471.90647765034</v>
      </c>
      <c r="E11" s="50">
        <f>'7.6. Stage 7&amp;8 budget'!E181*(1+'7.7. Stage 9&amp;10&amp;11'!$K$29)</f>
        <v>492471.90647765034</v>
      </c>
      <c r="F11" s="50">
        <f>'7.6. Stage 7&amp;8 budget'!F181*(1+'7.7. Stage 9&amp;10&amp;11'!$K$29)</f>
        <v>492471.90647765034</v>
      </c>
      <c r="G11" s="50">
        <f>'7.6. Stage 7&amp;8 budget'!G181*(1+'7.7. Stage 9&amp;10&amp;11'!$K$29)</f>
        <v>492471.90647765034</v>
      </c>
      <c r="H11" s="50">
        <f>'7.6. Stage 7&amp;8 budget'!H181*(1+'7.7. Stage 9&amp;10&amp;11'!$K$29)</f>
        <v>492471.90647765034</v>
      </c>
      <c r="I11" s="50">
        <f>'7.6. Stage 7&amp;8 budget'!I181*(1+'7.7. Stage 9&amp;10&amp;11'!$K$29)</f>
        <v>492471.90647765034</v>
      </c>
      <c r="J11" s="50">
        <f>'7.6. Stage 7&amp;8 budget'!J181*(1+'7.7. Stage 9&amp;10&amp;11'!$K$29)</f>
        <v>492471.90647765034</v>
      </c>
      <c r="K11" s="50">
        <f>'7.6. Stage 7&amp;8 budget'!K181*(1+'7.7. Stage 9&amp;10&amp;11'!$K$29)</f>
        <v>492471.90647765034</v>
      </c>
      <c r="L11" s="50">
        <f>'7.6. Stage 7&amp;8 budget'!L181*(1+'7.7. Stage 9&amp;10&amp;11'!$K$29)</f>
        <v>492471.90647765034</v>
      </c>
      <c r="M11" s="50">
        <f>'7.6. Stage 7&amp;8 budget'!M181*(1+'7.7. Stage 9&amp;10&amp;11'!$K$29)</f>
        <v>492471.90647765034</v>
      </c>
      <c r="N11" s="50">
        <f>'7.6. Stage 7&amp;8 budget'!N181*(1+'7.7. Stage 9&amp;10&amp;11'!$K$29)</f>
        <v>492471.90647765034</v>
      </c>
      <c r="O11" s="90">
        <f t="shared" si="2"/>
        <v>5909662.8777318047</v>
      </c>
    </row>
    <row r="12" spans="1:15" x14ac:dyDescent="0.25">
      <c r="A12" s="82"/>
      <c r="B12" s="46" t="s">
        <v>207</v>
      </c>
      <c r="C12" s="47">
        <f t="shared" ref="C12:N12" si="3">SUM(C9:C11)</f>
        <v>5138123.5575834867</v>
      </c>
      <c r="D12" s="47">
        <f t="shared" si="3"/>
        <v>4596404.460458071</v>
      </c>
      <c r="E12" s="47">
        <f t="shared" si="3"/>
        <v>4596404.460458071</v>
      </c>
      <c r="F12" s="47">
        <f t="shared" si="3"/>
        <v>4596404.460458071</v>
      </c>
      <c r="G12" s="47">
        <f t="shared" si="3"/>
        <v>4596404.460458071</v>
      </c>
      <c r="H12" s="47">
        <f t="shared" si="3"/>
        <v>4596404.460458071</v>
      </c>
      <c r="I12" s="47">
        <f t="shared" si="3"/>
        <v>4596404.460458071</v>
      </c>
      <c r="J12" s="47">
        <f t="shared" si="3"/>
        <v>4596404.460458071</v>
      </c>
      <c r="K12" s="47">
        <f t="shared" si="3"/>
        <v>4596404.460458071</v>
      </c>
      <c r="L12" s="47">
        <f t="shared" si="3"/>
        <v>4596404.460458071</v>
      </c>
      <c r="M12" s="47">
        <f t="shared" si="3"/>
        <v>4596404.460458071</v>
      </c>
      <c r="N12" s="47">
        <f t="shared" si="3"/>
        <v>4596404.460458071</v>
      </c>
      <c r="O12" s="47">
        <f t="shared" si="2"/>
        <v>55698572.622622259</v>
      </c>
    </row>
    <row r="13" spans="1:15" x14ac:dyDescent="0.25">
      <c r="A13" s="82"/>
      <c r="B13" s="55" t="s">
        <v>83</v>
      </c>
      <c r="C13" s="59" t="s">
        <v>173</v>
      </c>
      <c r="D13" s="59" t="s">
        <v>173</v>
      </c>
      <c r="E13" s="59" t="s">
        <v>173</v>
      </c>
      <c r="F13" s="59" t="s">
        <v>173</v>
      </c>
      <c r="G13" s="59" t="s">
        <v>173</v>
      </c>
      <c r="H13" s="59" t="s">
        <v>173</v>
      </c>
      <c r="I13" s="59" t="s">
        <v>173</v>
      </c>
      <c r="J13" s="59" t="s">
        <v>173</v>
      </c>
      <c r="K13" s="59" t="s">
        <v>173</v>
      </c>
      <c r="L13" s="59" t="s">
        <v>173</v>
      </c>
      <c r="M13" s="59" t="s">
        <v>173</v>
      </c>
      <c r="N13" s="59" t="s">
        <v>173</v>
      </c>
      <c r="O13" s="91" t="s">
        <v>173</v>
      </c>
    </row>
    <row r="14" spans="1:15" x14ac:dyDescent="0.25">
      <c r="A14" s="82"/>
      <c r="B14" s="57" t="s">
        <v>210</v>
      </c>
      <c r="C14" s="89">
        <f>('7.6. Stage 7&amp;8 budget'!C184*(1+'7.7. Stage 9&amp;10&amp;11'!$K$29))*2/3</f>
        <v>2716803.3507350385</v>
      </c>
      <c r="D14" s="89">
        <f>('7.6. Stage 7&amp;8 budget'!D184*(1+'7.7. Stage 9&amp;10&amp;11'!$K$29))*2/3</f>
        <v>3274938.1780763757</v>
      </c>
      <c r="E14" s="89">
        <f>('7.6. Stage 7&amp;8 budget'!E184*(1+'7.7. Stage 9&amp;10&amp;11'!$K$29))*2/3</f>
        <v>3020494.3597295866</v>
      </c>
      <c r="F14" s="89">
        <f>('7.6. Stage 7&amp;8 budget'!F184*(1+'7.7. Stage 9&amp;10&amp;11'!$K$29))*2/3</f>
        <v>2823505.5971385292</v>
      </c>
      <c r="G14" s="89">
        <f>('7.6. Stage 7&amp;8 budget'!G184*(1+'7.7. Stage 9&amp;10&amp;11'!$K$29))*2/3</f>
        <v>2593685.3741156249</v>
      </c>
      <c r="H14" s="89">
        <f>('7.6. Stage 7&amp;8 budget'!H184*(1+'7.7. Stage 9&amp;10&amp;11'!$K$29))*2/3</f>
        <v>3250314.5827524923</v>
      </c>
      <c r="I14" s="89">
        <f>('7.6. Stage 7&amp;8 budget'!I184*(1+'7.7. Stage 9&amp;10&amp;11'!$K$29))*2/3</f>
        <v>3792033.679877907</v>
      </c>
      <c r="J14" s="89">
        <f>('7.6. Stage 7&amp;8 budget'!J184*(1+'7.7. Stage 9&amp;10&amp;11'!$K$29))*2/3</f>
        <v>3636084.2428266518</v>
      </c>
      <c r="K14" s="89">
        <f>('7.6. Stage 7&amp;8 budget'!K184*(1+'7.7. Stage 9&amp;10&amp;11'!$K$29))*2/3</f>
        <v>2807089.8669226062</v>
      </c>
      <c r="L14" s="89">
        <f>('7.6. Stage 7&amp;8 budget'!L184*(1+'7.7. Stage 9&amp;10&amp;11'!$K$29))*2/3</f>
        <v>2880960.6528942548</v>
      </c>
      <c r="M14" s="89">
        <f>('7.6. Stage 7&amp;8 budget'!M184*(1+'7.7. Stage 9&amp;10&amp;11'!$K$29))*2/3</f>
        <v>2741426.9460589197</v>
      </c>
      <c r="N14" s="89">
        <f>('7.6. Stage 7&amp;8 budget'!N184*(1+'7.7. Stage 9&amp;10&amp;11'!$K$29))*2/3</f>
        <v>2963039.3039738615</v>
      </c>
      <c r="O14" s="92">
        <f t="shared" ref="O14:O22" si="4">SUM(C14:N14)</f>
        <v>36500376.135101847</v>
      </c>
    </row>
    <row r="15" spans="1:15" x14ac:dyDescent="0.25">
      <c r="A15" s="82"/>
      <c r="B15" s="57" t="s">
        <v>203</v>
      </c>
      <c r="C15" s="89">
        <f>('7.6. Stage 7&amp;8 budget'!C185*(1+'7.7. Stage 9&amp;10&amp;11'!$K$29))*2/3</f>
        <v>9808398.8040132001</v>
      </c>
      <c r="D15" s="89">
        <f>('7.6. Stage 7&amp;8 budget'!D185*(1+'7.7. Stage 9&amp;10&amp;11'!$K$29))*2/3</f>
        <v>10563522.393945603</v>
      </c>
      <c r="E15" s="89">
        <f>('7.6. Stage 7&amp;8 budget'!E185*(1+'7.7. Stage 9&amp;10&amp;11'!$K$29))*2/3</f>
        <v>11843949.350787492</v>
      </c>
      <c r="F15" s="89">
        <f>('7.6. Stage 7&amp;8 budget'!F185*(1+'7.7. Stage 9&amp;10&amp;11'!$K$29))*2/3</f>
        <v>8979404.4281091634</v>
      </c>
      <c r="G15" s="89">
        <f>('7.6. Stage 7&amp;8 budget'!G185*(1+'7.7. Stage 9&amp;10&amp;11'!$K$29))*2/3</f>
        <v>11950651.597190985</v>
      </c>
      <c r="H15" s="89">
        <f>('7.6. Stage 7&amp;8 budget'!H185*(1+'7.7. Stage 9&amp;10&amp;11'!$K$29))*2/3</f>
        <v>11261190.928122269</v>
      </c>
      <c r="I15" s="89">
        <f>('7.6. Stage 7&amp;8 budget'!I185*(1+'7.7. Stage 9&amp;10&amp;11'!$K$29))*2/3</f>
        <v>10333702.170922702</v>
      </c>
      <c r="J15" s="89">
        <f>('7.6. Stage 7&amp;8 budget'!J185*(1+'7.7. Stage 9&amp;10&amp;11'!$K$29))*2/3</f>
        <v>12287174.066617377</v>
      </c>
      <c r="K15" s="89">
        <f>('7.6. Stage 7&amp;8 budget'!K185*(1+'7.7. Stage 9&amp;10&amp;11'!$K$29))*2/3</f>
        <v>12008106.652946703</v>
      </c>
      <c r="L15" s="89">
        <f>('7.6. Stage 7&amp;8 budget'!L185*(1+'7.7. Stage 9&amp;10&amp;11'!$K$29))*2/3</f>
        <v>12008106.652946703</v>
      </c>
      <c r="M15" s="89">
        <f>('7.6. Stage 7&amp;8 budget'!M185*(1+'7.7. Stage 9&amp;10&amp;11'!$K$29))*2/3</f>
        <v>9332342.6277514771</v>
      </c>
      <c r="N15" s="89">
        <f>('7.6. Stage 7&amp;8 budget'!N185*(1+'7.7. Stage 9&amp;10&amp;11'!$K$29))*2/3</f>
        <v>11507426.881361099</v>
      </c>
      <c r="O15" s="92">
        <f t="shared" si="4"/>
        <v>131883976.55471477</v>
      </c>
    </row>
    <row r="16" spans="1:15" x14ac:dyDescent="0.25">
      <c r="A16" s="82"/>
      <c r="B16" s="58" t="s">
        <v>84</v>
      </c>
      <c r="C16" s="89">
        <f>('7.6. Stage 7&amp;8 budget'!C186*(1+'7.7. Stage 9&amp;10&amp;11'!$K$29))*2/3</f>
        <v>8675713.4191146046</v>
      </c>
      <c r="D16" s="89">
        <f>('7.6. Stage 7&amp;8 budget'!D186*(1+'7.7. Stage 9&amp;10&amp;11'!$K$29))*2/3</f>
        <v>9471876.3345868047</v>
      </c>
      <c r="E16" s="89">
        <f>('7.6. Stage 7&amp;8 budget'!E186*(1+'7.7. Stage 9&amp;10&amp;11'!$K$29))*2/3</f>
        <v>9504707.7950186487</v>
      </c>
      <c r="F16" s="89">
        <f>('7.6. Stage 7&amp;8 budget'!F186*(1+'7.7. Stage 9&amp;10&amp;11'!$K$29))*2/3</f>
        <v>9816606.669121163</v>
      </c>
      <c r="G16" s="89">
        <f>('7.6. Stage 7&amp;8 budget'!G186*(1+'7.7. Stage 9&amp;10&amp;11'!$K$29))*2/3</f>
        <v>11614129.127764588</v>
      </c>
      <c r="H16" s="89">
        <f>('7.6. Stage 7&amp;8 budget'!H186*(1+'7.7. Stage 9&amp;10&amp;11'!$K$29))*2/3</f>
        <v>10046426.892144065</v>
      </c>
      <c r="I16" s="89">
        <f>('7.6. Stage 7&amp;8 budget'!I186*(1+'7.7. Stage 9&amp;10&amp;11'!$K$29))*2/3</f>
        <v>10432196.55221823</v>
      </c>
      <c r="J16" s="89">
        <f>('7.6. Stage 7&amp;8 budget'!J186*(1+'7.7. Stage 9&amp;10&amp;11'!$K$29))*2/3</f>
        <v>12008106.652946703</v>
      </c>
      <c r="K16" s="89">
        <f>('7.6. Stage 7&amp;8 budget'!K186*(1+'7.7. Stage 9&amp;10&amp;11'!$K$29))*2/3</f>
        <v>10990331.379559567</v>
      </c>
      <c r="L16" s="89">
        <f>('7.6. Stage 7&amp;8 budget'!L186*(1+'7.7. Stage 9&amp;10&amp;11'!$K$29))*2/3</f>
        <v>10973915.649343643</v>
      </c>
      <c r="M16" s="89">
        <f>('7.6. Stage 7&amp;8 budget'!M186*(1+'7.7. Stage 9&amp;10&amp;11'!$K$29))*2/3</f>
        <v>11745454.969491957</v>
      </c>
      <c r="N16" s="89">
        <f>('7.6. Stage 7&amp;8 budget'!N186*(1+'7.7. Stage 9&amp;10&amp;11'!$K$29))*2/3</f>
        <v>9430837.0090470035</v>
      </c>
      <c r="O16" s="92">
        <f t="shared" si="4"/>
        <v>124710302.45035698</v>
      </c>
    </row>
    <row r="17" spans="1:25" x14ac:dyDescent="0.25">
      <c r="A17" s="82"/>
      <c r="B17" s="57" t="s">
        <v>85</v>
      </c>
      <c r="C17" s="89">
        <f>('7.6. Stage 7&amp;8 budget'!C187*(1+'7.7. Stage 9&amp;10&amp;11'!$K$29))*2/3</f>
        <v>10079258.352575911</v>
      </c>
      <c r="D17" s="89">
        <f>('7.6. Stage 7&amp;8 budget'!D187*(1+'7.7. Stage 9&amp;10&amp;11'!$K$29))*2/3</f>
        <v>8626466.2284668479</v>
      </c>
      <c r="E17" s="89">
        <f>('7.6. Stage 7&amp;8 budget'!E187*(1+'7.7. Stage 9&amp;10&amp;11'!$K$29))*2/3</f>
        <v>8930157.2374613918</v>
      </c>
      <c r="F17" s="89">
        <f>('7.6. Stage 7&amp;8 budget'!F187*(1+'7.7. Stage 9&amp;10&amp;11'!$K$29))*2/3</f>
        <v>9069690.9442967251</v>
      </c>
      <c r="G17" s="89">
        <f>('7.6. Stage 7&amp;8 budget'!G187*(1+'7.7. Stage 9&amp;10&amp;11'!$K$29))*2/3</f>
        <v>12196887.550429804</v>
      </c>
      <c r="H17" s="89">
        <f>('7.6. Stage 7&amp;8 budget'!H187*(1+'7.7. Stage 9&amp;10&amp;11'!$K$29))*2/3</f>
        <v>8954780.8327852786</v>
      </c>
      <c r="I17" s="89">
        <f>('7.6. Stage 7&amp;8 budget'!I187*(1+'7.7. Stage 9&amp;10&amp;11'!$K$29))*2/3</f>
        <v>10391157.226678422</v>
      </c>
      <c r="J17" s="89">
        <f>('7.6. Stage 7&amp;8 budget'!J187*(1+'7.7. Stage 9&amp;10&amp;11'!$K$29))*2/3</f>
        <v>8224280.8381767618</v>
      </c>
      <c r="K17" s="89">
        <f>('7.6. Stage 7&amp;8 budget'!K187*(1+'7.7. Stage 9&amp;10&amp;11'!$K$29))*2/3</f>
        <v>10694848.235672975</v>
      </c>
      <c r="L17" s="89">
        <f>('7.6. Stage 7&amp;8 budget'!L187*(1+'7.7. Stage 9&amp;10&amp;11'!$K$29))*2/3</f>
        <v>8495140.3867394701</v>
      </c>
      <c r="M17" s="89">
        <f>('7.6. Stage 7&amp;8 budget'!M187*(1+'7.7. Stage 9&amp;10&amp;11'!$K$29))*2/3</f>
        <v>10817966.212292386</v>
      </c>
      <c r="N17" s="89">
        <f>('7.6. Stage 7&amp;8 budget'!N187*(1+'7.7. Stage 9&amp;10&amp;11'!$K$29))*2/3</f>
        <v>10300870.710490851</v>
      </c>
      <c r="O17" s="92">
        <f t="shared" si="4"/>
        <v>116781504.75606681</v>
      </c>
    </row>
    <row r="18" spans="1:25" x14ac:dyDescent="0.25">
      <c r="A18" s="84"/>
      <c r="B18" s="58" t="s">
        <v>249</v>
      </c>
      <c r="C18" s="89">
        <f t="shared" ref="C18:N18" si="5">C6*5%</f>
        <v>10660636.552489573</v>
      </c>
      <c r="D18" s="89">
        <f t="shared" si="5"/>
        <v>10660636.552489573</v>
      </c>
      <c r="E18" s="89">
        <f t="shared" si="5"/>
        <v>10660636.552489573</v>
      </c>
      <c r="F18" s="89">
        <f t="shared" si="5"/>
        <v>10660636.552489573</v>
      </c>
      <c r="G18" s="89">
        <f t="shared" si="5"/>
        <v>10660636.552489573</v>
      </c>
      <c r="H18" s="89">
        <f t="shared" si="5"/>
        <v>10660636.552489573</v>
      </c>
      <c r="I18" s="89">
        <f t="shared" si="5"/>
        <v>10660636.552489573</v>
      </c>
      <c r="J18" s="89">
        <f t="shared" si="5"/>
        <v>10660636.552489573</v>
      </c>
      <c r="K18" s="89">
        <f t="shared" si="5"/>
        <v>10660636.552489573</v>
      </c>
      <c r="L18" s="89">
        <f t="shared" si="5"/>
        <v>10660636.552489573</v>
      </c>
      <c r="M18" s="89">
        <f t="shared" si="5"/>
        <v>10660636.552489573</v>
      </c>
      <c r="N18" s="89">
        <f t="shared" si="5"/>
        <v>10660636.552489573</v>
      </c>
      <c r="O18" s="92">
        <f t="shared" si="4"/>
        <v>127927638.6298749</v>
      </c>
    </row>
    <row r="19" spans="1:25" x14ac:dyDescent="0.25">
      <c r="A19" s="84"/>
      <c r="B19" s="58" t="s">
        <v>180</v>
      </c>
      <c r="C19" s="89">
        <f>('7.6. Stage 7&amp;8 budget'!C189*(1+'7.7. Stage 9&amp;10&amp;11'!$K$29))*2/3</f>
        <v>8393966.7052988578</v>
      </c>
      <c r="D19" s="89">
        <f>('7.6. Stage 7&amp;8 budget'!D189*(1+'7.7. Stage 9&amp;10&amp;11'!$K$29))*2/3</f>
        <v>7184087.1394699542</v>
      </c>
      <c r="E19" s="89">
        <f>('7.6. Stage 7&amp;8 budget'!E189*(1+'7.7. Stage 9&amp;10&amp;11'!$K$29))*2/3</f>
        <v>7436999.8170726029</v>
      </c>
      <c r="F19" s="89">
        <f>('7.6. Stage 7&amp;8 budget'!F189*(1+'7.7. Stage 9&amp;10&amp;11'!$K$29))*2/3</f>
        <v>7553202.9392143609</v>
      </c>
      <c r="G19" s="89">
        <f>('7.6. Stage 7&amp;8 budget'!G189*(1+'7.7. Stage 9&amp;10&amp;11'!$K$29))*2/3</f>
        <v>10157519.970744381</v>
      </c>
      <c r="H19" s="89">
        <f>('7.6. Stage 7&amp;8 budget'!H189*(1+'7.7. Stage 9&amp;10&amp;11'!$K$29))*2/3</f>
        <v>7457506.2503917404</v>
      </c>
      <c r="I19" s="89">
        <f>('7.6. Stage 7&amp;8 budget'!I189*(1+'7.7. Stage 9&amp;10&amp;11'!$K$29))*2/3</f>
        <v>8653714.8606745545</v>
      </c>
      <c r="J19" s="89">
        <f>('7.6. Stage 7&amp;8 budget'!J189*(1+'7.7. Stage 9&amp;10&amp;11'!$K$29))*2/3</f>
        <v>6849148.7285907613</v>
      </c>
      <c r="K19" s="89">
        <f>('7.6. Stage 7&amp;8 budget'!K189*(1+'7.7. Stage 9&amp;10&amp;11'!$K$29))*2/3</f>
        <v>8906627.5382772107</v>
      </c>
      <c r="L19" s="89">
        <f>('7.6. Stage 7&amp;8 budget'!L189*(1+'7.7. Stage 9&amp;10&amp;11'!$K$29))*2/3</f>
        <v>7074719.4951012349</v>
      </c>
      <c r="M19" s="89">
        <f>('7.6. Stage 7&amp;8 budget'!M189*(1+'7.7. Stage 9&amp;10&amp;11'!$K$29))*2/3</f>
        <v>9009159.7048728783</v>
      </c>
      <c r="N19" s="89">
        <f>('7.6. Stage 7&amp;8 budget'!N189*(1+'7.7. Stage 9&amp;10&amp;11'!$K$29))*2/3</f>
        <v>8578524.6051710621</v>
      </c>
      <c r="O19" s="92">
        <f t="shared" si="4"/>
        <v>97255177.754879594</v>
      </c>
    </row>
    <row r="20" spans="1:25" x14ac:dyDescent="0.25">
      <c r="A20" s="84"/>
      <c r="B20" s="58" t="s">
        <v>86</v>
      </c>
      <c r="C20" s="89">
        <f>('7.6. Stage 7&amp;8 budget'!C190*(1+'7.7. Stage 9&amp;10&amp;11'!$K$29))*2/3</f>
        <v>7450993.5029393816</v>
      </c>
      <c r="D20" s="89">
        <f>('7.6. Stage 7&amp;8 budget'!D190*(1+'7.7. Stage 9&amp;10&amp;11'!$K$29))*2/3</f>
        <v>7450993.5029393816</v>
      </c>
      <c r="E20" s="89">
        <f>('7.6. Stage 7&amp;8 budget'!E190*(1+'7.7. Stage 9&amp;10&amp;11'!$K$29))*2/3</f>
        <v>7450993.5029393816</v>
      </c>
      <c r="F20" s="89">
        <f>('7.6. Stage 7&amp;8 budget'!F190*(1+'7.7. Stage 9&amp;10&amp;11'!$K$29))*2/3</f>
        <v>7450993.5029393816</v>
      </c>
      <c r="G20" s="89">
        <f>('7.6. Stage 7&amp;8 budget'!G190*(1+'7.7. Stage 9&amp;10&amp;11'!$K$29))*2/3</f>
        <v>7450993.5029393816</v>
      </c>
      <c r="H20" s="89">
        <f>('7.6. Stage 7&amp;8 budget'!H190*(1+'7.7. Stage 9&amp;10&amp;11'!$K$29))*2/3</f>
        <v>7450993.5029393816</v>
      </c>
      <c r="I20" s="89">
        <f>('7.6. Stage 7&amp;8 budget'!I190*(1+'7.7. Stage 9&amp;10&amp;11'!$K$29))*2/3</f>
        <v>7450993.5029393816</v>
      </c>
      <c r="J20" s="89">
        <f>('7.6. Stage 7&amp;8 budget'!J190*(1+'7.7. Stage 9&amp;10&amp;11'!$K$29))*2/3</f>
        <v>7450993.5029393816</v>
      </c>
      <c r="K20" s="89">
        <f>('7.6. Stage 7&amp;8 budget'!K190*(1+'7.7. Stage 9&amp;10&amp;11'!$K$29))*2/3</f>
        <v>7450993.5029393816</v>
      </c>
      <c r="L20" s="89">
        <f>('7.6. Stage 7&amp;8 budget'!L190*(1+'7.7. Stage 9&amp;10&amp;11'!$K$29))*2/3</f>
        <v>7450993.5029393816</v>
      </c>
      <c r="M20" s="89">
        <f>('7.6. Stage 7&amp;8 budget'!M190*(1+'7.7. Stage 9&amp;10&amp;11'!$K$29))*2/3</f>
        <v>7450993.5029393816</v>
      </c>
      <c r="N20" s="89">
        <f>('7.6. Stage 7&amp;8 budget'!N190*(1+'7.7. Stage 9&amp;10&amp;11'!$K$29))*2/3</f>
        <v>7450993.5029393816</v>
      </c>
      <c r="O20" s="92">
        <f t="shared" si="4"/>
        <v>89411922.035272598</v>
      </c>
    </row>
    <row r="21" spans="1:25" x14ac:dyDescent="0.25">
      <c r="A21" s="82"/>
      <c r="B21" s="46" t="s">
        <v>208</v>
      </c>
      <c r="C21" s="47">
        <f t="shared" ref="C21:N21" si="6">SUM(C14:C20)</f>
        <v>57785770.687166564</v>
      </c>
      <c r="D21" s="47">
        <f t="shared" si="6"/>
        <v>57232520.329974532</v>
      </c>
      <c r="E21" s="47">
        <f t="shared" si="6"/>
        <v>58847938.615498677</v>
      </c>
      <c r="F21" s="47">
        <f t="shared" si="6"/>
        <v>56354040.633308895</v>
      </c>
      <c r="G21" s="47">
        <f t="shared" si="6"/>
        <v>66624503.675674334</v>
      </c>
      <c r="H21" s="47">
        <f t="shared" si="6"/>
        <v>59081849.541624792</v>
      </c>
      <c r="I21" s="47">
        <f t="shared" si="6"/>
        <v>61714434.545800768</v>
      </c>
      <c r="J21" s="47">
        <f t="shared" si="6"/>
        <v>61116424.584587209</v>
      </c>
      <c r="K21" s="47">
        <f t="shared" si="6"/>
        <v>63518633.728808008</v>
      </c>
      <c r="L21" s="47">
        <f t="shared" si="6"/>
        <v>59544472.892454259</v>
      </c>
      <c r="M21" s="47">
        <f t="shared" si="6"/>
        <v>61757980.515896566</v>
      </c>
      <c r="N21" s="47">
        <f t="shared" si="6"/>
        <v>60892328.565472826</v>
      </c>
      <c r="O21" s="47">
        <f t="shared" si="4"/>
        <v>724470898.31626737</v>
      </c>
    </row>
    <row r="22" spans="1:25" x14ac:dyDescent="0.25">
      <c r="A22" s="82"/>
      <c r="B22" s="60" t="s">
        <v>87</v>
      </c>
      <c r="C22" s="47">
        <f t="shared" ref="C22:N22" si="7">C12+C21</f>
        <v>62923894.244750053</v>
      </c>
      <c r="D22" s="47">
        <f t="shared" si="7"/>
        <v>61828924.790432602</v>
      </c>
      <c r="E22" s="47">
        <f t="shared" si="7"/>
        <v>63444343.075956747</v>
      </c>
      <c r="F22" s="47">
        <f t="shared" si="7"/>
        <v>60950445.093766965</v>
      </c>
      <c r="G22" s="47">
        <f t="shared" si="7"/>
        <v>71220908.136132404</v>
      </c>
      <c r="H22" s="47">
        <f t="shared" si="7"/>
        <v>63678254.002082862</v>
      </c>
      <c r="I22" s="47">
        <f t="shared" si="7"/>
        <v>66310839.006258838</v>
      </c>
      <c r="J22" s="47">
        <f t="shared" si="7"/>
        <v>65712829.045045279</v>
      </c>
      <c r="K22" s="47">
        <f t="shared" si="7"/>
        <v>68115038.189266086</v>
      </c>
      <c r="L22" s="47">
        <f t="shared" si="7"/>
        <v>64140877.352912329</v>
      </c>
      <c r="M22" s="47">
        <f t="shared" si="7"/>
        <v>66354384.976354636</v>
      </c>
      <c r="N22" s="47">
        <f t="shared" si="7"/>
        <v>65488733.025930896</v>
      </c>
      <c r="O22" s="47">
        <f t="shared" si="4"/>
        <v>780169470.93888962</v>
      </c>
    </row>
    <row r="23" spans="1:25" s="11" customFormat="1" x14ac:dyDescent="0.25">
      <c r="A23" s="82"/>
      <c r="B23" s="108" t="s">
        <v>204</v>
      </c>
      <c r="C23" s="109">
        <f>$O22*(3/12)/12</f>
        <v>16253530.644560201</v>
      </c>
      <c r="D23" s="109">
        <f t="shared" ref="D23:M23" si="8">$O22*(3/12)/12</f>
        <v>16253530.644560201</v>
      </c>
      <c r="E23" s="109">
        <f t="shared" si="8"/>
        <v>16253530.644560201</v>
      </c>
      <c r="F23" s="109">
        <f t="shared" si="8"/>
        <v>16253530.644560201</v>
      </c>
      <c r="G23" s="109">
        <f t="shared" si="8"/>
        <v>16253530.644560201</v>
      </c>
      <c r="H23" s="109">
        <f t="shared" si="8"/>
        <v>16253530.644560201</v>
      </c>
      <c r="I23" s="109">
        <f t="shared" si="8"/>
        <v>16253530.644560201</v>
      </c>
      <c r="J23" s="109">
        <f t="shared" si="8"/>
        <v>16253530.644560201</v>
      </c>
      <c r="K23" s="109">
        <f t="shared" si="8"/>
        <v>16253530.644560201</v>
      </c>
      <c r="L23" s="109">
        <f t="shared" si="8"/>
        <v>16253530.644560201</v>
      </c>
      <c r="M23" s="109">
        <f t="shared" si="8"/>
        <v>16253530.644560201</v>
      </c>
      <c r="N23" s="109">
        <f>$O22*(3/12)/12</f>
        <v>16253530.644560201</v>
      </c>
      <c r="O23" s="109">
        <f t="shared" ref="O23:O26" si="9">SUM(C23:N23)</f>
        <v>195042367.73472238</v>
      </c>
      <c r="P23" s="43"/>
      <c r="Q23" s="43"/>
      <c r="R23" s="40"/>
      <c r="S23" s="40"/>
      <c r="T23" s="40"/>
      <c r="U23" s="40"/>
      <c r="V23" s="40"/>
      <c r="W23" s="40"/>
      <c r="X23" s="40"/>
      <c r="Y23" s="40"/>
    </row>
    <row r="24" spans="1:25" s="11" customFormat="1" x14ac:dyDescent="0.25">
      <c r="A24" s="82"/>
      <c r="B24" s="108" t="s">
        <v>82</v>
      </c>
      <c r="C24" s="109">
        <f>'6. Mortgage payment'!$C$7</f>
        <v>28168245.060798287</v>
      </c>
      <c r="D24" s="109">
        <f>'6. Mortgage payment'!$C$7</f>
        <v>28168245.060798287</v>
      </c>
      <c r="E24" s="109">
        <f>'6. Mortgage payment'!$C$7</f>
        <v>28168245.060798287</v>
      </c>
      <c r="F24" s="109">
        <f>'6. Mortgage payment'!$C$7</f>
        <v>28168245.060798287</v>
      </c>
      <c r="G24" s="109">
        <f>'6. Mortgage payment'!$C$7</f>
        <v>28168245.060798287</v>
      </c>
      <c r="H24" s="109">
        <f>'6. Mortgage payment'!$C$7</f>
        <v>28168245.060798287</v>
      </c>
      <c r="I24" s="109">
        <f>'6. Mortgage payment'!$C$7</f>
        <v>28168245.060798287</v>
      </c>
      <c r="J24" s="109">
        <f>'6. Mortgage payment'!$C$7</f>
        <v>28168245.060798287</v>
      </c>
      <c r="K24" s="109">
        <f>'6. Mortgage payment'!$C$7</f>
        <v>28168245.060798287</v>
      </c>
      <c r="L24" s="109">
        <f>'6. Mortgage payment'!$C$7</f>
        <v>28168245.060798287</v>
      </c>
      <c r="M24" s="109">
        <f>'6. Mortgage payment'!$C$7</f>
        <v>28168245.060798287</v>
      </c>
      <c r="N24" s="109">
        <f>'6. Mortgage payment'!$C$7</f>
        <v>28168245.060798287</v>
      </c>
      <c r="O24" s="109">
        <f t="shared" si="9"/>
        <v>338018940.72957945</v>
      </c>
      <c r="P24" s="43"/>
      <c r="Q24" s="43"/>
      <c r="R24" s="40"/>
      <c r="S24" s="40"/>
      <c r="T24" s="40"/>
      <c r="U24" s="40"/>
      <c r="V24" s="40"/>
      <c r="W24" s="40"/>
      <c r="X24" s="40"/>
      <c r="Y24" s="40"/>
    </row>
    <row r="25" spans="1:25" s="11" customFormat="1" x14ac:dyDescent="0.25">
      <c r="A25" s="82"/>
      <c r="B25" s="108" t="s">
        <v>386</v>
      </c>
      <c r="C25" s="109">
        <f>'7.6. Stage 7&amp;8 budget'!C195*(1+'7.6. Stage 7&amp;8 budget'!$K$199)</f>
        <v>4498054.9787734021</v>
      </c>
      <c r="D25" s="109">
        <v>0</v>
      </c>
      <c r="E25" s="109">
        <v>0</v>
      </c>
      <c r="F25" s="109">
        <v>0</v>
      </c>
      <c r="G25" s="109">
        <v>0</v>
      </c>
      <c r="H25" s="109">
        <v>0</v>
      </c>
      <c r="I25" s="109">
        <v>0</v>
      </c>
      <c r="J25" s="109">
        <v>0</v>
      </c>
      <c r="K25" s="109">
        <v>0</v>
      </c>
      <c r="L25" s="109">
        <v>0</v>
      </c>
      <c r="M25" s="109">
        <v>0</v>
      </c>
      <c r="N25" s="109">
        <v>0</v>
      </c>
      <c r="O25" s="109">
        <f t="shared" si="9"/>
        <v>4498054.9787734021</v>
      </c>
      <c r="P25" s="43"/>
      <c r="Q25" s="43"/>
      <c r="R25" s="40"/>
      <c r="S25" s="40"/>
      <c r="T25" s="40"/>
      <c r="U25" s="40"/>
      <c r="V25" s="40"/>
      <c r="W25" s="40"/>
      <c r="X25" s="40"/>
      <c r="Y25" s="40"/>
    </row>
    <row r="26" spans="1:25" s="11" customFormat="1" x14ac:dyDescent="0.25">
      <c r="A26" s="82"/>
      <c r="B26" s="60" t="s">
        <v>206</v>
      </c>
      <c r="C26" s="61">
        <f>C6-C22-C23-C24-C25</f>
        <v>101369006.12090951</v>
      </c>
      <c r="D26" s="61">
        <f t="shared" ref="D26:N26" si="10">D6-D22-D23-D24-D25</f>
        <v>106962030.55400038</v>
      </c>
      <c r="E26" s="61">
        <f t="shared" si="10"/>
        <v>105346612.2684762</v>
      </c>
      <c r="F26" s="61">
        <f t="shared" si="10"/>
        <v>107840510.25066602</v>
      </c>
      <c r="G26" s="61">
        <f t="shared" si="10"/>
        <v>97570047.208300546</v>
      </c>
      <c r="H26" s="61">
        <f t="shared" si="10"/>
        <v>105112701.34235011</v>
      </c>
      <c r="I26" s="61">
        <f t="shared" si="10"/>
        <v>102480116.33817412</v>
      </c>
      <c r="J26" s="61">
        <f t="shared" si="10"/>
        <v>103078126.29938768</v>
      </c>
      <c r="K26" s="61">
        <f t="shared" si="10"/>
        <v>100675917.15516688</v>
      </c>
      <c r="L26" s="61">
        <f t="shared" si="10"/>
        <v>104650077.99152063</v>
      </c>
      <c r="M26" s="61">
        <f t="shared" si="10"/>
        <v>102436570.36807834</v>
      </c>
      <c r="N26" s="61">
        <f t="shared" si="10"/>
        <v>103302222.31850208</v>
      </c>
      <c r="O26" s="47">
        <f t="shared" si="9"/>
        <v>1240823938.2155325</v>
      </c>
      <c r="P26" s="43"/>
      <c r="Q26" s="43"/>
      <c r="R26" s="40"/>
      <c r="S26" s="40"/>
      <c r="T26" s="40"/>
      <c r="U26" s="40"/>
      <c r="V26" s="40"/>
      <c r="W26" s="40"/>
      <c r="X26" s="40"/>
      <c r="Y26" s="40"/>
    </row>
    <row r="27" spans="1:25" x14ac:dyDescent="0.25">
      <c r="A27" s="85"/>
      <c r="B27" s="40"/>
      <c r="C27" s="40"/>
      <c r="D27" s="40"/>
      <c r="E27" s="40"/>
      <c r="F27" s="40"/>
      <c r="G27" s="40"/>
      <c r="H27" s="40"/>
      <c r="I27" s="40"/>
      <c r="J27" s="40"/>
      <c r="K27" s="40"/>
      <c r="L27" s="353" t="s">
        <v>217</v>
      </c>
      <c r="M27" s="354"/>
      <c r="N27" s="350">
        <f>SUM(C26:N26)+'7.6. Stage 7&amp;8 budget'!N197</f>
        <v>18818536793.418385</v>
      </c>
      <c r="O27" s="40"/>
    </row>
    <row r="28" spans="1:25" x14ac:dyDescent="0.25">
      <c r="A28" s="85"/>
      <c r="B28" s="40"/>
      <c r="C28" s="40"/>
      <c r="D28" s="40"/>
      <c r="E28" s="40"/>
      <c r="F28" s="40"/>
      <c r="G28" s="40"/>
      <c r="H28" s="40"/>
      <c r="I28" s="40"/>
      <c r="J28" s="40"/>
      <c r="K28" s="40"/>
      <c r="L28" s="320"/>
      <c r="M28" s="355"/>
      <c r="N28" s="351"/>
      <c r="O28" s="40"/>
    </row>
    <row r="29" spans="1:25" x14ac:dyDescent="0.25">
      <c r="A29" s="85"/>
      <c r="B29" s="319" t="s">
        <v>632</v>
      </c>
      <c r="C29" s="352" t="s">
        <v>173</v>
      </c>
      <c r="D29" s="352"/>
      <c r="E29" s="352"/>
      <c r="F29" s="352"/>
      <c r="G29" s="352"/>
      <c r="H29" s="352"/>
      <c r="I29" s="40"/>
      <c r="J29" s="358" t="s">
        <v>231</v>
      </c>
      <c r="K29" s="359">
        <v>0.04</v>
      </c>
      <c r="L29" s="40"/>
      <c r="M29" s="40"/>
      <c r="N29" s="40"/>
      <c r="O29" s="361"/>
    </row>
    <row r="30" spans="1:25" x14ac:dyDescent="0.25">
      <c r="A30" s="85"/>
      <c r="B30" s="319"/>
      <c r="C30" s="352"/>
      <c r="D30" s="352"/>
      <c r="E30" s="352"/>
      <c r="F30" s="352"/>
      <c r="G30" s="352"/>
      <c r="H30" s="352"/>
      <c r="I30" s="40"/>
      <c r="J30" s="358"/>
      <c r="K30" s="360"/>
      <c r="L30" s="40"/>
      <c r="M30" s="40"/>
      <c r="N30" s="40"/>
      <c r="O30" s="362"/>
    </row>
    <row r="31" spans="1:25" x14ac:dyDescent="0.25">
      <c r="A31" s="85"/>
      <c r="B31" s="319"/>
      <c r="C31" s="352"/>
      <c r="D31" s="352"/>
      <c r="E31" s="352"/>
      <c r="F31" s="352"/>
      <c r="G31" s="352"/>
      <c r="H31" s="352"/>
      <c r="I31" s="40"/>
      <c r="J31" s="40"/>
      <c r="K31" s="40"/>
      <c r="L31" s="40"/>
      <c r="M31" s="40"/>
      <c r="N31" s="40"/>
      <c r="O31" s="40"/>
    </row>
    <row r="34" spans="1:15" ht="24.6" x14ac:dyDescent="0.25">
      <c r="A34" s="96"/>
      <c r="B34" s="348" t="s">
        <v>279</v>
      </c>
      <c r="C34" s="348"/>
      <c r="D34" s="348"/>
      <c r="E34" s="348"/>
      <c r="F34" s="348"/>
      <c r="G34" s="348"/>
      <c r="H34" s="348"/>
      <c r="I34" s="348"/>
      <c r="J34" s="348"/>
      <c r="K34" s="348"/>
      <c r="L34" s="348"/>
      <c r="M34" s="348"/>
      <c r="N34" s="348"/>
      <c r="O34" s="348"/>
    </row>
    <row r="35" spans="1:15" ht="24.6" x14ac:dyDescent="0.25">
      <c r="A35" s="96"/>
      <c r="B35" s="349"/>
      <c r="C35" s="349"/>
      <c r="D35" s="349"/>
      <c r="E35" s="349"/>
      <c r="F35" s="349"/>
      <c r="G35" s="349"/>
      <c r="H35" s="349"/>
      <c r="I35" s="349"/>
      <c r="J35" s="349"/>
      <c r="K35" s="349"/>
      <c r="L35" s="349"/>
      <c r="M35" s="349"/>
      <c r="N35" s="349"/>
      <c r="O35" s="349"/>
    </row>
    <row r="36" spans="1:15" x14ac:dyDescent="0.25">
      <c r="A36" s="82"/>
      <c r="B36" s="41"/>
      <c r="C36" s="42" t="s">
        <v>66</v>
      </c>
      <c r="D36" s="42" t="s">
        <v>67</v>
      </c>
      <c r="E36" s="42" t="s">
        <v>68</v>
      </c>
      <c r="F36" s="42" t="s">
        <v>69</v>
      </c>
      <c r="G36" s="42" t="s">
        <v>70</v>
      </c>
      <c r="H36" s="42" t="s">
        <v>71</v>
      </c>
      <c r="I36" s="42" t="s">
        <v>72</v>
      </c>
      <c r="J36" s="42" t="s">
        <v>73</v>
      </c>
      <c r="K36" s="42" t="s">
        <v>74</v>
      </c>
      <c r="L36" s="42" t="s">
        <v>75</v>
      </c>
      <c r="M36" s="42" t="s">
        <v>76</v>
      </c>
      <c r="N36" s="42" t="s">
        <v>77</v>
      </c>
      <c r="O36" s="42" t="s">
        <v>236</v>
      </c>
    </row>
    <row r="37" spans="1:15" x14ac:dyDescent="0.25">
      <c r="A37" s="82"/>
      <c r="B37" s="44" t="s">
        <v>194</v>
      </c>
      <c r="C37" s="45">
        <f>'3.1. My Income Tax Calculation'!$P$39/12</f>
        <v>147877965.91883531</v>
      </c>
      <c r="D37" s="45">
        <f>'3.1. My Income Tax Calculation'!$P$38/12</f>
        <v>147171352.87420717</v>
      </c>
      <c r="E37" s="45">
        <f>'3.1. My Income Tax Calculation'!$P$38/12</f>
        <v>147171352.87420717</v>
      </c>
      <c r="F37" s="45">
        <f>'3.1. My Income Tax Calculation'!$P$38/12</f>
        <v>147171352.87420717</v>
      </c>
      <c r="G37" s="45">
        <f>'3.1. My Income Tax Calculation'!$P$38/12</f>
        <v>147171352.87420717</v>
      </c>
      <c r="H37" s="45">
        <f>'3.1. My Income Tax Calculation'!$P$38/12</f>
        <v>147171352.87420717</v>
      </c>
      <c r="I37" s="45">
        <f>'3.1. My Income Tax Calculation'!$P$38/12</f>
        <v>147171352.87420717</v>
      </c>
      <c r="J37" s="45">
        <f>'3.1. My Income Tax Calculation'!$P$38/12</f>
        <v>147171352.87420717</v>
      </c>
      <c r="K37" s="45">
        <f>'3.1. My Income Tax Calculation'!$P$38/12</f>
        <v>147171352.87420717</v>
      </c>
      <c r="L37" s="45">
        <f>'3.1. My Income Tax Calculation'!$P$38/12</f>
        <v>147171352.87420717</v>
      </c>
      <c r="M37" s="45">
        <f>'3.1. My Income Tax Calculation'!$P$38/12</f>
        <v>147171352.87420717</v>
      </c>
      <c r="N37" s="45">
        <f>'3.1. My Income Tax Calculation'!$P$38/12</f>
        <v>147171352.87420717</v>
      </c>
      <c r="O37" s="45" t="s">
        <v>173</v>
      </c>
    </row>
    <row r="38" spans="1:15" x14ac:dyDescent="0.25">
      <c r="A38" s="82"/>
      <c r="B38" s="44" t="s">
        <v>246</v>
      </c>
      <c r="C38" s="45">
        <f>'3.2. My wife''s Tax Calc'!$P$39/12</f>
        <v>66342567.824749149</v>
      </c>
      <c r="D38" s="45">
        <f>'3.2. My wife''s Tax Calc'!$P$39/12</f>
        <v>66342567.824749149</v>
      </c>
      <c r="E38" s="45">
        <f>'3.2. My wife''s Tax Calc'!$P$39/12</f>
        <v>66342567.824749149</v>
      </c>
      <c r="F38" s="45">
        <f>'3.2. My wife''s Tax Calc'!$P$39/12</f>
        <v>66342567.824749149</v>
      </c>
      <c r="G38" s="45">
        <f>'3.2. My wife''s Tax Calc'!$P$39/12</f>
        <v>66342567.824749149</v>
      </c>
      <c r="H38" s="45">
        <f>'3.2. My wife''s Tax Calc'!$P$39/12</f>
        <v>66342567.824749149</v>
      </c>
      <c r="I38" s="45">
        <f>'3.2. My wife''s Tax Calc'!$P$39/12</f>
        <v>66342567.824749149</v>
      </c>
      <c r="J38" s="45">
        <f>'3.2. My wife''s Tax Calc'!$P$39/12</f>
        <v>66342567.824749149</v>
      </c>
      <c r="K38" s="45">
        <f>'3.2. My wife''s Tax Calc'!$P$39/12</f>
        <v>66342567.824749149</v>
      </c>
      <c r="L38" s="45">
        <f>'3.2. My wife''s Tax Calc'!$P$39/12</f>
        <v>66342567.824749149</v>
      </c>
      <c r="M38" s="45">
        <f>'3.2. My wife''s Tax Calc'!$P$39/12</f>
        <v>66342567.824749149</v>
      </c>
      <c r="N38" s="45">
        <f>'3.2. My wife''s Tax Calc'!$P$39/12</f>
        <v>66342567.824749149</v>
      </c>
      <c r="O38" s="45" t="s">
        <v>173</v>
      </c>
    </row>
    <row r="39" spans="1:15" x14ac:dyDescent="0.25">
      <c r="A39" s="82"/>
      <c r="B39" s="46" t="s">
        <v>209</v>
      </c>
      <c r="C39" s="47">
        <f>SUM(C37:C38)</f>
        <v>214220533.74358445</v>
      </c>
      <c r="D39" s="47">
        <f t="shared" ref="D39:J39" si="11">SUM(D37:D38)</f>
        <v>213513920.69895631</v>
      </c>
      <c r="E39" s="47">
        <f t="shared" si="11"/>
        <v>213513920.69895631</v>
      </c>
      <c r="F39" s="47">
        <f t="shared" si="11"/>
        <v>213513920.69895631</v>
      </c>
      <c r="G39" s="47">
        <f t="shared" si="11"/>
        <v>213513920.69895631</v>
      </c>
      <c r="H39" s="47">
        <f t="shared" si="11"/>
        <v>213513920.69895631</v>
      </c>
      <c r="I39" s="47">
        <f t="shared" si="11"/>
        <v>213513920.69895631</v>
      </c>
      <c r="J39" s="47">
        <f t="shared" si="11"/>
        <v>213513920.69895631</v>
      </c>
      <c r="K39" s="47">
        <f>SUM(K37:K38)</f>
        <v>213513920.69895631</v>
      </c>
      <c r="L39" s="47">
        <f t="shared" ref="L39:N39" si="12">SUM(L37:L38)</f>
        <v>213513920.69895631</v>
      </c>
      <c r="M39" s="47">
        <f t="shared" si="12"/>
        <v>213513920.69895631</v>
      </c>
      <c r="N39" s="47">
        <f t="shared" si="12"/>
        <v>213513920.69895631</v>
      </c>
      <c r="O39" s="47">
        <f>SUM(C39:N39)</f>
        <v>2562873661.4321036</v>
      </c>
    </row>
    <row r="40" spans="1:15" x14ac:dyDescent="0.25">
      <c r="A40" s="82"/>
      <c r="B40" s="52" t="s">
        <v>78</v>
      </c>
      <c r="C40" s="53" t="s">
        <v>173</v>
      </c>
      <c r="D40" s="53" t="s">
        <v>173</v>
      </c>
      <c r="E40" s="53" t="s">
        <v>173</v>
      </c>
      <c r="F40" s="53" t="s">
        <v>173</v>
      </c>
      <c r="G40" s="53" t="s">
        <v>173</v>
      </c>
      <c r="H40" s="53" t="s">
        <v>173</v>
      </c>
      <c r="I40" s="53" t="s">
        <v>173</v>
      </c>
      <c r="J40" s="53" t="s">
        <v>173</v>
      </c>
      <c r="K40" s="53" t="s">
        <v>173</v>
      </c>
      <c r="L40" s="53" t="s">
        <v>173</v>
      </c>
      <c r="M40" s="53" t="s">
        <v>173</v>
      </c>
      <c r="N40" s="53" t="s">
        <v>173</v>
      </c>
      <c r="O40" s="91" t="s">
        <v>173</v>
      </c>
    </row>
    <row r="41" spans="1:15" x14ac:dyDescent="0.25">
      <c r="A41" s="82"/>
      <c r="B41" s="48" t="s">
        <v>79</v>
      </c>
      <c r="C41" s="54" t="s">
        <v>173</v>
      </c>
      <c r="D41" s="54" t="s">
        <v>173</v>
      </c>
      <c r="E41" s="54" t="s">
        <v>173</v>
      </c>
      <c r="F41" s="54" t="s">
        <v>173</v>
      </c>
      <c r="G41" s="54" t="s">
        <v>173</v>
      </c>
      <c r="H41" s="54" t="s">
        <v>173</v>
      </c>
      <c r="I41" s="54" t="s">
        <v>173</v>
      </c>
      <c r="J41" s="54" t="s">
        <v>173</v>
      </c>
      <c r="K41" s="54" t="s">
        <v>173</v>
      </c>
      <c r="L41" s="54" t="s">
        <v>173</v>
      </c>
      <c r="M41" s="54" t="s">
        <v>173</v>
      </c>
      <c r="N41" s="54" t="s">
        <v>173</v>
      </c>
      <c r="O41" s="91" t="s">
        <v>173</v>
      </c>
    </row>
    <row r="42" spans="1:15" x14ac:dyDescent="0.25">
      <c r="A42" s="83"/>
      <c r="B42" s="49" t="s">
        <v>195</v>
      </c>
      <c r="C42" s="50">
        <f>C9*(1+$K$62)</f>
        <v>563387.86101043189</v>
      </c>
      <c r="D42" s="50">
        <v>0</v>
      </c>
      <c r="E42" s="50">
        <v>0</v>
      </c>
      <c r="F42" s="50">
        <v>0</v>
      </c>
      <c r="G42" s="50">
        <v>0</v>
      </c>
      <c r="H42" s="50">
        <v>0</v>
      </c>
      <c r="I42" s="50">
        <v>0</v>
      </c>
      <c r="J42" s="50">
        <v>0</v>
      </c>
      <c r="K42" s="50">
        <v>0</v>
      </c>
      <c r="L42" s="50">
        <v>0</v>
      </c>
      <c r="M42" s="50">
        <v>0</v>
      </c>
      <c r="N42" s="50">
        <v>0</v>
      </c>
      <c r="O42" s="90">
        <f t="shared" ref="O42:O45" si="13">SUM(C42:N42)</f>
        <v>563387.86101043189</v>
      </c>
    </row>
    <row r="43" spans="1:15" x14ac:dyDescent="0.25">
      <c r="A43" s="82"/>
      <c r="B43" s="51" t="s">
        <v>178</v>
      </c>
      <c r="C43" s="50">
        <f>C10*(1+$K$62)</f>
        <v>4268089.8561396375</v>
      </c>
      <c r="D43" s="50">
        <f t="shared" ref="D43:N43" si="14">D10*(1+$K$62)</f>
        <v>4268089.8561396375</v>
      </c>
      <c r="E43" s="50">
        <f t="shared" si="14"/>
        <v>4268089.8561396375</v>
      </c>
      <c r="F43" s="50">
        <f t="shared" si="14"/>
        <v>4268089.8561396375</v>
      </c>
      <c r="G43" s="50">
        <f t="shared" si="14"/>
        <v>4268089.8561396375</v>
      </c>
      <c r="H43" s="50">
        <f t="shared" si="14"/>
        <v>4268089.8561396375</v>
      </c>
      <c r="I43" s="50">
        <f t="shared" si="14"/>
        <v>4268089.8561396375</v>
      </c>
      <c r="J43" s="50">
        <f t="shared" si="14"/>
        <v>4268089.8561396375</v>
      </c>
      <c r="K43" s="50">
        <f t="shared" si="14"/>
        <v>4268089.8561396375</v>
      </c>
      <c r="L43" s="50">
        <f t="shared" si="14"/>
        <v>4268089.8561396375</v>
      </c>
      <c r="M43" s="50">
        <f t="shared" si="14"/>
        <v>4268089.8561396375</v>
      </c>
      <c r="N43" s="50">
        <f t="shared" si="14"/>
        <v>4268089.8561396375</v>
      </c>
      <c r="O43" s="90">
        <f t="shared" si="13"/>
        <v>51217078.27367565</v>
      </c>
    </row>
    <row r="44" spans="1:15" x14ac:dyDescent="0.25">
      <c r="A44" s="84"/>
      <c r="B44" s="51" t="s">
        <v>248</v>
      </c>
      <c r="C44" s="50">
        <f>C11*(1+$K$62)</f>
        <v>512170.78273675637</v>
      </c>
      <c r="D44" s="50">
        <f t="shared" ref="D44:N44" si="15">D11*(1+$K$62)</f>
        <v>512170.78273675637</v>
      </c>
      <c r="E44" s="50">
        <f t="shared" si="15"/>
        <v>512170.78273675637</v>
      </c>
      <c r="F44" s="50">
        <f t="shared" si="15"/>
        <v>512170.78273675637</v>
      </c>
      <c r="G44" s="50">
        <f t="shared" si="15"/>
        <v>512170.78273675637</v>
      </c>
      <c r="H44" s="50">
        <f t="shared" si="15"/>
        <v>512170.78273675637</v>
      </c>
      <c r="I44" s="50">
        <f t="shared" si="15"/>
        <v>512170.78273675637</v>
      </c>
      <c r="J44" s="50">
        <f t="shared" si="15"/>
        <v>512170.78273675637</v>
      </c>
      <c r="K44" s="50">
        <f t="shared" si="15"/>
        <v>512170.78273675637</v>
      </c>
      <c r="L44" s="50">
        <f t="shared" si="15"/>
        <v>512170.78273675637</v>
      </c>
      <c r="M44" s="50">
        <f t="shared" si="15"/>
        <v>512170.78273675637</v>
      </c>
      <c r="N44" s="50">
        <f t="shared" si="15"/>
        <v>512170.78273675637</v>
      </c>
      <c r="O44" s="90">
        <f t="shared" si="13"/>
        <v>6146049.3928410746</v>
      </c>
    </row>
    <row r="45" spans="1:15" x14ac:dyDescent="0.25">
      <c r="A45" s="82"/>
      <c r="B45" s="46" t="s">
        <v>207</v>
      </c>
      <c r="C45" s="47">
        <f t="shared" ref="C45" si="16">SUM(C42:C44)</f>
        <v>5343648.4998868257</v>
      </c>
      <c r="D45" s="47">
        <f t="shared" ref="D45" si="17">SUM(D42:D44)</f>
        <v>4780260.6388763934</v>
      </c>
      <c r="E45" s="47">
        <f t="shared" ref="E45" si="18">SUM(E42:E44)</f>
        <v>4780260.6388763934</v>
      </c>
      <c r="F45" s="47">
        <f t="shared" ref="F45" si="19">SUM(F42:F44)</f>
        <v>4780260.6388763934</v>
      </c>
      <c r="G45" s="47">
        <f t="shared" ref="G45" si="20">SUM(G42:G44)</f>
        <v>4780260.6388763934</v>
      </c>
      <c r="H45" s="47">
        <f t="shared" ref="H45" si="21">SUM(H42:H44)</f>
        <v>4780260.6388763934</v>
      </c>
      <c r="I45" s="47">
        <f t="shared" ref="I45" si="22">SUM(I42:I44)</f>
        <v>4780260.6388763934</v>
      </c>
      <c r="J45" s="47">
        <f t="shared" ref="J45" si="23">SUM(J42:J44)</f>
        <v>4780260.6388763934</v>
      </c>
      <c r="K45" s="47">
        <f t="shared" ref="K45" si="24">SUM(K42:K44)</f>
        <v>4780260.6388763934</v>
      </c>
      <c r="L45" s="47">
        <f t="shared" ref="L45" si="25">SUM(L42:L44)</f>
        <v>4780260.6388763934</v>
      </c>
      <c r="M45" s="47">
        <f t="shared" ref="M45" si="26">SUM(M42:M44)</f>
        <v>4780260.6388763934</v>
      </c>
      <c r="N45" s="47">
        <f t="shared" ref="N45" si="27">SUM(N42:N44)</f>
        <v>4780260.6388763934</v>
      </c>
      <c r="O45" s="47">
        <f t="shared" si="13"/>
        <v>57926515.527527153</v>
      </c>
    </row>
    <row r="46" spans="1:15" x14ac:dyDescent="0.25">
      <c r="A46" s="82"/>
      <c r="B46" s="55" t="s">
        <v>83</v>
      </c>
      <c r="C46" s="59" t="s">
        <v>173</v>
      </c>
      <c r="D46" s="59" t="s">
        <v>173</v>
      </c>
      <c r="E46" s="59" t="s">
        <v>173</v>
      </c>
      <c r="F46" s="59" t="s">
        <v>173</v>
      </c>
      <c r="G46" s="59" t="s">
        <v>173</v>
      </c>
      <c r="H46" s="59" t="s">
        <v>173</v>
      </c>
      <c r="I46" s="59" t="s">
        <v>173</v>
      </c>
      <c r="J46" s="59" t="s">
        <v>173</v>
      </c>
      <c r="K46" s="59" t="s">
        <v>173</v>
      </c>
      <c r="L46" s="59" t="s">
        <v>173</v>
      </c>
      <c r="M46" s="59" t="s">
        <v>173</v>
      </c>
      <c r="N46" s="59" t="s">
        <v>173</v>
      </c>
      <c r="O46" s="91" t="s">
        <v>173</v>
      </c>
    </row>
    <row r="47" spans="1:15" x14ac:dyDescent="0.25">
      <c r="A47" s="82"/>
      <c r="B47" s="57" t="s">
        <v>210</v>
      </c>
      <c r="C47" s="89">
        <f t="shared" ref="C47:N47" si="28">C14*(1+$K$62)</f>
        <v>2825475.48476444</v>
      </c>
      <c r="D47" s="89">
        <f t="shared" si="28"/>
        <v>3405935.7051994307</v>
      </c>
      <c r="E47" s="89">
        <f t="shared" si="28"/>
        <v>3141314.1341187702</v>
      </c>
      <c r="F47" s="89">
        <f t="shared" si="28"/>
        <v>2936445.8210240705</v>
      </c>
      <c r="G47" s="89">
        <f t="shared" si="28"/>
        <v>2697432.7890802501</v>
      </c>
      <c r="H47" s="89">
        <f t="shared" si="28"/>
        <v>3380327.1660625921</v>
      </c>
      <c r="I47" s="89">
        <f t="shared" si="28"/>
        <v>3943715.0270730234</v>
      </c>
      <c r="J47" s="89">
        <f t="shared" si="28"/>
        <v>3781527.6125397179</v>
      </c>
      <c r="K47" s="89">
        <f t="shared" si="28"/>
        <v>2919373.4615995106</v>
      </c>
      <c r="L47" s="89">
        <f t="shared" si="28"/>
        <v>2996199.0790100251</v>
      </c>
      <c r="M47" s="89">
        <f t="shared" si="28"/>
        <v>2851084.0239012768</v>
      </c>
      <c r="N47" s="89">
        <f t="shared" si="28"/>
        <v>3081560.8761328161</v>
      </c>
      <c r="O47" s="92">
        <f t="shared" ref="O47:O55" si="29">SUM(C47:N47)</f>
        <v>37960391.180505924</v>
      </c>
    </row>
    <row r="48" spans="1:15" x14ac:dyDescent="0.25">
      <c r="A48" s="82"/>
      <c r="B48" s="57" t="s">
        <v>203</v>
      </c>
      <c r="C48" s="89">
        <f t="shared" ref="C48:N48" si="30">C15*(1+$K$62)</f>
        <v>10200734.756173728</v>
      </c>
      <c r="D48" s="89">
        <f t="shared" si="30"/>
        <v>10986063.289703427</v>
      </c>
      <c r="E48" s="89">
        <f t="shared" si="30"/>
        <v>12317707.324818993</v>
      </c>
      <c r="F48" s="89">
        <f t="shared" si="30"/>
        <v>9338580.6052335296</v>
      </c>
      <c r="G48" s="89">
        <f t="shared" si="30"/>
        <v>12428677.661078624</v>
      </c>
      <c r="H48" s="89">
        <f t="shared" si="30"/>
        <v>11711638.565247159</v>
      </c>
      <c r="I48" s="89">
        <f t="shared" si="30"/>
        <v>10747050.25775961</v>
      </c>
      <c r="J48" s="89">
        <f t="shared" si="30"/>
        <v>12778661.029282073</v>
      </c>
      <c r="K48" s="89">
        <f t="shared" si="30"/>
        <v>12488430.919064572</v>
      </c>
      <c r="L48" s="89">
        <f t="shared" si="30"/>
        <v>12488430.919064572</v>
      </c>
      <c r="M48" s="89">
        <f t="shared" si="30"/>
        <v>9705636.3328615371</v>
      </c>
      <c r="N48" s="89">
        <f t="shared" si="30"/>
        <v>11967723.956615543</v>
      </c>
      <c r="O48" s="92">
        <f t="shared" si="29"/>
        <v>137159335.61690336</v>
      </c>
    </row>
    <row r="49" spans="1:25" x14ac:dyDescent="0.25">
      <c r="A49" s="82"/>
      <c r="B49" s="58" t="s">
        <v>84</v>
      </c>
      <c r="C49" s="89">
        <f t="shared" ref="C49:N49" si="31">C16*(1+$K$62)</f>
        <v>9022741.9558791891</v>
      </c>
      <c r="D49" s="89">
        <f t="shared" si="31"/>
        <v>9850751.387970278</v>
      </c>
      <c r="E49" s="89">
        <f t="shared" si="31"/>
        <v>9884896.106819395</v>
      </c>
      <c r="F49" s="89">
        <f t="shared" si="31"/>
        <v>10209270.935886011</v>
      </c>
      <c r="G49" s="89">
        <f t="shared" si="31"/>
        <v>12078694.292875173</v>
      </c>
      <c r="H49" s="89">
        <f t="shared" si="31"/>
        <v>10448283.967829829</v>
      </c>
      <c r="I49" s="89">
        <f t="shared" si="31"/>
        <v>10849484.414306959</v>
      </c>
      <c r="J49" s="89">
        <f t="shared" si="31"/>
        <v>12488430.919064572</v>
      </c>
      <c r="K49" s="89">
        <f t="shared" si="31"/>
        <v>11429944.634741951</v>
      </c>
      <c r="L49" s="89">
        <f t="shared" si="31"/>
        <v>11412872.27531739</v>
      </c>
      <c r="M49" s="89">
        <f t="shared" si="31"/>
        <v>12215273.168271635</v>
      </c>
      <c r="N49" s="89">
        <f t="shared" si="31"/>
        <v>9808070.4894088842</v>
      </c>
      <c r="O49" s="92">
        <f t="shared" si="29"/>
        <v>129698714.54837124</v>
      </c>
    </row>
    <row r="50" spans="1:25" x14ac:dyDescent="0.25">
      <c r="A50" s="82"/>
      <c r="B50" s="57" t="s">
        <v>85</v>
      </c>
      <c r="C50" s="89">
        <f>C17*(1+$K$62)</f>
        <v>10482428.686678948</v>
      </c>
      <c r="D50" s="89">
        <f t="shared" ref="D50:N50" si="32">D17*(1+$K$62)</f>
        <v>8971524.8776055221</v>
      </c>
      <c r="E50" s="89">
        <f t="shared" si="32"/>
        <v>9287363.5269598477</v>
      </c>
      <c r="F50" s="89">
        <f t="shared" si="32"/>
        <v>9432478.5820685942</v>
      </c>
      <c r="G50" s="89">
        <f t="shared" si="32"/>
        <v>12684763.052446997</v>
      </c>
      <c r="H50" s="89">
        <f t="shared" si="32"/>
        <v>9312972.0660966896</v>
      </c>
      <c r="I50" s="89">
        <f t="shared" si="32"/>
        <v>10806803.51574556</v>
      </c>
      <c r="J50" s="89">
        <f t="shared" si="32"/>
        <v>8553252.0717038326</v>
      </c>
      <c r="K50" s="89">
        <f t="shared" si="32"/>
        <v>11122642.165099895</v>
      </c>
      <c r="L50" s="89">
        <f t="shared" si="32"/>
        <v>8834946.0022090487</v>
      </c>
      <c r="M50" s="89">
        <f t="shared" si="32"/>
        <v>11250684.860784082</v>
      </c>
      <c r="N50" s="89">
        <f t="shared" si="32"/>
        <v>10712905.538910486</v>
      </c>
      <c r="O50" s="92">
        <f t="shared" si="29"/>
        <v>121452764.94630951</v>
      </c>
    </row>
    <row r="51" spans="1:25" x14ac:dyDescent="0.25">
      <c r="A51" s="84"/>
      <c r="B51" s="58" t="s">
        <v>249</v>
      </c>
      <c r="C51" s="89">
        <f t="shared" ref="C51:N51" si="33">C39*5%</f>
        <v>10711026.687179223</v>
      </c>
      <c r="D51" s="89">
        <f t="shared" si="33"/>
        <v>10675696.034947816</v>
      </c>
      <c r="E51" s="89">
        <f t="shared" si="33"/>
        <v>10675696.034947816</v>
      </c>
      <c r="F51" s="89">
        <f t="shared" si="33"/>
        <v>10675696.034947816</v>
      </c>
      <c r="G51" s="89">
        <f t="shared" si="33"/>
        <v>10675696.034947816</v>
      </c>
      <c r="H51" s="89">
        <f t="shared" si="33"/>
        <v>10675696.034947816</v>
      </c>
      <c r="I51" s="89">
        <f t="shared" si="33"/>
        <v>10675696.034947816</v>
      </c>
      <c r="J51" s="89">
        <f t="shared" si="33"/>
        <v>10675696.034947816</v>
      </c>
      <c r="K51" s="89">
        <f t="shared" si="33"/>
        <v>10675696.034947816</v>
      </c>
      <c r="L51" s="89">
        <f t="shared" si="33"/>
        <v>10675696.034947816</v>
      </c>
      <c r="M51" s="89">
        <f t="shared" si="33"/>
        <v>10675696.034947816</v>
      </c>
      <c r="N51" s="89">
        <f t="shared" si="33"/>
        <v>10675696.034947816</v>
      </c>
      <c r="O51" s="92">
        <f t="shared" si="29"/>
        <v>128143683.07160518</v>
      </c>
    </row>
    <row r="52" spans="1:25" x14ac:dyDescent="0.25">
      <c r="A52" s="84"/>
      <c r="B52" s="58" t="s">
        <v>180</v>
      </c>
      <c r="C52" s="89">
        <f>'7.7. Stage 9&amp;10&amp;11'!C19*(1+'7.7. Stage 9&amp;10&amp;11'!$K$62)</f>
        <v>8729725.3735108115</v>
      </c>
      <c r="D52" s="89">
        <f>'7.7. Stage 9&amp;10&amp;11'!D19*(1+'7.7. Stage 9&amp;10&amp;11'!$K$62)</f>
        <v>7471450.6250487529</v>
      </c>
      <c r="E52" s="89">
        <f>'7.7. Stage 9&amp;10&amp;11'!E19*(1+'7.7. Stage 9&amp;10&amp;11'!$K$62)</f>
        <v>7734479.8097555069</v>
      </c>
      <c r="F52" s="89">
        <f>'7.7. Stage 9&amp;10&amp;11'!F19*(1+'7.7. Stage 9&amp;10&amp;11'!$K$62)</f>
        <v>7855331.0567829357</v>
      </c>
      <c r="G52" s="89">
        <f>'7.7. Stage 9&amp;10&amp;11'!G19*(1+'7.7. Stage 9&amp;10&amp;11'!$K$62)</f>
        <v>10563820.769574156</v>
      </c>
      <c r="H52" s="89">
        <f>'7.7. Stage 9&amp;10&amp;11'!H19*(1+'7.7. Stage 9&amp;10&amp;11'!$K$62)</f>
        <v>7755806.5004074099</v>
      </c>
      <c r="I52" s="89">
        <f>'7.7. Stage 9&amp;10&amp;11'!I19*(1+'7.7. Stage 9&amp;10&amp;11'!$K$62)</f>
        <v>8999863.4551015366</v>
      </c>
      <c r="J52" s="89">
        <f>'7.7. Stage 9&amp;10&amp;11'!J19*(1+'7.7. Stage 9&amp;10&amp;11'!$K$62)</f>
        <v>7123114.6777343918</v>
      </c>
      <c r="K52" s="89">
        <f>'7.7. Stage 9&amp;10&amp;11'!K19*(1+'7.7. Stage 9&amp;10&amp;11'!$K$62)</f>
        <v>9262892.639808299</v>
      </c>
      <c r="L52" s="89">
        <f>'7.7. Stage 9&amp;10&amp;11'!L19*(1+'7.7. Stage 9&amp;10&amp;11'!$K$62)</f>
        <v>7357708.2749052849</v>
      </c>
      <c r="M52" s="89">
        <f>'7.7. Stage 9&amp;10&amp;11'!M19*(1+'7.7. Stage 9&amp;10&amp;11'!$K$62)</f>
        <v>9369526.0930677932</v>
      </c>
      <c r="N52" s="89">
        <f>'7.7. Stage 9&amp;10&amp;11'!N19*(1+'7.7. Stage 9&amp;10&amp;11'!$K$62)</f>
        <v>8921665.5893779043</v>
      </c>
      <c r="O52" s="92">
        <f t="shared" si="29"/>
        <v>101145384.86507478</v>
      </c>
    </row>
    <row r="53" spans="1:25" x14ac:dyDescent="0.25">
      <c r="A53" s="84"/>
      <c r="B53" s="58" t="s">
        <v>86</v>
      </c>
      <c r="C53" s="89">
        <f>'7.7. Stage 9&amp;10&amp;11'!C20*(1+'7.7. Stage 9&amp;10&amp;11'!$K$62)</f>
        <v>7749033.2430569576</v>
      </c>
      <c r="D53" s="89">
        <f>'7.7. Stage 9&amp;10&amp;11'!D20*(1+'7.7. Stage 9&amp;10&amp;11'!$K$62)</f>
        <v>7749033.2430569576</v>
      </c>
      <c r="E53" s="89">
        <f>'7.7. Stage 9&amp;10&amp;11'!E20*(1+'7.7. Stage 9&amp;10&amp;11'!$K$62)</f>
        <v>7749033.2430569576</v>
      </c>
      <c r="F53" s="89">
        <f>'7.7. Stage 9&amp;10&amp;11'!F20*(1+'7.7. Stage 9&amp;10&amp;11'!$K$62)</f>
        <v>7749033.2430569576</v>
      </c>
      <c r="G53" s="89">
        <f>'7.7. Stage 9&amp;10&amp;11'!G20*(1+'7.7. Stage 9&amp;10&amp;11'!$K$62)</f>
        <v>7749033.2430569576</v>
      </c>
      <c r="H53" s="89">
        <f>'7.7. Stage 9&amp;10&amp;11'!H20*(1+'7.7. Stage 9&amp;10&amp;11'!$K$62)</f>
        <v>7749033.2430569576</v>
      </c>
      <c r="I53" s="89">
        <f>'7.7. Stage 9&amp;10&amp;11'!I20*(1+'7.7. Stage 9&amp;10&amp;11'!$K$62)</f>
        <v>7749033.2430569576</v>
      </c>
      <c r="J53" s="89">
        <f>'7.7. Stage 9&amp;10&amp;11'!J20*(1+'7.7. Stage 9&amp;10&amp;11'!$K$62)</f>
        <v>7749033.2430569576</v>
      </c>
      <c r="K53" s="89">
        <f>'7.7. Stage 9&amp;10&amp;11'!K20*(1+'7.7. Stage 9&amp;10&amp;11'!$K$62)</f>
        <v>7749033.2430569576</v>
      </c>
      <c r="L53" s="89">
        <f>'7.7. Stage 9&amp;10&amp;11'!L20*(1+'7.7. Stage 9&amp;10&amp;11'!$K$62)</f>
        <v>7749033.2430569576</v>
      </c>
      <c r="M53" s="89">
        <f>'7.7. Stage 9&amp;10&amp;11'!M20*(1+'7.7. Stage 9&amp;10&amp;11'!$K$62)</f>
        <v>7749033.2430569576</v>
      </c>
      <c r="N53" s="89">
        <f>'7.7. Stage 9&amp;10&amp;11'!N20*(1+'7.7. Stage 9&amp;10&amp;11'!$K$62)</f>
        <v>7749033.2430569576</v>
      </c>
      <c r="O53" s="92">
        <f t="shared" si="29"/>
        <v>92988398.91668348</v>
      </c>
    </row>
    <row r="54" spans="1:25" x14ac:dyDescent="0.25">
      <c r="A54" s="82"/>
      <c r="B54" s="46" t="s">
        <v>208</v>
      </c>
      <c r="C54" s="47">
        <f t="shared" ref="C54:N54" si="34">SUM(C47:C53)</f>
        <v>59721166.187243305</v>
      </c>
      <c r="D54" s="47">
        <f t="shared" si="34"/>
        <v>59110455.16353219</v>
      </c>
      <c r="E54" s="47">
        <f t="shared" si="34"/>
        <v>60790490.180477284</v>
      </c>
      <c r="F54" s="47">
        <f t="shared" si="34"/>
        <v>58196836.278999925</v>
      </c>
      <c r="G54" s="47">
        <f t="shared" si="34"/>
        <v>68878117.843059987</v>
      </c>
      <c r="H54" s="47">
        <f t="shared" si="34"/>
        <v>61033757.543648459</v>
      </c>
      <c r="I54" s="47">
        <f t="shared" si="34"/>
        <v>63771645.947991468</v>
      </c>
      <c r="J54" s="47">
        <f t="shared" si="34"/>
        <v>63149715.588329352</v>
      </c>
      <c r="K54" s="47">
        <f t="shared" si="34"/>
        <v>65648013.098319001</v>
      </c>
      <c r="L54" s="47">
        <f t="shared" si="34"/>
        <v>61514885.828511089</v>
      </c>
      <c r="M54" s="47">
        <f t="shared" si="34"/>
        <v>63816933.756891109</v>
      </c>
      <c r="N54" s="47">
        <f t="shared" si="34"/>
        <v>62916655.728450403</v>
      </c>
      <c r="O54" s="47">
        <f t="shared" si="29"/>
        <v>748548673.14545369</v>
      </c>
    </row>
    <row r="55" spans="1:25" x14ac:dyDescent="0.25">
      <c r="A55" s="82"/>
      <c r="B55" s="60" t="s">
        <v>87</v>
      </c>
      <c r="C55" s="47">
        <f t="shared" ref="C55:N55" si="35">C45+C54</f>
        <v>65064814.687130131</v>
      </c>
      <c r="D55" s="47">
        <f t="shared" si="35"/>
        <v>63890715.802408583</v>
      </c>
      <c r="E55" s="47">
        <f t="shared" si="35"/>
        <v>65570750.819353677</v>
      </c>
      <c r="F55" s="47">
        <f t="shared" si="35"/>
        <v>62977096.917876318</v>
      </c>
      <c r="G55" s="47">
        <f t="shared" si="35"/>
        <v>73658378.48193638</v>
      </c>
      <c r="H55" s="47">
        <f t="shared" si="35"/>
        <v>65814018.182524852</v>
      </c>
      <c r="I55" s="47">
        <f t="shared" si="35"/>
        <v>68551906.586867869</v>
      </c>
      <c r="J55" s="47">
        <f t="shared" si="35"/>
        <v>67929976.227205753</v>
      </c>
      <c r="K55" s="47">
        <f t="shared" si="35"/>
        <v>70428273.737195402</v>
      </c>
      <c r="L55" s="47">
        <f t="shared" si="35"/>
        <v>66295146.467387483</v>
      </c>
      <c r="M55" s="47">
        <f t="shared" si="35"/>
        <v>68597194.39576751</v>
      </c>
      <c r="N55" s="47">
        <f t="shared" si="35"/>
        <v>67696916.367326796</v>
      </c>
      <c r="O55" s="47">
        <f t="shared" si="29"/>
        <v>806475188.67298079</v>
      </c>
    </row>
    <row r="56" spans="1:25" s="11" customFormat="1" x14ac:dyDescent="0.25">
      <c r="A56" s="82"/>
      <c r="B56" s="108" t="s">
        <v>204</v>
      </c>
      <c r="C56" s="109">
        <f>$O55*(3/12)/12</f>
        <v>16801566.4306871</v>
      </c>
      <c r="D56" s="109">
        <f t="shared" ref="D56" si="36">$O55*(3/12)/12</f>
        <v>16801566.4306871</v>
      </c>
      <c r="E56" s="109">
        <f t="shared" ref="E56" si="37">$O55*(3/12)/12</f>
        <v>16801566.4306871</v>
      </c>
      <c r="F56" s="109">
        <f t="shared" ref="F56" si="38">$O55*(3/12)/12</f>
        <v>16801566.4306871</v>
      </c>
      <c r="G56" s="109">
        <f t="shared" ref="G56" si="39">$O55*(3/12)/12</f>
        <v>16801566.4306871</v>
      </c>
      <c r="H56" s="109">
        <f t="shared" ref="H56" si="40">$O55*(3/12)/12</f>
        <v>16801566.4306871</v>
      </c>
      <c r="I56" s="109">
        <f t="shared" ref="I56" si="41">$O55*(3/12)/12</f>
        <v>16801566.4306871</v>
      </c>
      <c r="J56" s="109">
        <f t="shared" ref="J56" si="42">$O55*(3/12)/12</f>
        <v>16801566.4306871</v>
      </c>
      <c r="K56" s="109">
        <f t="shared" ref="K56" si="43">$O55*(3/12)/12</f>
        <v>16801566.4306871</v>
      </c>
      <c r="L56" s="109">
        <f t="shared" ref="L56" si="44">$O55*(3/12)/12</f>
        <v>16801566.4306871</v>
      </c>
      <c r="M56" s="109">
        <f t="shared" ref="M56" si="45">$O55*(3/12)/12</f>
        <v>16801566.4306871</v>
      </c>
      <c r="N56" s="109">
        <f>$O55*(3/12)/12</f>
        <v>16801566.4306871</v>
      </c>
      <c r="O56" s="109">
        <f t="shared" ref="O56:O59" si="46">SUM(C56:N56)</f>
        <v>201618797.1682452</v>
      </c>
      <c r="P56" s="43"/>
      <c r="Q56" s="43"/>
      <c r="R56" s="40"/>
      <c r="S56" s="40"/>
      <c r="T56" s="40"/>
      <c r="U56" s="40"/>
      <c r="V56" s="40"/>
      <c r="W56" s="40"/>
      <c r="X56" s="40"/>
      <c r="Y56" s="40"/>
    </row>
    <row r="57" spans="1:25" s="11" customFormat="1" x14ac:dyDescent="0.25">
      <c r="A57" s="82"/>
      <c r="B57" s="108" t="s">
        <v>82</v>
      </c>
      <c r="C57" s="109">
        <f>'6. Mortgage payment'!$C$7</f>
        <v>28168245.060798287</v>
      </c>
      <c r="D57" s="109">
        <f>'6. Mortgage payment'!$C$7</f>
        <v>28168245.060798287</v>
      </c>
      <c r="E57" s="109">
        <f>'6. Mortgage payment'!$C$7</f>
        <v>28168245.060798287</v>
      </c>
      <c r="F57" s="109">
        <f>'6. Mortgage payment'!$C$7</f>
        <v>28168245.060798287</v>
      </c>
      <c r="G57" s="109">
        <f>'6. Mortgage payment'!$C$7</f>
        <v>28168245.060798287</v>
      </c>
      <c r="H57" s="109">
        <f>'6. Mortgage payment'!$C$7</f>
        <v>28168245.060798287</v>
      </c>
      <c r="I57" s="109">
        <f>'6. Mortgage payment'!$C$7</f>
        <v>28168245.060798287</v>
      </c>
      <c r="J57" s="109">
        <f>'6. Mortgage payment'!$C$7</f>
        <v>28168245.060798287</v>
      </c>
      <c r="K57" s="109">
        <f>'6. Mortgage payment'!$C$7</f>
        <v>28168245.060798287</v>
      </c>
      <c r="L57" s="109">
        <f>'6. Mortgage payment'!$C$7</f>
        <v>28168245.060798287</v>
      </c>
      <c r="M57" s="109">
        <f>'6. Mortgage payment'!$C$7</f>
        <v>28168245.060798287</v>
      </c>
      <c r="N57" s="109">
        <f>'6. Mortgage payment'!$C$7</f>
        <v>28168245.060798287</v>
      </c>
      <c r="O57" s="109">
        <f t="shared" si="46"/>
        <v>338018940.72957945</v>
      </c>
      <c r="P57" s="43"/>
      <c r="Q57" s="43"/>
      <c r="R57" s="40"/>
      <c r="S57" s="40"/>
      <c r="T57" s="40"/>
      <c r="U57" s="40"/>
      <c r="V57" s="40"/>
      <c r="W57" s="40"/>
      <c r="X57" s="40"/>
      <c r="Y57" s="40"/>
    </row>
    <row r="58" spans="1:25" s="11" customFormat="1" x14ac:dyDescent="0.25">
      <c r="A58" s="82"/>
      <c r="B58" s="108" t="s">
        <v>386</v>
      </c>
      <c r="C58" s="109">
        <f>C25*(1+$K$29)</f>
        <v>4677977.1779243387</v>
      </c>
      <c r="D58" s="109">
        <f t="shared" ref="D58:N58" si="47">D25*(1+$K$29)</f>
        <v>0</v>
      </c>
      <c r="E58" s="109">
        <f t="shared" si="47"/>
        <v>0</v>
      </c>
      <c r="F58" s="109">
        <f t="shared" si="47"/>
        <v>0</v>
      </c>
      <c r="G58" s="109">
        <f t="shared" si="47"/>
        <v>0</v>
      </c>
      <c r="H58" s="109">
        <f t="shared" si="47"/>
        <v>0</v>
      </c>
      <c r="I58" s="109">
        <f t="shared" si="47"/>
        <v>0</v>
      </c>
      <c r="J58" s="109">
        <f t="shared" si="47"/>
        <v>0</v>
      </c>
      <c r="K58" s="109">
        <f t="shared" si="47"/>
        <v>0</v>
      </c>
      <c r="L58" s="109">
        <f t="shared" si="47"/>
        <v>0</v>
      </c>
      <c r="M58" s="109">
        <f t="shared" si="47"/>
        <v>0</v>
      </c>
      <c r="N58" s="109">
        <f t="shared" si="47"/>
        <v>0</v>
      </c>
      <c r="O58" s="109">
        <f t="shared" si="46"/>
        <v>4677977.1779243387</v>
      </c>
      <c r="P58" s="43"/>
      <c r="Q58" s="43"/>
      <c r="R58" s="40"/>
      <c r="S58" s="40"/>
      <c r="T58" s="40"/>
      <c r="U58" s="40"/>
      <c r="V58" s="40"/>
      <c r="W58" s="40"/>
      <c r="X58" s="40"/>
      <c r="Y58" s="40"/>
    </row>
    <row r="59" spans="1:25" s="11" customFormat="1" x14ac:dyDescent="0.25">
      <c r="A59" s="82"/>
      <c r="B59" s="60" t="s">
        <v>206</v>
      </c>
      <c r="C59" s="61">
        <f>C39-C55-C56-C57-C58</f>
        <v>99507930.387044609</v>
      </c>
      <c r="D59" s="61">
        <f t="shared" ref="D59:N59" si="48">D39-D55-D56-D57-D58</f>
        <v>104653393.40506235</v>
      </c>
      <c r="E59" s="61">
        <f t="shared" si="48"/>
        <v>102973358.38811725</v>
      </c>
      <c r="F59" s="61">
        <f t="shared" si="48"/>
        <v>105567012.28959462</v>
      </c>
      <c r="G59" s="61">
        <f t="shared" si="48"/>
        <v>94885730.725534528</v>
      </c>
      <c r="H59" s="61">
        <f t="shared" si="48"/>
        <v>102730091.02494606</v>
      </c>
      <c r="I59" s="61">
        <f t="shared" si="48"/>
        <v>99992202.620603055</v>
      </c>
      <c r="J59" s="61">
        <f t="shared" si="48"/>
        <v>100614132.98026517</v>
      </c>
      <c r="K59" s="61">
        <f t="shared" si="48"/>
        <v>98115835.470275521</v>
      </c>
      <c r="L59" s="61">
        <f t="shared" si="48"/>
        <v>102248962.74008343</v>
      </c>
      <c r="M59" s="61">
        <f t="shared" si="48"/>
        <v>99946914.811703414</v>
      </c>
      <c r="N59" s="61">
        <f t="shared" si="48"/>
        <v>100847192.84014413</v>
      </c>
      <c r="O59" s="47">
        <f t="shared" si="46"/>
        <v>1212082757.6833742</v>
      </c>
      <c r="P59" s="43"/>
      <c r="Q59" s="43"/>
      <c r="R59" s="40"/>
      <c r="S59" s="40"/>
      <c r="T59" s="40"/>
      <c r="U59" s="40"/>
      <c r="V59" s="40"/>
      <c r="W59" s="40"/>
      <c r="X59" s="40"/>
      <c r="Y59" s="40"/>
    </row>
    <row r="60" spans="1:25" x14ac:dyDescent="0.25">
      <c r="A60" s="85"/>
      <c r="B60" s="40"/>
      <c r="C60" s="40"/>
      <c r="D60" s="40"/>
      <c r="E60" s="40"/>
      <c r="F60" s="40"/>
      <c r="G60" s="40"/>
      <c r="H60" s="40"/>
      <c r="I60" s="40"/>
      <c r="J60" s="40"/>
      <c r="K60" s="40"/>
      <c r="L60" s="353" t="s">
        <v>217</v>
      </c>
      <c r="M60" s="354"/>
      <c r="N60" s="350">
        <f>SUM(C59:N59)+N27</f>
        <v>20030619551.101757</v>
      </c>
      <c r="O60" s="40"/>
    </row>
    <row r="61" spans="1:25" x14ac:dyDescent="0.25">
      <c r="A61" s="85"/>
      <c r="B61" s="40"/>
      <c r="C61" s="40"/>
      <c r="D61" s="40"/>
      <c r="E61" s="40"/>
      <c r="F61" s="40"/>
      <c r="G61" s="40"/>
      <c r="H61" s="40"/>
      <c r="I61" s="40"/>
      <c r="J61" s="40"/>
      <c r="K61" s="40"/>
      <c r="L61" s="320"/>
      <c r="M61" s="355"/>
      <c r="N61" s="351"/>
      <c r="O61" s="40"/>
    </row>
    <row r="62" spans="1:25" x14ac:dyDescent="0.25">
      <c r="A62" s="85"/>
      <c r="B62" s="319" t="s">
        <v>632</v>
      </c>
      <c r="C62" s="352" t="s">
        <v>173</v>
      </c>
      <c r="D62" s="352"/>
      <c r="E62" s="352"/>
      <c r="F62" s="352"/>
      <c r="G62" s="352"/>
      <c r="H62" s="352"/>
      <c r="I62" s="40"/>
      <c r="J62" s="358" t="s">
        <v>231</v>
      </c>
      <c r="K62" s="359">
        <v>0.04</v>
      </c>
      <c r="L62" s="40"/>
      <c r="M62" s="40"/>
      <c r="N62" s="40"/>
      <c r="O62" s="361"/>
    </row>
    <row r="63" spans="1:25" x14ac:dyDescent="0.25">
      <c r="A63" s="85"/>
      <c r="B63" s="319"/>
      <c r="C63" s="352"/>
      <c r="D63" s="352"/>
      <c r="E63" s="352"/>
      <c r="F63" s="352"/>
      <c r="G63" s="352"/>
      <c r="H63" s="352"/>
      <c r="I63" s="40"/>
      <c r="J63" s="358"/>
      <c r="K63" s="360"/>
      <c r="L63" s="40"/>
      <c r="M63" s="40"/>
      <c r="N63" s="40"/>
      <c r="O63" s="362"/>
    </row>
    <row r="64" spans="1:25" x14ac:dyDescent="0.25">
      <c r="A64" s="85"/>
      <c r="B64" s="319"/>
      <c r="C64" s="352"/>
      <c r="D64" s="352"/>
      <c r="E64" s="352"/>
      <c r="F64" s="352"/>
      <c r="G64" s="352"/>
      <c r="H64" s="352"/>
      <c r="I64" s="40"/>
      <c r="J64" s="40"/>
      <c r="K64" s="40"/>
      <c r="L64" s="40"/>
      <c r="M64" s="40"/>
      <c r="N64" s="40"/>
      <c r="O64" s="40"/>
    </row>
    <row r="67" spans="1:15" ht="24.6" x14ac:dyDescent="0.25">
      <c r="A67" s="96"/>
      <c r="B67" s="348" t="s">
        <v>280</v>
      </c>
      <c r="C67" s="348"/>
      <c r="D67" s="348"/>
      <c r="E67" s="348"/>
      <c r="F67" s="348"/>
      <c r="G67" s="348"/>
      <c r="H67" s="348"/>
      <c r="I67" s="348"/>
      <c r="J67" s="348"/>
      <c r="K67" s="348"/>
      <c r="L67" s="348"/>
      <c r="M67" s="348"/>
      <c r="N67" s="348"/>
      <c r="O67" s="348"/>
    </row>
    <row r="68" spans="1:15" ht="24.6" x14ac:dyDescent="0.25">
      <c r="A68" s="96"/>
      <c r="B68" s="349"/>
      <c r="C68" s="349"/>
      <c r="D68" s="349"/>
      <c r="E68" s="349"/>
      <c r="F68" s="349"/>
      <c r="G68" s="349"/>
      <c r="H68" s="349"/>
      <c r="I68" s="349"/>
      <c r="J68" s="349"/>
      <c r="K68" s="349"/>
      <c r="L68" s="349"/>
      <c r="M68" s="349"/>
      <c r="N68" s="349"/>
      <c r="O68" s="349"/>
    </row>
    <row r="69" spans="1:15" x14ac:dyDescent="0.25">
      <c r="A69" s="82"/>
      <c r="B69" s="41"/>
      <c r="C69" s="42" t="s">
        <v>66</v>
      </c>
      <c r="D69" s="42" t="s">
        <v>67</v>
      </c>
      <c r="E69" s="42" t="s">
        <v>68</v>
      </c>
      <c r="F69" s="42" t="s">
        <v>69</v>
      </c>
      <c r="G69" s="42" t="s">
        <v>70</v>
      </c>
      <c r="H69" s="42" t="s">
        <v>71</v>
      </c>
      <c r="I69" s="42" t="s">
        <v>72</v>
      </c>
      <c r="J69" s="42" t="s">
        <v>73</v>
      </c>
      <c r="K69" s="42" t="s">
        <v>74</v>
      </c>
      <c r="L69" s="42" t="s">
        <v>75</v>
      </c>
      <c r="M69" s="42" t="s">
        <v>76</v>
      </c>
      <c r="N69" s="42" t="s">
        <v>77</v>
      </c>
      <c r="O69" s="42" t="s">
        <v>236</v>
      </c>
    </row>
    <row r="70" spans="1:15" x14ac:dyDescent="0.25">
      <c r="A70" s="82"/>
      <c r="B70" s="44" t="s">
        <v>194</v>
      </c>
      <c r="C70" s="45">
        <f>'3.1. My Income Tax Calculation'!$P$40/12</f>
        <v>148588319.85605267</v>
      </c>
      <c r="D70" s="45">
        <f>'3.1. My Income Tax Calculation'!$P$40/12</f>
        <v>148588319.85605267</v>
      </c>
      <c r="E70" s="45">
        <f>'3.1. My Income Tax Calculation'!$P$40/12</f>
        <v>148588319.85605267</v>
      </c>
      <c r="F70" s="45">
        <f>'3.1. My Income Tax Calculation'!$P$40/12</f>
        <v>148588319.85605267</v>
      </c>
      <c r="G70" s="45">
        <f>'3.1. My Income Tax Calculation'!$P$40/12</f>
        <v>148588319.85605267</v>
      </c>
      <c r="H70" s="45">
        <f>'3.1. My Income Tax Calculation'!$P$40/12</f>
        <v>148588319.85605267</v>
      </c>
      <c r="I70" s="45">
        <f>'3.1. My Income Tax Calculation'!$P$40/12</f>
        <v>148588319.85605267</v>
      </c>
      <c r="J70" s="45">
        <f>'3.1. My Income Tax Calculation'!$P$40/12</f>
        <v>148588319.85605267</v>
      </c>
      <c r="K70" s="45">
        <f>'3.1. My Income Tax Calculation'!$P$40/12</f>
        <v>148588319.85605267</v>
      </c>
      <c r="L70" s="45">
        <f>'3.1. My Income Tax Calculation'!$P$40/12</f>
        <v>148588319.85605267</v>
      </c>
      <c r="M70" s="45">
        <f>'3.1. My Income Tax Calculation'!$P$40/12</f>
        <v>148588319.85605267</v>
      </c>
      <c r="N70" s="45">
        <f>'3.1. My Income Tax Calculation'!$P$40/12</f>
        <v>148588319.85605267</v>
      </c>
      <c r="O70" s="45" t="s">
        <v>173</v>
      </c>
    </row>
    <row r="71" spans="1:15" x14ac:dyDescent="0.25">
      <c r="A71" s="82"/>
      <c r="B71" s="44" t="s">
        <v>246</v>
      </c>
      <c r="C71" s="45">
        <f>'3.2. My wife''s Tax Calc'!$P$40/12</f>
        <v>66645352.007350765</v>
      </c>
      <c r="D71" s="45">
        <f>'3.2. My wife''s Tax Calc'!$P$40/12</f>
        <v>66645352.007350765</v>
      </c>
      <c r="E71" s="45">
        <f>'3.2. My wife''s Tax Calc'!$P$40/12</f>
        <v>66645352.007350765</v>
      </c>
      <c r="F71" s="45">
        <f>'3.2. My wife''s Tax Calc'!$P$40/12</f>
        <v>66645352.007350765</v>
      </c>
      <c r="G71" s="45">
        <f>'3.2. My wife''s Tax Calc'!$P$40/12</f>
        <v>66645352.007350765</v>
      </c>
      <c r="H71" s="45">
        <f>'3.2. My wife''s Tax Calc'!$P$40/12</f>
        <v>66645352.007350765</v>
      </c>
      <c r="I71" s="45">
        <f>'3.2. My wife''s Tax Calc'!$P$40/12</f>
        <v>66645352.007350765</v>
      </c>
      <c r="J71" s="45">
        <f>'3.2. My wife''s Tax Calc'!$P$40/12</f>
        <v>66645352.007350765</v>
      </c>
      <c r="K71" s="45">
        <f>'3.2. My wife''s Tax Calc'!$P$40/12</f>
        <v>66645352.007350765</v>
      </c>
      <c r="L71" s="45">
        <f>'3.2. My wife''s Tax Calc'!$P$40/12</f>
        <v>66645352.007350765</v>
      </c>
      <c r="M71" s="45">
        <f>'3.2. My wife''s Tax Calc'!$P$40/12</f>
        <v>66645352.007350765</v>
      </c>
      <c r="N71" s="45">
        <f>'3.2. My wife''s Tax Calc'!$P$40/12</f>
        <v>66645352.007350765</v>
      </c>
      <c r="O71" s="45" t="s">
        <v>173</v>
      </c>
    </row>
    <row r="72" spans="1:15" x14ac:dyDescent="0.25">
      <c r="A72" s="82"/>
      <c r="B72" s="46" t="s">
        <v>209</v>
      </c>
      <c r="C72" s="47">
        <f>SUM(C70:C71)</f>
        <v>215233671.86340344</v>
      </c>
      <c r="D72" s="47">
        <f t="shared" ref="D72:J72" si="49">SUM(D70:D71)</f>
        <v>215233671.86340344</v>
      </c>
      <c r="E72" s="47">
        <f t="shared" si="49"/>
        <v>215233671.86340344</v>
      </c>
      <c r="F72" s="47">
        <f t="shared" si="49"/>
        <v>215233671.86340344</v>
      </c>
      <c r="G72" s="47">
        <f t="shared" si="49"/>
        <v>215233671.86340344</v>
      </c>
      <c r="H72" s="47">
        <f t="shared" si="49"/>
        <v>215233671.86340344</v>
      </c>
      <c r="I72" s="47">
        <f t="shared" si="49"/>
        <v>215233671.86340344</v>
      </c>
      <c r="J72" s="47">
        <f t="shared" si="49"/>
        <v>215233671.86340344</v>
      </c>
      <c r="K72" s="47">
        <f>SUM(K70:K71)</f>
        <v>215233671.86340344</v>
      </c>
      <c r="L72" s="47">
        <f t="shared" ref="L72:N72" si="50">SUM(L70:L71)</f>
        <v>215233671.86340344</v>
      </c>
      <c r="M72" s="47">
        <f t="shared" si="50"/>
        <v>215233671.86340344</v>
      </c>
      <c r="N72" s="47">
        <f t="shared" si="50"/>
        <v>215233671.86340344</v>
      </c>
      <c r="O72" s="47">
        <f>SUM(C72:N72)</f>
        <v>2582804062.3608403</v>
      </c>
    </row>
    <row r="73" spans="1:15" x14ac:dyDescent="0.25">
      <c r="A73" s="82"/>
      <c r="B73" s="52" t="s">
        <v>78</v>
      </c>
      <c r="C73" s="53" t="s">
        <v>173</v>
      </c>
      <c r="D73" s="53" t="s">
        <v>173</v>
      </c>
      <c r="E73" s="53" t="s">
        <v>173</v>
      </c>
      <c r="F73" s="53" t="s">
        <v>173</v>
      </c>
      <c r="G73" s="53" t="s">
        <v>173</v>
      </c>
      <c r="H73" s="53" t="s">
        <v>173</v>
      </c>
      <c r="I73" s="53" t="s">
        <v>173</v>
      </c>
      <c r="J73" s="53" t="s">
        <v>173</v>
      </c>
      <c r="K73" s="53" t="s">
        <v>173</v>
      </c>
      <c r="L73" s="53" t="s">
        <v>173</v>
      </c>
      <c r="M73" s="53" t="s">
        <v>173</v>
      </c>
      <c r="N73" s="53" t="s">
        <v>173</v>
      </c>
      <c r="O73" s="91" t="s">
        <v>173</v>
      </c>
    </row>
    <row r="74" spans="1:15" x14ac:dyDescent="0.25">
      <c r="A74" s="82"/>
      <c r="B74" s="48" t="s">
        <v>79</v>
      </c>
      <c r="C74" s="54" t="s">
        <v>173</v>
      </c>
      <c r="D74" s="54" t="s">
        <v>173</v>
      </c>
      <c r="E74" s="54" t="s">
        <v>173</v>
      </c>
      <c r="F74" s="54" t="s">
        <v>173</v>
      </c>
      <c r="G74" s="54" t="s">
        <v>173</v>
      </c>
      <c r="H74" s="54" t="s">
        <v>173</v>
      </c>
      <c r="I74" s="54" t="s">
        <v>173</v>
      </c>
      <c r="J74" s="54" t="s">
        <v>173</v>
      </c>
      <c r="K74" s="54" t="s">
        <v>173</v>
      </c>
      <c r="L74" s="54" t="s">
        <v>173</v>
      </c>
      <c r="M74" s="54" t="s">
        <v>173</v>
      </c>
      <c r="N74" s="54" t="s">
        <v>173</v>
      </c>
      <c r="O74" s="91" t="s">
        <v>173</v>
      </c>
    </row>
    <row r="75" spans="1:15" x14ac:dyDescent="0.25">
      <c r="A75" s="83"/>
      <c r="B75" s="49" t="s">
        <v>195</v>
      </c>
      <c r="C75" s="50">
        <f>C42*(1+$K$62)</f>
        <v>585923.37545084918</v>
      </c>
      <c r="D75" s="50">
        <v>0</v>
      </c>
      <c r="E75" s="50">
        <v>0</v>
      </c>
      <c r="F75" s="50">
        <v>0</v>
      </c>
      <c r="G75" s="50">
        <v>0</v>
      </c>
      <c r="H75" s="50">
        <v>0</v>
      </c>
      <c r="I75" s="50">
        <v>0</v>
      </c>
      <c r="J75" s="50">
        <v>0</v>
      </c>
      <c r="K75" s="50">
        <v>0</v>
      </c>
      <c r="L75" s="50">
        <v>0</v>
      </c>
      <c r="M75" s="50">
        <v>0</v>
      </c>
      <c r="N75" s="50">
        <v>0</v>
      </c>
      <c r="O75" s="90">
        <f t="shared" ref="O75:O78" si="51">SUM(C75:N75)</f>
        <v>585923.37545084918</v>
      </c>
    </row>
    <row r="76" spans="1:15" x14ac:dyDescent="0.25">
      <c r="A76" s="82"/>
      <c r="B76" s="51" t="s">
        <v>178</v>
      </c>
      <c r="C76" s="50">
        <f>C43*(1+$K$62)</f>
        <v>4438813.4503852231</v>
      </c>
      <c r="D76" s="50">
        <f t="shared" ref="D76:N76" si="52">D43*(1+$K$62)</f>
        <v>4438813.4503852231</v>
      </c>
      <c r="E76" s="50">
        <f t="shared" si="52"/>
        <v>4438813.4503852231</v>
      </c>
      <c r="F76" s="50">
        <f t="shared" si="52"/>
        <v>4438813.4503852231</v>
      </c>
      <c r="G76" s="50">
        <f t="shared" si="52"/>
        <v>4438813.4503852231</v>
      </c>
      <c r="H76" s="50">
        <f t="shared" si="52"/>
        <v>4438813.4503852231</v>
      </c>
      <c r="I76" s="50">
        <f t="shared" si="52"/>
        <v>4438813.4503852231</v>
      </c>
      <c r="J76" s="50">
        <f t="shared" si="52"/>
        <v>4438813.4503852231</v>
      </c>
      <c r="K76" s="50">
        <f t="shared" si="52"/>
        <v>4438813.4503852231</v>
      </c>
      <c r="L76" s="50">
        <f t="shared" si="52"/>
        <v>4438813.4503852231</v>
      </c>
      <c r="M76" s="50">
        <f t="shared" si="52"/>
        <v>4438813.4503852231</v>
      </c>
      <c r="N76" s="50">
        <f t="shared" si="52"/>
        <v>4438813.4503852231</v>
      </c>
      <c r="O76" s="90">
        <f t="shared" si="51"/>
        <v>53265761.404622667</v>
      </c>
    </row>
    <row r="77" spans="1:15" x14ac:dyDescent="0.25">
      <c r="A77" s="84"/>
      <c r="B77" s="51" t="s">
        <v>248</v>
      </c>
      <c r="C77" s="50">
        <f>C44*(1+$K$62)</f>
        <v>532657.6140462266</v>
      </c>
      <c r="D77" s="50">
        <f t="shared" ref="D77:N77" si="53">D44*(1+$K$62)</f>
        <v>532657.6140462266</v>
      </c>
      <c r="E77" s="50">
        <f t="shared" si="53"/>
        <v>532657.6140462266</v>
      </c>
      <c r="F77" s="50">
        <f t="shared" si="53"/>
        <v>532657.6140462266</v>
      </c>
      <c r="G77" s="50">
        <f t="shared" si="53"/>
        <v>532657.6140462266</v>
      </c>
      <c r="H77" s="50">
        <f t="shared" si="53"/>
        <v>532657.6140462266</v>
      </c>
      <c r="I77" s="50">
        <f t="shared" si="53"/>
        <v>532657.6140462266</v>
      </c>
      <c r="J77" s="50">
        <f t="shared" si="53"/>
        <v>532657.6140462266</v>
      </c>
      <c r="K77" s="50">
        <f t="shared" si="53"/>
        <v>532657.6140462266</v>
      </c>
      <c r="L77" s="50">
        <f t="shared" si="53"/>
        <v>532657.6140462266</v>
      </c>
      <c r="M77" s="50">
        <f t="shared" si="53"/>
        <v>532657.6140462266</v>
      </c>
      <c r="N77" s="50">
        <f t="shared" si="53"/>
        <v>532657.6140462266</v>
      </c>
      <c r="O77" s="90">
        <f t="shared" si="51"/>
        <v>6391891.3685547179</v>
      </c>
    </row>
    <row r="78" spans="1:15" x14ac:dyDescent="0.25">
      <c r="A78" s="82"/>
      <c r="B78" s="46" t="s">
        <v>207</v>
      </c>
      <c r="C78" s="47">
        <f t="shared" ref="C78" si="54">SUM(C75:C77)</f>
        <v>5557394.4398822989</v>
      </c>
      <c r="D78" s="47">
        <f t="shared" ref="D78" si="55">SUM(D75:D77)</f>
        <v>4971471.0644314494</v>
      </c>
      <c r="E78" s="47">
        <f t="shared" ref="E78" si="56">SUM(E75:E77)</f>
        <v>4971471.0644314494</v>
      </c>
      <c r="F78" s="47">
        <f t="shared" ref="F78" si="57">SUM(F75:F77)</f>
        <v>4971471.0644314494</v>
      </c>
      <c r="G78" s="47">
        <f t="shared" ref="G78" si="58">SUM(G75:G77)</f>
        <v>4971471.0644314494</v>
      </c>
      <c r="H78" s="47">
        <f t="shared" ref="H78" si="59">SUM(H75:H77)</f>
        <v>4971471.0644314494</v>
      </c>
      <c r="I78" s="47">
        <f t="shared" ref="I78" si="60">SUM(I75:I77)</f>
        <v>4971471.0644314494</v>
      </c>
      <c r="J78" s="47">
        <f t="shared" ref="J78" si="61">SUM(J75:J77)</f>
        <v>4971471.0644314494</v>
      </c>
      <c r="K78" s="47">
        <f t="shared" ref="K78" si="62">SUM(K75:K77)</f>
        <v>4971471.0644314494</v>
      </c>
      <c r="L78" s="47">
        <f t="shared" ref="L78" si="63">SUM(L75:L77)</f>
        <v>4971471.0644314494</v>
      </c>
      <c r="M78" s="47">
        <f t="shared" ref="M78" si="64">SUM(M75:M77)</f>
        <v>4971471.0644314494</v>
      </c>
      <c r="N78" s="47">
        <f t="shared" ref="N78" si="65">SUM(N75:N77)</f>
        <v>4971471.0644314494</v>
      </c>
      <c r="O78" s="47">
        <f t="shared" si="51"/>
        <v>60243576.148628257</v>
      </c>
    </row>
    <row r="79" spans="1:15" x14ac:dyDescent="0.25">
      <c r="A79" s="82"/>
      <c r="B79" s="55" t="s">
        <v>83</v>
      </c>
      <c r="C79" s="59" t="s">
        <v>173</v>
      </c>
      <c r="D79" s="59" t="s">
        <v>173</v>
      </c>
      <c r="E79" s="59" t="s">
        <v>173</v>
      </c>
      <c r="F79" s="59" t="s">
        <v>173</v>
      </c>
      <c r="G79" s="59" t="s">
        <v>173</v>
      </c>
      <c r="H79" s="59" t="s">
        <v>173</v>
      </c>
      <c r="I79" s="59" t="s">
        <v>173</v>
      </c>
      <c r="J79" s="59" t="s">
        <v>173</v>
      </c>
      <c r="K79" s="59" t="s">
        <v>173</v>
      </c>
      <c r="L79" s="59" t="s">
        <v>173</v>
      </c>
      <c r="M79" s="59" t="s">
        <v>173</v>
      </c>
      <c r="N79" s="59" t="s">
        <v>173</v>
      </c>
      <c r="O79" s="91" t="s">
        <v>173</v>
      </c>
    </row>
    <row r="80" spans="1:15" x14ac:dyDescent="0.25">
      <c r="A80" s="82"/>
      <c r="B80" s="57" t="s">
        <v>210</v>
      </c>
      <c r="C80" s="89">
        <f t="shared" ref="C80:N80" si="66">C47*(1+$K$95)</f>
        <v>2938494.5041550179</v>
      </c>
      <c r="D80" s="89">
        <f t="shared" si="66"/>
        <v>3542173.1334074079</v>
      </c>
      <c r="E80" s="89">
        <f t="shared" si="66"/>
        <v>3266966.6994835213</v>
      </c>
      <c r="F80" s="89">
        <f t="shared" si="66"/>
        <v>3053903.6538650333</v>
      </c>
      <c r="G80" s="89">
        <f t="shared" si="66"/>
        <v>2805330.1006434602</v>
      </c>
      <c r="H80" s="89">
        <f t="shared" si="66"/>
        <v>3515540.2527050958</v>
      </c>
      <c r="I80" s="89">
        <f t="shared" si="66"/>
        <v>4101463.6281559444</v>
      </c>
      <c r="J80" s="89">
        <f t="shared" si="66"/>
        <v>3932788.7170413067</v>
      </c>
      <c r="K80" s="89">
        <f t="shared" si="66"/>
        <v>3036148.400063491</v>
      </c>
      <c r="L80" s="89">
        <f t="shared" si="66"/>
        <v>3116047.0421704263</v>
      </c>
      <c r="M80" s="89">
        <f t="shared" si="66"/>
        <v>2965127.3848573281</v>
      </c>
      <c r="N80" s="89">
        <f t="shared" si="66"/>
        <v>3204823.3111781287</v>
      </c>
      <c r="O80" s="92">
        <f t="shared" ref="O80:O88" si="67">SUM(C80:N80)</f>
        <v>39478806.827726163</v>
      </c>
    </row>
    <row r="81" spans="1:25" x14ac:dyDescent="0.25">
      <c r="A81" s="82"/>
      <c r="B81" s="57" t="s">
        <v>203</v>
      </c>
      <c r="C81" s="89">
        <f t="shared" ref="C81:N81" si="68">C48*(1+$K$95)</f>
        <v>10608764.146420678</v>
      </c>
      <c r="D81" s="89">
        <f t="shared" si="68"/>
        <v>11425505.821291564</v>
      </c>
      <c r="E81" s="89">
        <f t="shared" si="68"/>
        <v>12810415.617811752</v>
      </c>
      <c r="F81" s="89">
        <f t="shared" si="68"/>
        <v>9712123.8294428717</v>
      </c>
      <c r="G81" s="89">
        <f t="shared" si="68"/>
        <v>12925824.767521771</v>
      </c>
      <c r="H81" s="89">
        <f t="shared" si="68"/>
        <v>12180104.107857047</v>
      </c>
      <c r="I81" s="89">
        <f t="shared" si="68"/>
        <v>11176932.268069996</v>
      </c>
      <c r="J81" s="89">
        <f t="shared" si="68"/>
        <v>13289807.470453355</v>
      </c>
      <c r="K81" s="89">
        <f t="shared" si="68"/>
        <v>12987968.155827155</v>
      </c>
      <c r="L81" s="89">
        <f t="shared" si="68"/>
        <v>12987968.155827155</v>
      </c>
      <c r="M81" s="89">
        <f t="shared" si="68"/>
        <v>10093861.786176</v>
      </c>
      <c r="N81" s="89">
        <f t="shared" si="68"/>
        <v>12446432.914880166</v>
      </c>
      <c r="O81" s="92">
        <f t="shared" si="67"/>
        <v>142645709.04157948</v>
      </c>
    </row>
    <row r="82" spans="1:25" x14ac:dyDescent="0.25">
      <c r="A82" s="82"/>
      <c r="B82" s="58" t="s">
        <v>84</v>
      </c>
      <c r="C82" s="89">
        <f t="shared" ref="C82:N82" si="69">C49*(1+$K$95)</f>
        <v>9383651.6341143567</v>
      </c>
      <c r="D82" s="89">
        <f t="shared" si="69"/>
        <v>10244781.44348909</v>
      </c>
      <c r="E82" s="89">
        <f t="shared" si="69"/>
        <v>10280291.951092171</v>
      </c>
      <c r="F82" s="89">
        <f t="shared" si="69"/>
        <v>10617641.773321452</v>
      </c>
      <c r="G82" s="89">
        <f t="shared" si="69"/>
        <v>12561842.06459018</v>
      </c>
      <c r="H82" s="89">
        <f t="shared" si="69"/>
        <v>10866215.326543022</v>
      </c>
      <c r="I82" s="89">
        <f t="shared" si="69"/>
        <v>11283463.790879238</v>
      </c>
      <c r="J82" s="89">
        <f t="shared" si="69"/>
        <v>12987968.155827155</v>
      </c>
      <c r="K82" s="89">
        <f t="shared" si="69"/>
        <v>11887142.420131629</v>
      </c>
      <c r="L82" s="89">
        <f t="shared" si="69"/>
        <v>11869387.166330086</v>
      </c>
      <c r="M82" s="89">
        <f t="shared" si="69"/>
        <v>12703884.0950025</v>
      </c>
      <c r="N82" s="89">
        <f t="shared" si="69"/>
        <v>10200393.308985241</v>
      </c>
      <c r="O82" s="92">
        <f t="shared" si="67"/>
        <v>134886663.13030609</v>
      </c>
    </row>
    <row r="83" spans="1:25" x14ac:dyDescent="0.25">
      <c r="A83" s="82"/>
      <c r="B83" s="57" t="s">
        <v>85</v>
      </c>
      <c r="C83" s="89">
        <f t="shared" ref="C83:N83" si="70">C50*(1+$K$95)</f>
        <v>10901725.834146107</v>
      </c>
      <c r="D83" s="89">
        <f t="shared" si="70"/>
        <v>9330385.8727097437</v>
      </c>
      <c r="E83" s="89">
        <f t="shared" si="70"/>
        <v>9658858.0680382419</v>
      </c>
      <c r="F83" s="89">
        <f t="shared" si="70"/>
        <v>9809777.7253513373</v>
      </c>
      <c r="G83" s="89">
        <f t="shared" si="70"/>
        <v>13192153.574544877</v>
      </c>
      <c r="H83" s="89">
        <f t="shared" si="70"/>
        <v>9685490.9487405568</v>
      </c>
      <c r="I83" s="89">
        <f t="shared" si="70"/>
        <v>11239075.656375382</v>
      </c>
      <c r="J83" s="89">
        <f t="shared" si="70"/>
        <v>8895382.1545719858</v>
      </c>
      <c r="K83" s="89">
        <f t="shared" si="70"/>
        <v>11567547.851703892</v>
      </c>
      <c r="L83" s="89">
        <f t="shared" si="70"/>
        <v>9188343.8422974106</v>
      </c>
      <c r="M83" s="89">
        <f t="shared" si="70"/>
        <v>11700712.255215446</v>
      </c>
      <c r="N83" s="89">
        <f t="shared" si="70"/>
        <v>11141421.760466905</v>
      </c>
      <c r="O83" s="92">
        <f t="shared" si="67"/>
        <v>126310875.54416187</v>
      </c>
    </row>
    <row r="84" spans="1:25" x14ac:dyDescent="0.25">
      <c r="A84" s="84"/>
      <c r="B84" s="58" t="s">
        <v>249</v>
      </c>
      <c r="C84" s="89">
        <f t="shared" ref="C84:N84" si="71">C72*5%</f>
        <v>10761683.593170173</v>
      </c>
      <c r="D84" s="89">
        <f t="shared" si="71"/>
        <v>10761683.593170173</v>
      </c>
      <c r="E84" s="89">
        <f t="shared" si="71"/>
        <v>10761683.593170173</v>
      </c>
      <c r="F84" s="89">
        <f t="shared" si="71"/>
        <v>10761683.593170173</v>
      </c>
      <c r="G84" s="89">
        <f t="shared" si="71"/>
        <v>10761683.593170173</v>
      </c>
      <c r="H84" s="89">
        <f t="shared" si="71"/>
        <v>10761683.593170173</v>
      </c>
      <c r="I84" s="89">
        <f t="shared" si="71"/>
        <v>10761683.593170173</v>
      </c>
      <c r="J84" s="89">
        <f t="shared" si="71"/>
        <v>10761683.593170173</v>
      </c>
      <c r="K84" s="89">
        <f t="shared" si="71"/>
        <v>10761683.593170173</v>
      </c>
      <c r="L84" s="89">
        <f t="shared" si="71"/>
        <v>10761683.593170173</v>
      </c>
      <c r="M84" s="89">
        <f t="shared" si="71"/>
        <v>10761683.593170173</v>
      </c>
      <c r="N84" s="89">
        <f t="shared" si="71"/>
        <v>10761683.593170173</v>
      </c>
      <c r="O84" s="92">
        <f t="shared" si="67"/>
        <v>129140203.11804205</v>
      </c>
    </row>
    <row r="85" spans="1:25" x14ac:dyDescent="0.25">
      <c r="A85" s="84"/>
      <c r="B85" s="58" t="s">
        <v>180</v>
      </c>
      <c r="C85" s="89">
        <f t="shared" ref="C85:N85" si="72">C52*(1+$K$95)</f>
        <v>9078914.3884512447</v>
      </c>
      <c r="D85" s="89">
        <f t="shared" si="72"/>
        <v>7770308.6500507034</v>
      </c>
      <c r="E85" s="89">
        <f t="shared" si="72"/>
        <v>8043859.0021457272</v>
      </c>
      <c r="F85" s="89">
        <f t="shared" si="72"/>
        <v>8169544.2990542538</v>
      </c>
      <c r="G85" s="89">
        <f t="shared" si="72"/>
        <v>10986373.600357123</v>
      </c>
      <c r="H85" s="89">
        <f t="shared" si="72"/>
        <v>8066038.7604237068</v>
      </c>
      <c r="I85" s="89">
        <f t="shared" si="72"/>
        <v>9359857.9933055975</v>
      </c>
      <c r="J85" s="89">
        <f t="shared" si="72"/>
        <v>7408039.2648437675</v>
      </c>
      <c r="K85" s="89">
        <f t="shared" si="72"/>
        <v>9633408.3454006314</v>
      </c>
      <c r="L85" s="89">
        <f t="shared" si="72"/>
        <v>7652016.6059014965</v>
      </c>
      <c r="M85" s="89">
        <f t="shared" si="72"/>
        <v>9744307.1367905047</v>
      </c>
      <c r="N85" s="89">
        <f t="shared" si="72"/>
        <v>9278532.2129530199</v>
      </c>
      <c r="O85" s="92">
        <f t="shared" si="67"/>
        <v>105191200.25967775</v>
      </c>
    </row>
    <row r="86" spans="1:25" x14ac:dyDescent="0.25">
      <c r="A86" s="84"/>
      <c r="B86" s="58" t="s">
        <v>86</v>
      </c>
      <c r="C86" s="89">
        <f t="shared" ref="C86:N86" si="73">C53*(1+$K$95)</f>
        <v>8058994.5727792364</v>
      </c>
      <c r="D86" s="89">
        <f t="shared" si="73"/>
        <v>8058994.5727792364</v>
      </c>
      <c r="E86" s="89">
        <f t="shared" si="73"/>
        <v>8058994.5727792364</v>
      </c>
      <c r="F86" s="89">
        <f t="shared" si="73"/>
        <v>8058994.5727792364</v>
      </c>
      <c r="G86" s="89">
        <f t="shared" si="73"/>
        <v>8058994.5727792364</v>
      </c>
      <c r="H86" s="89">
        <f t="shared" si="73"/>
        <v>8058994.5727792364</v>
      </c>
      <c r="I86" s="89">
        <f t="shared" si="73"/>
        <v>8058994.5727792364</v>
      </c>
      <c r="J86" s="89">
        <f t="shared" si="73"/>
        <v>8058994.5727792364</v>
      </c>
      <c r="K86" s="89">
        <f t="shared" si="73"/>
        <v>8058994.5727792364</v>
      </c>
      <c r="L86" s="89">
        <f t="shared" si="73"/>
        <v>8058994.5727792364</v>
      </c>
      <c r="M86" s="89">
        <f t="shared" si="73"/>
        <v>8058994.5727792364</v>
      </c>
      <c r="N86" s="89">
        <f t="shared" si="73"/>
        <v>8058994.5727792364</v>
      </c>
      <c r="O86" s="92">
        <f t="shared" si="67"/>
        <v>96707934.873350844</v>
      </c>
    </row>
    <row r="87" spans="1:25" x14ac:dyDescent="0.25">
      <c r="A87" s="82"/>
      <c r="B87" s="46" t="s">
        <v>208</v>
      </c>
      <c r="C87" s="47">
        <f t="shared" ref="C87:N87" si="74">SUM(C80:C86)</f>
        <v>61732228.673236817</v>
      </c>
      <c r="D87" s="47">
        <f t="shared" si="74"/>
        <v>61133833.086897925</v>
      </c>
      <c r="E87" s="47">
        <f t="shared" si="74"/>
        <v>62881069.504520826</v>
      </c>
      <c r="F87" s="47">
        <f t="shared" si="74"/>
        <v>60183669.446984351</v>
      </c>
      <c r="G87" s="47">
        <f t="shared" si="74"/>
        <v>71292202.273606822</v>
      </c>
      <c r="H87" s="47">
        <f t="shared" si="74"/>
        <v>63134067.562218837</v>
      </c>
      <c r="I87" s="47">
        <f t="shared" si="74"/>
        <v>65981471.50273557</v>
      </c>
      <c r="J87" s="47">
        <f t="shared" si="74"/>
        <v>65334663.928686984</v>
      </c>
      <c r="K87" s="47">
        <f t="shared" si="74"/>
        <v>67932893.339076206</v>
      </c>
      <c r="L87" s="47">
        <f t="shared" si="74"/>
        <v>63634440.978475988</v>
      </c>
      <c r="M87" s="47">
        <f t="shared" si="74"/>
        <v>66028570.823991194</v>
      </c>
      <c r="N87" s="47">
        <f t="shared" si="74"/>
        <v>65092281.674412876</v>
      </c>
      <c r="O87" s="47">
        <f t="shared" si="67"/>
        <v>774361392.79484439</v>
      </c>
    </row>
    <row r="88" spans="1:25" x14ac:dyDescent="0.25">
      <c r="A88" s="82"/>
      <c r="B88" s="60" t="s">
        <v>87</v>
      </c>
      <c r="C88" s="47">
        <f t="shared" ref="C88:N88" si="75">C78+C87</f>
        <v>67289623.11311911</v>
      </c>
      <c r="D88" s="47">
        <f t="shared" si="75"/>
        <v>66105304.151329376</v>
      </c>
      <c r="E88" s="47">
        <f t="shared" si="75"/>
        <v>67852540.568952277</v>
      </c>
      <c r="F88" s="47">
        <f t="shared" si="75"/>
        <v>65155140.511415802</v>
      </c>
      <c r="G88" s="47">
        <f t="shared" si="75"/>
        <v>76263673.338038266</v>
      </c>
      <c r="H88" s="47">
        <f t="shared" si="75"/>
        <v>68105538.626650289</v>
      </c>
      <c r="I88" s="47">
        <f t="shared" si="75"/>
        <v>70952942.567167014</v>
      </c>
      <c r="J88" s="47">
        <f t="shared" si="75"/>
        <v>70306134.993118435</v>
      </c>
      <c r="K88" s="47">
        <f t="shared" si="75"/>
        <v>72904364.40350765</v>
      </c>
      <c r="L88" s="47">
        <f t="shared" si="75"/>
        <v>68605912.042907432</v>
      </c>
      <c r="M88" s="47">
        <f t="shared" si="75"/>
        <v>71000041.888422638</v>
      </c>
      <c r="N88" s="47">
        <f t="shared" si="75"/>
        <v>70063752.73884432</v>
      </c>
      <c r="O88" s="47">
        <f t="shared" si="67"/>
        <v>834604968.94347262</v>
      </c>
    </row>
    <row r="89" spans="1:25" s="11" customFormat="1" x14ac:dyDescent="0.25">
      <c r="A89" s="82"/>
      <c r="B89" s="108" t="s">
        <v>204</v>
      </c>
      <c r="C89" s="109">
        <f>$O88*(3/12)/12</f>
        <v>17387603.519655678</v>
      </c>
      <c r="D89" s="109">
        <f t="shared" ref="D89" si="76">$O88*(3/12)/12</f>
        <v>17387603.519655678</v>
      </c>
      <c r="E89" s="109">
        <f t="shared" ref="E89" si="77">$O88*(3/12)/12</f>
        <v>17387603.519655678</v>
      </c>
      <c r="F89" s="109">
        <f t="shared" ref="F89" si="78">$O88*(3/12)/12</f>
        <v>17387603.519655678</v>
      </c>
      <c r="G89" s="109">
        <f t="shared" ref="G89" si="79">$O88*(3/12)/12</f>
        <v>17387603.519655678</v>
      </c>
      <c r="H89" s="109">
        <f t="shared" ref="H89" si="80">$O88*(3/12)/12</f>
        <v>17387603.519655678</v>
      </c>
      <c r="I89" s="109">
        <f t="shared" ref="I89" si="81">$O88*(3/12)/12</f>
        <v>17387603.519655678</v>
      </c>
      <c r="J89" s="109">
        <f t="shared" ref="J89" si="82">$O88*(3/12)/12</f>
        <v>17387603.519655678</v>
      </c>
      <c r="K89" s="109">
        <f t="shared" ref="K89" si="83">$O88*(3/12)/12</f>
        <v>17387603.519655678</v>
      </c>
      <c r="L89" s="109">
        <f t="shared" ref="L89" si="84">$O88*(3/12)/12</f>
        <v>17387603.519655678</v>
      </c>
      <c r="M89" s="109">
        <f t="shared" ref="M89" si="85">$O88*(3/12)/12</f>
        <v>17387603.519655678</v>
      </c>
      <c r="N89" s="109">
        <f>$O88*(3/12)/12</f>
        <v>17387603.519655678</v>
      </c>
      <c r="O89" s="109">
        <f t="shared" ref="O89:O92" si="86">SUM(C89:N89)</f>
        <v>208651242.23586813</v>
      </c>
      <c r="P89" s="43"/>
      <c r="Q89" s="43"/>
      <c r="R89" s="40"/>
      <c r="S89" s="40"/>
      <c r="T89" s="40"/>
      <c r="U89" s="40"/>
      <c r="V89" s="40"/>
      <c r="W89" s="40"/>
      <c r="X89" s="40"/>
      <c r="Y89" s="40"/>
    </row>
    <row r="90" spans="1:25" s="11" customFormat="1" x14ac:dyDescent="0.25">
      <c r="A90" s="82"/>
      <c r="B90" s="108" t="s">
        <v>82</v>
      </c>
      <c r="C90" s="109">
        <f>'6. Mortgage payment'!$C$7</f>
        <v>28168245.060798287</v>
      </c>
      <c r="D90" s="109">
        <f>'6. Mortgage payment'!$C$7</f>
        <v>28168245.060798287</v>
      </c>
      <c r="E90" s="109">
        <f>'6. Mortgage payment'!$C$7</f>
        <v>28168245.060798287</v>
      </c>
      <c r="F90" s="109">
        <f>'6. Mortgage payment'!$C$7</f>
        <v>28168245.060798287</v>
      </c>
      <c r="G90" s="109">
        <f>'6. Mortgage payment'!$C$7</f>
        <v>28168245.060798287</v>
      </c>
      <c r="H90" s="109">
        <f>'6. Mortgage payment'!$C$7</f>
        <v>28168245.060798287</v>
      </c>
      <c r="I90" s="109">
        <f>'6. Mortgage payment'!$C$7</f>
        <v>28168245.060798287</v>
      </c>
      <c r="J90" s="109">
        <f>'6. Mortgage payment'!$C$7</f>
        <v>28168245.060798287</v>
      </c>
      <c r="K90" s="109">
        <f>'6. Mortgage payment'!$C$7</f>
        <v>28168245.060798287</v>
      </c>
      <c r="L90" s="109">
        <f>'6. Mortgage payment'!$C$7</f>
        <v>28168245.060798287</v>
      </c>
      <c r="M90" s="109">
        <f>'6. Mortgage payment'!$C$7</f>
        <v>28168245.060798287</v>
      </c>
      <c r="N90" s="109">
        <f>'6. Mortgage payment'!$C$7</f>
        <v>28168245.060798287</v>
      </c>
      <c r="O90" s="109">
        <f t="shared" si="86"/>
        <v>338018940.72957945</v>
      </c>
      <c r="P90" s="43"/>
      <c r="Q90" s="43"/>
      <c r="R90" s="40"/>
      <c r="S90" s="40"/>
      <c r="T90" s="40"/>
      <c r="U90" s="40"/>
      <c r="V90" s="40"/>
      <c r="W90" s="40"/>
      <c r="X90" s="40"/>
      <c r="Y90" s="40"/>
    </row>
    <row r="91" spans="1:25" s="11" customFormat="1" x14ac:dyDescent="0.25">
      <c r="A91" s="82"/>
      <c r="B91" s="108" t="s">
        <v>386</v>
      </c>
      <c r="C91" s="109">
        <f>C58*(1+$K$29)</f>
        <v>4865096.2650413122</v>
      </c>
      <c r="D91" s="109">
        <f t="shared" ref="D91:N91" si="87">D58*(1+$K$29)</f>
        <v>0</v>
      </c>
      <c r="E91" s="109">
        <f t="shared" si="87"/>
        <v>0</v>
      </c>
      <c r="F91" s="109">
        <f t="shared" si="87"/>
        <v>0</v>
      </c>
      <c r="G91" s="109">
        <f t="shared" si="87"/>
        <v>0</v>
      </c>
      <c r="H91" s="109">
        <f t="shared" si="87"/>
        <v>0</v>
      </c>
      <c r="I91" s="109">
        <f t="shared" si="87"/>
        <v>0</v>
      </c>
      <c r="J91" s="109">
        <f t="shared" si="87"/>
        <v>0</v>
      </c>
      <c r="K91" s="109">
        <f t="shared" si="87"/>
        <v>0</v>
      </c>
      <c r="L91" s="109">
        <f t="shared" si="87"/>
        <v>0</v>
      </c>
      <c r="M91" s="109">
        <f t="shared" si="87"/>
        <v>0</v>
      </c>
      <c r="N91" s="109">
        <f t="shared" si="87"/>
        <v>0</v>
      </c>
      <c r="O91" s="109">
        <f t="shared" si="86"/>
        <v>4865096.2650413122</v>
      </c>
      <c r="P91" s="43"/>
      <c r="Q91" s="43"/>
      <c r="R91" s="40"/>
      <c r="S91" s="40"/>
      <c r="T91" s="40"/>
      <c r="U91" s="40"/>
      <c r="V91" s="40"/>
      <c r="W91" s="40"/>
      <c r="X91" s="40"/>
      <c r="Y91" s="40"/>
    </row>
    <row r="92" spans="1:25" s="11" customFormat="1" x14ac:dyDescent="0.25">
      <c r="A92" s="82"/>
      <c r="B92" s="60" t="s">
        <v>206</v>
      </c>
      <c r="C92" s="61">
        <f>C72-C88-C89-C90-C91</f>
        <v>97523103.904789045</v>
      </c>
      <c r="D92" s="61">
        <f t="shared" ref="D92" si="88">D72-D88-D89-D90-D91</f>
        <v>103572519.13162011</v>
      </c>
      <c r="E92" s="61">
        <f t="shared" ref="E92" si="89">E72-E88-E89-E90-E91</f>
        <v>101825282.71399722</v>
      </c>
      <c r="F92" s="61">
        <f t="shared" ref="F92" si="90">F72-F88-F89-F90-F91</f>
        <v>104522682.77153367</v>
      </c>
      <c r="G92" s="61">
        <f t="shared" ref="G92" si="91">G72-G88-G89-G90-G91</f>
        <v>93414149.944911212</v>
      </c>
      <c r="H92" s="61">
        <f t="shared" ref="H92" si="92">H72-H88-H89-H90-H91</f>
        <v>101572284.6562992</v>
      </c>
      <c r="I92" s="61">
        <f t="shared" ref="I92" si="93">I72-I88-I89-I90-I91</f>
        <v>98724880.715782464</v>
      </c>
      <c r="J92" s="61">
        <f t="shared" ref="J92" si="94">J72-J88-J89-J90-J91</f>
        <v>99371688.289831042</v>
      </c>
      <c r="K92" s="61">
        <f t="shared" ref="K92" si="95">K72-K88-K89-K90-K91</f>
        <v>96773458.879441828</v>
      </c>
      <c r="L92" s="61">
        <f t="shared" ref="L92" si="96">L72-L88-L89-L90-L91</f>
        <v>101071911.24004206</v>
      </c>
      <c r="M92" s="61">
        <f t="shared" ref="M92" si="97">M72-M88-M89-M90-M91</f>
        <v>98677781.394526839</v>
      </c>
      <c r="N92" s="61">
        <f t="shared" ref="N92" si="98">N72-N88-N89-N90-N91</f>
        <v>99614070.544105142</v>
      </c>
      <c r="O92" s="47">
        <f t="shared" si="86"/>
        <v>1196663814.1868799</v>
      </c>
      <c r="P92" s="43"/>
      <c r="Q92" s="43"/>
      <c r="R92" s="40"/>
      <c r="S92" s="40"/>
      <c r="T92" s="40"/>
      <c r="U92" s="40"/>
      <c r="V92" s="40"/>
      <c r="W92" s="40"/>
      <c r="X92" s="40"/>
      <c r="Y92" s="40"/>
    </row>
    <row r="93" spans="1:25" x14ac:dyDescent="0.25">
      <c r="A93" s="85"/>
      <c r="B93" s="40"/>
      <c r="C93" s="40"/>
      <c r="D93" s="40"/>
      <c r="E93" s="40"/>
      <c r="F93" s="40"/>
      <c r="G93" s="40"/>
      <c r="H93" s="40"/>
      <c r="I93" s="40"/>
      <c r="J93" s="40"/>
      <c r="K93" s="40"/>
      <c r="L93" s="353" t="s">
        <v>217</v>
      </c>
      <c r="M93" s="354"/>
      <c r="N93" s="350">
        <f>SUM(C92:N92)+N60</f>
        <v>21227283365.288635</v>
      </c>
      <c r="O93" s="40"/>
    </row>
    <row r="94" spans="1:25" x14ac:dyDescent="0.25">
      <c r="A94" s="85"/>
      <c r="B94" s="40"/>
      <c r="C94" s="40"/>
      <c r="D94" s="40"/>
      <c r="E94" s="40"/>
      <c r="F94" s="40"/>
      <c r="G94" s="40"/>
      <c r="H94" s="40"/>
      <c r="I94" s="40"/>
      <c r="J94" s="40"/>
      <c r="K94" s="40"/>
      <c r="L94" s="320"/>
      <c r="M94" s="355"/>
      <c r="N94" s="351"/>
      <c r="O94" s="40"/>
    </row>
    <row r="95" spans="1:25" x14ac:dyDescent="0.25">
      <c r="A95" s="85"/>
      <c r="B95" s="319" t="s">
        <v>632</v>
      </c>
      <c r="C95" s="352" t="s">
        <v>173</v>
      </c>
      <c r="D95" s="352"/>
      <c r="E95" s="352"/>
      <c r="F95" s="352"/>
      <c r="G95" s="352"/>
      <c r="H95" s="352"/>
      <c r="I95" s="40"/>
      <c r="J95" s="358" t="s">
        <v>231</v>
      </c>
      <c r="K95" s="359">
        <v>0.04</v>
      </c>
      <c r="L95" s="40"/>
      <c r="M95" s="40"/>
      <c r="N95" s="40"/>
      <c r="O95" s="361"/>
    </row>
    <row r="96" spans="1:25" x14ac:dyDescent="0.25">
      <c r="A96" s="85"/>
      <c r="B96" s="319"/>
      <c r="C96" s="352"/>
      <c r="D96" s="352"/>
      <c r="E96" s="352"/>
      <c r="F96" s="352"/>
      <c r="G96" s="352"/>
      <c r="H96" s="352"/>
      <c r="I96" s="40"/>
      <c r="J96" s="358"/>
      <c r="K96" s="360"/>
      <c r="L96" s="40"/>
      <c r="M96" s="40"/>
      <c r="N96" s="40"/>
      <c r="O96" s="362"/>
    </row>
    <row r="97" spans="1:15" x14ac:dyDescent="0.25">
      <c r="A97" s="85"/>
      <c r="B97" s="319"/>
      <c r="C97" s="352"/>
      <c r="D97" s="352"/>
      <c r="E97" s="352"/>
      <c r="F97" s="352"/>
      <c r="G97" s="352"/>
      <c r="H97" s="352"/>
      <c r="I97" s="40"/>
      <c r="J97" s="40"/>
      <c r="K97" s="40"/>
      <c r="L97" s="40"/>
      <c r="M97" s="40"/>
      <c r="N97" s="40"/>
      <c r="O97" s="40"/>
    </row>
    <row r="100" spans="1:15" ht="24.6" x14ac:dyDescent="0.25">
      <c r="A100" s="96"/>
      <c r="B100" s="348" t="s">
        <v>281</v>
      </c>
      <c r="C100" s="348"/>
      <c r="D100" s="348"/>
      <c r="E100" s="348"/>
      <c r="F100" s="348"/>
      <c r="G100" s="348"/>
      <c r="H100" s="348"/>
      <c r="I100" s="348"/>
      <c r="J100" s="348"/>
      <c r="K100" s="348"/>
      <c r="L100" s="348"/>
      <c r="M100" s="348"/>
      <c r="N100" s="348"/>
      <c r="O100" s="348"/>
    </row>
    <row r="101" spans="1:15" ht="24.6" x14ac:dyDescent="0.25">
      <c r="A101" s="96"/>
      <c r="B101" s="349"/>
      <c r="C101" s="349"/>
      <c r="D101" s="349"/>
      <c r="E101" s="349"/>
      <c r="F101" s="349"/>
      <c r="G101" s="349"/>
      <c r="H101" s="349"/>
      <c r="I101" s="349"/>
      <c r="J101" s="349"/>
      <c r="K101" s="349"/>
      <c r="L101" s="349"/>
      <c r="M101" s="349"/>
      <c r="N101" s="349"/>
      <c r="O101" s="349"/>
    </row>
    <row r="102" spans="1:15" x14ac:dyDescent="0.25">
      <c r="A102" s="82"/>
      <c r="B102" s="41"/>
      <c r="C102" s="42" t="s">
        <v>66</v>
      </c>
      <c r="D102" s="42" t="s">
        <v>67</v>
      </c>
      <c r="E102" s="42" t="s">
        <v>68</v>
      </c>
      <c r="F102" s="42" t="s">
        <v>69</v>
      </c>
      <c r="G102" s="42" t="s">
        <v>70</v>
      </c>
      <c r="H102" s="42" t="s">
        <v>71</v>
      </c>
      <c r="I102" s="42" t="s">
        <v>72</v>
      </c>
      <c r="J102" s="42" t="s">
        <v>73</v>
      </c>
      <c r="K102" s="42" t="s">
        <v>74</v>
      </c>
      <c r="L102" s="42" t="s">
        <v>75</v>
      </c>
      <c r="M102" s="42" t="s">
        <v>76</v>
      </c>
      <c r="N102" s="42" t="s">
        <v>77</v>
      </c>
      <c r="O102" s="42" t="s">
        <v>236</v>
      </c>
    </row>
    <row r="103" spans="1:15" x14ac:dyDescent="0.25">
      <c r="A103" s="82"/>
      <c r="B103" s="44" t="s">
        <v>194</v>
      </c>
      <c r="C103" s="45">
        <f>'3.1. My Income Tax Calculation'!$P$41/12</f>
        <v>0</v>
      </c>
      <c r="D103" s="45">
        <f>'3.1. My Income Tax Calculation'!$P$41/12</f>
        <v>0</v>
      </c>
      <c r="E103" s="45">
        <f>'3.1. My Income Tax Calculation'!$P$41/12</f>
        <v>0</v>
      </c>
      <c r="F103" s="45">
        <f>'3.1. My Income Tax Calculation'!$P$41/12</f>
        <v>0</v>
      </c>
      <c r="G103" s="45">
        <f>'3.1. My Income Tax Calculation'!$P$41/12</f>
        <v>0</v>
      </c>
      <c r="H103" s="45">
        <f>'3.1. My Income Tax Calculation'!$P$41/12</f>
        <v>0</v>
      </c>
      <c r="I103" s="45">
        <f>'3.1. My Income Tax Calculation'!$P$41/12</f>
        <v>0</v>
      </c>
      <c r="J103" s="45">
        <f>'3.1. My Income Tax Calculation'!$P$41/12</f>
        <v>0</v>
      </c>
      <c r="K103" s="45">
        <f>'3.1. My Income Tax Calculation'!$P$41/12</f>
        <v>0</v>
      </c>
      <c r="L103" s="45">
        <f>'3.1. My Income Tax Calculation'!$P$41/12</f>
        <v>0</v>
      </c>
      <c r="M103" s="45">
        <f>'3.1. My Income Tax Calculation'!$P$41/12</f>
        <v>0</v>
      </c>
      <c r="N103" s="45">
        <f>'3.1. My Income Tax Calculation'!$P$41/12</f>
        <v>0</v>
      </c>
      <c r="O103" s="45" t="s">
        <v>173</v>
      </c>
    </row>
    <row r="104" spans="1:15" x14ac:dyDescent="0.25">
      <c r="A104" s="82"/>
      <c r="B104" s="44" t="s">
        <v>246</v>
      </c>
      <c r="C104" s="45">
        <f>'3.2. My wife''s Tax Calc'!$P$41/12</f>
        <v>66949739.165036738</v>
      </c>
      <c r="D104" s="45">
        <f>'3.2. My wife''s Tax Calc'!$P$41/12</f>
        <v>66949739.165036738</v>
      </c>
      <c r="E104" s="45">
        <f>'3.2. My wife''s Tax Calc'!$P$41/12</f>
        <v>66949739.165036738</v>
      </c>
      <c r="F104" s="45">
        <f>'3.2. My wife''s Tax Calc'!$P$41/12</f>
        <v>66949739.165036738</v>
      </c>
      <c r="G104" s="45">
        <f>'3.2. My wife''s Tax Calc'!$P$41/12</f>
        <v>66949739.165036738</v>
      </c>
      <c r="H104" s="45">
        <f>'3.2. My wife''s Tax Calc'!$P$41/12</f>
        <v>66949739.165036738</v>
      </c>
      <c r="I104" s="45">
        <f>'3.2. My wife''s Tax Calc'!$P$41/12</f>
        <v>66949739.165036738</v>
      </c>
      <c r="J104" s="45">
        <f>'3.2. My wife''s Tax Calc'!$P$41/12</f>
        <v>66949739.165036738</v>
      </c>
      <c r="K104" s="45">
        <f>'3.2. My wife''s Tax Calc'!$P$41/12</f>
        <v>66949739.165036738</v>
      </c>
      <c r="L104" s="45">
        <f>'3.2. My wife''s Tax Calc'!$P$41/12</f>
        <v>66949739.165036738</v>
      </c>
      <c r="M104" s="45">
        <f>'3.2. My wife''s Tax Calc'!$P$41/12</f>
        <v>66949739.165036738</v>
      </c>
      <c r="N104" s="45">
        <f>'3.2. My wife''s Tax Calc'!$P$41/12</f>
        <v>66949739.165036738</v>
      </c>
      <c r="O104" s="45" t="s">
        <v>173</v>
      </c>
    </row>
    <row r="105" spans="1:15" x14ac:dyDescent="0.25">
      <c r="A105" s="82"/>
      <c r="B105" s="46" t="s">
        <v>209</v>
      </c>
      <c r="C105" s="47">
        <f>SUM(C103:C104)</f>
        <v>66949739.165036738</v>
      </c>
      <c r="D105" s="47">
        <f t="shared" ref="D105:J105" si="99">SUM(D103:D104)</f>
        <v>66949739.165036738</v>
      </c>
      <c r="E105" s="47">
        <f t="shared" si="99"/>
        <v>66949739.165036738</v>
      </c>
      <c r="F105" s="47">
        <f t="shared" si="99"/>
        <v>66949739.165036738</v>
      </c>
      <c r="G105" s="47">
        <f t="shared" si="99"/>
        <v>66949739.165036738</v>
      </c>
      <c r="H105" s="47">
        <f t="shared" si="99"/>
        <v>66949739.165036738</v>
      </c>
      <c r="I105" s="47">
        <f t="shared" si="99"/>
        <v>66949739.165036738</v>
      </c>
      <c r="J105" s="47">
        <f t="shared" si="99"/>
        <v>66949739.165036738</v>
      </c>
      <c r="K105" s="47">
        <f>SUM(K103:K104)</f>
        <v>66949739.165036738</v>
      </c>
      <c r="L105" s="47">
        <f t="shared" ref="L105:N105" si="100">SUM(L103:L104)</f>
        <v>66949739.165036738</v>
      </c>
      <c r="M105" s="47">
        <f t="shared" si="100"/>
        <v>66949739.165036738</v>
      </c>
      <c r="N105" s="47">
        <f t="shared" si="100"/>
        <v>66949739.165036738</v>
      </c>
      <c r="O105" s="47">
        <f>SUM(C105:N105)</f>
        <v>803396869.98044062</v>
      </c>
    </row>
    <row r="106" spans="1:15" x14ac:dyDescent="0.25">
      <c r="A106" s="82"/>
      <c r="B106" s="52" t="s">
        <v>78</v>
      </c>
      <c r="C106" s="53" t="s">
        <v>173</v>
      </c>
      <c r="D106" s="53" t="s">
        <v>173</v>
      </c>
      <c r="E106" s="53" t="s">
        <v>173</v>
      </c>
      <c r="F106" s="53" t="s">
        <v>173</v>
      </c>
      <c r="G106" s="53" t="s">
        <v>173</v>
      </c>
      <c r="H106" s="53" t="s">
        <v>173</v>
      </c>
      <c r="I106" s="53" t="s">
        <v>173</v>
      </c>
      <c r="J106" s="53" t="s">
        <v>173</v>
      </c>
      <c r="K106" s="53" t="s">
        <v>173</v>
      </c>
      <c r="L106" s="53" t="s">
        <v>173</v>
      </c>
      <c r="M106" s="53" t="s">
        <v>173</v>
      </c>
      <c r="N106" s="53" t="s">
        <v>173</v>
      </c>
      <c r="O106" s="91" t="s">
        <v>173</v>
      </c>
    </row>
    <row r="107" spans="1:15" x14ac:dyDescent="0.25">
      <c r="A107" s="82"/>
      <c r="B107" s="48" t="s">
        <v>79</v>
      </c>
      <c r="C107" s="54" t="s">
        <v>173</v>
      </c>
      <c r="D107" s="54" t="s">
        <v>173</v>
      </c>
      <c r="E107" s="54" t="s">
        <v>173</v>
      </c>
      <c r="F107" s="54" t="s">
        <v>173</v>
      </c>
      <c r="G107" s="54" t="s">
        <v>173</v>
      </c>
      <c r="H107" s="54" t="s">
        <v>173</v>
      </c>
      <c r="I107" s="54" t="s">
        <v>173</v>
      </c>
      <c r="J107" s="54" t="s">
        <v>173</v>
      </c>
      <c r="K107" s="54" t="s">
        <v>173</v>
      </c>
      <c r="L107" s="54" t="s">
        <v>173</v>
      </c>
      <c r="M107" s="54" t="s">
        <v>173</v>
      </c>
      <c r="N107" s="54" t="s">
        <v>173</v>
      </c>
      <c r="O107" s="91" t="s">
        <v>173</v>
      </c>
    </row>
    <row r="108" spans="1:15" x14ac:dyDescent="0.25">
      <c r="A108" s="83"/>
      <c r="B108" s="49" t="s">
        <v>195</v>
      </c>
      <c r="C108" s="50">
        <f>C75*(1+$K$62)</f>
        <v>609360.31046888314</v>
      </c>
      <c r="D108" s="50">
        <v>0</v>
      </c>
      <c r="E108" s="50">
        <v>0</v>
      </c>
      <c r="F108" s="50">
        <v>0</v>
      </c>
      <c r="G108" s="50">
        <v>0</v>
      </c>
      <c r="H108" s="50">
        <v>0</v>
      </c>
      <c r="I108" s="50">
        <v>0</v>
      </c>
      <c r="J108" s="50">
        <v>0</v>
      </c>
      <c r="K108" s="50">
        <v>0</v>
      </c>
      <c r="L108" s="50">
        <v>0</v>
      </c>
      <c r="M108" s="50">
        <v>0</v>
      </c>
      <c r="N108" s="50">
        <v>0</v>
      </c>
      <c r="O108" s="90">
        <f t="shared" ref="O108:O111" si="101">SUM(C108:N108)</f>
        <v>609360.31046888314</v>
      </c>
    </row>
    <row r="109" spans="1:15" x14ac:dyDescent="0.25">
      <c r="A109" s="82"/>
      <c r="B109" s="51" t="s">
        <v>178</v>
      </c>
      <c r="C109" s="50">
        <f>C76*(1+$K$62)</f>
        <v>4616365.9884006325</v>
      </c>
      <c r="D109" s="50">
        <f t="shared" ref="D109:N109" si="102">D76*(1+$K$62)</f>
        <v>4616365.9884006325</v>
      </c>
      <c r="E109" s="50">
        <f t="shared" si="102"/>
        <v>4616365.9884006325</v>
      </c>
      <c r="F109" s="50">
        <f t="shared" si="102"/>
        <v>4616365.9884006325</v>
      </c>
      <c r="G109" s="50">
        <f t="shared" si="102"/>
        <v>4616365.9884006325</v>
      </c>
      <c r="H109" s="50">
        <f t="shared" si="102"/>
        <v>4616365.9884006325</v>
      </c>
      <c r="I109" s="50">
        <f t="shared" si="102"/>
        <v>4616365.9884006325</v>
      </c>
      <c r="J109" s="50">
        <f t="shared" si="102"/>
        <v>4616365.9884006325</v>
      </c>
      <c r="K109" s="50">
        <f t="shared" si="102"/>
        <v>4616365.9884006325</v>
      </c>
      <c r="L109" s="50">
        <f t="shared" si="102"/>
        <v>4616365.9884006325</v>
      </c>
      <c r="M109" s="50">
        <f t="shared" si="102"/>
        <v>4616365.9884006325</v>
      </c>
      <c r="N109" s="50">
        <f t="shared" si="102"/>
        <v>4616365.9884006325</v>
      </c>
      <c r="O109" s="90">
        <f t="shared" si="101"/>
        <v>55396391.860807575</v>
      </c>
    </row>
    <row r="110" spans="1:15" x14ac:dyDescent="0.25">
      <c r="A110" s="84"/>
      <c r="B110" s="51" t="s">
        <v>248</v>
      </c>
      <c r="C110" s="50">
        <f>C77*(1+$K$62)</f>
        <v>553963.91860807571</v>
      </c>
      <c r="D110" s="50">
        <f t="shared" ref="D110:N110" si="103">D77*(1+$K$62)</f>
        <v>553963.91860807571</v>
      </c>
      <c r="E110" s="50">
        <f t="shared" si="103"/>
        <v>553963.91860807571</v>
      </c>
      <c r="F110" s="50">
        <f t="shared" si="103"/>
        <v>553963.91860807571</v>
      </c>
      <c r="G110" s="50">
        <f t="shared" si="103"/>
        <v>553963.91860807571</v>
      </c>
      <c r="H110" s="50">
        <f t="shared" si="103"/>
        <v>553963.91860807571</v>
      </c>
      <c r="I110" s="50">
        <f t="shared" si="103"/>
        <v>553963.91860807571</v>
      </c>
      <c r="J110" s="50">
        <f t="shared" si="103"/>
        <v>553963.91860807571</v>
      </c>
      <c r="K110" s="50">
        <f t="shared" si="103"/>
        <v>553963.91860807571</v>
      </c>
      <c r="L110" s="50">
        <f t="shared" si="103"/>
        <v>553963.91860807571</v>
      </c>
      <c r="M110" s="50">
        <f t="shared" si="103"/>
        <v>553963.91860807571</v>
      </c>
      <c r="N110" s="50">
        <f t="shared" si="103"/>
        <v>553963.91860807571</v>
      </c>
      <c r="O110" s="90">
        <f t="shared" si="101"/>
        <v>6647567.0232969103</v>
      </c>
    </row>
    <row r="111" spans="1:15" x14ac:dyDescent="0.25">
      <c r="A111" s="82"/>
      <c r="B111" s="46" t="s">
        <v>207</v>
      </c>
      <c r="C111" s="47">
        <f t="shared" ref="C111" si="104">SUM(C108:C110)</f>
        <v>5779690.2174775917</v>
      </c>
      <c r="D111" s="47">
        <f t="shared" ref="D111" si="105">SUM(D108:D110)</f>
        <v>5170329.9070087085</v>
      </c>
      <c r="E111" s="47">
        <f t="shared" ref="E111" si="106">SUM(E108:E110)</f>
        <v>5170329.9070087085</v>
      </c>
      <c r="F111" s="47">
        <f t="shared" ref="F111" si="107">SUM(F108:F110)</f>
        <v>5170329.9070087085</v>
      </c>
      <c r="G111" s="47">
        <f t="shared" ref="G111" si="108">SUM(G108:G110)</f>
        <v>5170329.9070087085</v>
      </c>
      <c r="H111" s="47">
        <f t="shared" ref="H111" si="109">SUM(H108:H110)</f>
        <v>5170329.9070087085</v>
      </c>
      <c r="I111" s="47">
        <f t="shared" ref="I111" si="110">SUM(I108:I110)</f>
        <v>5170329.9070087085</v>
      </c>
      <c r="J111" s="47">
        <f t="shared" ref="J111" si="111">SUM(J108:J110)</f>
        <v>5170329.9070087085</v>
      </c>
      <c r="K111" s="47">
        <f t="shared" ref="K111" si="112">SUM(K108:K110)</f>
        <v>5170329.9070087085</v>
      </c>
      <c r="L111" s="47">
        <f t="shared" ref="L111" si="113">SUM(L108:L110)</f>
        <v>5170329.9070087085</v>
      </c>
      <c r="M111" s="47">
        <f t="shared" ref="M111" si="114">SUM(M108:M110)</f>
        <v>5170329.9070087085</v>
      </c>
      <c r="N111" s="47">
        <f t="shared" ref="N111" si="115">SUM(N108:N110)</f>
        <v>5170329.9070087085</v>
      </c>
      <c r="O111" s="47">
        <f t="shared" si="101"/>
        <v>62653319.19457338</v>
      </c>
    </row>
    <row r="112" spans="1:15" x14ac:dyDescent="0.25">
      <c r="A112" s="82"/>
      <c r="B112" s="55" t="s">
        <v>83</v>
      </c>
      <c r="C112" s="59" t="s">
        <v>173</v>
      </c>
      <c r="D112" s="59" t="s">
        <v>173</v>
      </c>
      <c r="E112" s="59" t="s">
        <v>173</v>
      </c>
      <c r="F112" s="59" t="s">
        <v>173</v>
      </c>
      <c r="G112" s="59" t="s">
        <v>173</v>
      </c>
      <c r="H112" s="59" t="s">
        <v>173</v>
      </c>
      <c r="I112" s="59" t="s">
        <v>173</v>
      </c>
      <c r="J112" s="59" t="s">
        <v>173</v>
      </c>
      <c r="K112" s="59" t="s">
        <v>173</v>
      </c>
      <c r="L112" s="59" t="s">
        <v>173</v>
      </c>
      <c r="M112" s="59" t="s">
        <v>173</v>
      </c>
      <c r="N112" s="59" t="s">
        <v>173</v>
      </c>
      <c r="O112" s="91" t="s">
        <v>173</v>
      </c>
    </row>
    <row r="113" spans="1:25" x14ac:dyDescent="0.25">
      <c r="A113" s="82"/>
      <c r="B113" s="57" t="s">
        <v>210</v>
      </c>
      <c r="C113" s="89">
        <f t="shared" ref="C113:N113" si="116">C80*(1+$K$95)</f>
        <v>3056034.2843212187</v>
      </c>
      <c r="D113" s="89">
        <f t="shared" si="116"/>
        <v>3683860.0587437046</v>
      </c>
      <c r="E113" s="89">
        <f t="shared" si="116"/>
        <v>3397645.3674628623</v>
      </c>
      <c r="F113" s="89">
        <f t="shared" si="116"/>
        <v>3176059.8000196349</v>
      </c>
      <c r="G113" s="89">
        <f t="shared" si="116"/>
        <v>2917543.3046691986</v>
      </c>
      <c r="H113" s="89">
        <f t="shared" si="116"/>
        <v>3656161.8628133</v>
      </c>
      <c r="I113" s="89">
        <f t="shared" si="116"/>
        <v>4265522.1732821828</v>
      </c>
      <c r="J113" s="89">
        <f t="shared" si="116"/>
        <v>4090100.2657229593</v>
      </c>
      <c r="K113" s="89">
        <f t="shared" si="116"/>
        <v>3157594.3360660309</v>
      </c>
      <c r="L113" s="89">
        <f t="shared" si="116"/>
        <v>3240688.9238572437</v>
      </c>
      <c r="M113" s="89">
        <f t="shared" si="116"/>
        <v>3083732.4802516215</v>
      </c>
      <c r="N113" s="89">
        <f t="shared" si="116"/>
        <v>3333016.2436252539</v>
      </c>
      <c r="O113" s="92">
        <f t="shared" ref="O113:O121" si="117">SUM(C113:N113)</f>
        <v>41057959.100835219</v>
      </c>
    </row>
    <row r="114" spans="1:25" x14ac:dyDescent="0.25">
      <c r="A114" s="82"/>
      <c r="B114" s="57" t="s">
        <v>203</v>
      </c>
      <c r="C114" s="89">
        <f t="shared" ref="C114:N114" si="118">C81*(1+$K$95)</f>
        <v>11033114.712277506</v>
      </c>
      <c r="D114" s="89">
        <f t="shared" si="118"/>
        <v>11882526.054143228</v>
      </c>
      <c r="E114" s="89">
        <f t="shared" si="118"/>
        <v>13322832.242524223</v>
      </c>
      <c r="F114" s="89">
        <f t="shared" si="118"/>
        <v>10100608.782620586</v>
      </c>
      <c r="G114" s="89">
        <f t="shared" si="118"/>
        <v>13442857.758222641</v>
      </c>
      <c r="H114" s="89">
        <f t="shared" si="118"/>
        <v>12667308.27217133</v>
      </c>
      <c r="I114" s="89">
        <f t="shared" si="118"/>
        <v>11624009.558792796</v>
      </c>
      <c r="J114" s="89">
        <f t="shared" si="118"/>
        <v>13821399.769271489</v>
      </c>
      <c r="K114" s="89">
        <f t="shared" si="118"/>
        <v>13507486.882060243</v>
      </c>
      <c r="L114" s="89">
        <f t="shared" si="118"/>
        <v>13507486.882060243</v>
      </c>
      <c r="M114" s="89">
        <f t="shared" si="118"/>
        <v>10497616.257623041</v>
      </c>
      <c r="N114" s="89">
        <f t="shared" si="118"/>
        <v>12944290.231475374</v>
      </c>
      <c r="O114" s="92">
        <f t="shared" si="117"/>
        <v>148351537.40324271</v>
      </c>
    </row>
    <row r="115" spans="1:25" x14ac:dyDescent="0.25">
      <c r="A115" s="82"/>
      <c r="B115" s="58" t="s">
        <v>84</v>
      </c>
      <c r="C115" s="89">
        <f>C82*(1+$K$95)</f>
        <v>9758997.6994789317</v>
      </c>
      <c r="D115" s="89">
        <f t="shared" ref="D115:N115" si="119">D82*(1+$K$95)</f>
        <v>10654572.701228654</v>
      </c>
      <c r="E115" s="89">
        <f t="shared" si="119"/>
        <v>10691503.629135858</v>
      </c>
      <c r="F115" s="89">
        <f t="shared" si="119"/>
        <v>11042347.444254311</v>
      </c>
      <c r="G115" s="89">
        <f t="shared" si="119"/>
        <v>13064315.747173788</v>
      </c>
      <c r="H115" s="89">
        <f t="shared" si="119"/>
        <v>11300863.939604742</v>
      </c>
      <c r="I115" s="89">
        <f t="shared" si="119"/>
        <v>11734802.342514409</v>
      </c>
      <c r="J115" s="89">
        <f t="shared" si="119"/>
        <v>13507486.882060243</v>
      </c>
      <c r="K115" s="89">
        <f t="shared" si="119"/>
        <v>12362628.116936894</v>
      </c>
      <c r="L115" s="89">
        <f t="shared" si="119"/>
        <v>12344162.652983289</v>
      </c>
      <c r="M115" s="89">
        <f t="shared" si="119"/>
        <v>13212039.458802601</v>
      </c>
      <c r="N115" s="89">
        <f t="shared" si="119"/>
        <v>10608409.04134465</v>
      </c>
      <c r="O115" s="92">
        <f t="shared" si="117"/>
        <v>140282129.65551838</v>
      </c>
    </row>
    <row r="116" spans="1:25" x14ac:dyDescent="0.25">
      <c r="A116" s="82"/>
      <c r="B116" s="57" t="s">
        <v>85</v>
      </c>
      <c r="C116" s="89">
        <f t="shared" ref="C116:N116" si="120">C83*(1+$K$95)</f>
        <v>11337794.86751195</v>
      </c>
      <c r="D116" s="89">
        <f t="shared" si="120"/>
        <v>9703601.3076181337</v>
      </c>
      <c r="E116" s="89">
        <f t="shared" si="120"/>
        <v>10045212.390759772</v>
      </c>
      <c r="F116" s="89">
        <f t="shared" si="120"/>
        <v>10202168.834365392</v>
      </c>
      <c r="G116" s="89">
        <f t="shared" si="120"/>
        <v>13719839.717526672</v>
      </c>
      <c r="H116" s="89">
        <f t="shared" si="120"/>
        <v>10072910.58669018</v>
      </c>
      <c r="I116" s="89">
        <f t="shared" si="120"/>
        <v>11688638.682630397</v>
      </c>
      <c r="J116" s="89">
        <f t="shared" si="120"/>
        <v>9251197.4407548662</v>
      </c>
      <c r="K116" s="89">
        <f t="shared" si="120"/>
        <v>12030249.765772048</v>
      </c>
      <c r="L116" s="89">
        <f t="shared" si="120"/>
        <v>9555877.5959893074</v>
      </c>
      <c r="M116" s="89">
        <f t="shared" si="120"/>
        <v>12168740.745424064</v>
      </c>
      <c r="N116" s="89">
        <f t="shared" si="120"/>
        <v>11587078.630885582</v>
      </c>
      <c r="O116" s="92">
        <f t="shared" si="117"/>
        <v>131363310.56592835</v>
      </c>
    </row>
    <row r="117" spans="1:25" x14ac:dyDescent="0.25">
      <c r="A117" s="84"/>
      <c r="B117" s="58" t="s">
        <v>249</v>
      </c>
      <c r="C117" s="89">
        <v>10000000</v>
      </c>
      <c r="D117" s="89">
        <v>10000000</v>
      </c>
      <c r="E117" s="89">
        <v>10000000</v>
      </c>
      <c r="F117" s="89">
        <v>10000000</v>
      </c>
      <c r="G117" s="89">
        <v>10000000</v>
      </c>
      <c r="H117" s="89">
        <v>10000000</v>
      </c>
      <c r="I117" s="89">
        <v>10000000</v>
      </c>
      <c r="J117" s="89">
        <v>10000000</v>
      </c>
      <c r="K117" s="89">
        <v>10000000</v>
      </c>
      <c r="L117" s="89">
        <v>10000000</v>
      </c>
      <c r="M117" s="89">
        <v>10000000</v>
      </c>
      <c r="N117" s="89">
        <v>10000000</v>
      </c>
      <c r="O117" s="92">
        <f t="shared" si="117"/>
        <v>120000000</v>
      </c>
    </row>
    <row r="118" spans="1:25" x14ac:dyDescent="0.25">
      <c r="A118" s="84"/>
      <c r="B118" s="58" t="s">
        <v>180</v>
      </c>
      <c r="C118" s="89">
        <f t="shared" ref="C118:N118" si="121">C85*(1+$K$95)</f>
        <v>9442070.9639892951</v>
      </c>
      <c r="D118" s="89">
        <f t="shared" si="121"/>
        <v>8081120.9960527318</v>
      </c>
      <c r="E118" s="89">
        <f t="shared" si="121"/>
        <v>8365613.3622315563</v>
      </c>
      <c r="F118" s="89">
        <f t="shared" si="121"/>
        <v>8496326.0710164234</v>
      </c>
      <c r="G118" s="89">
        <f t="shared" si="121"/>
        <v>11425828.544371407</v>
      </c>
      <c r="H118" s="89">
        <f t="shared" si="121"/>
        <v>8388680.3108406551</v>
      </c>
      <c r="I118" s="89">
        <f t="shared" si="121"/>
        <v>9734252.313037822</v>
      </c>
      <c r="J118" s="89">
        <f t="shared" si="121"/>
        <v>7704360.8354375185</v>
      </c>
      <c r="K118" s="89">
        <f t="shared" si="121"/>
        <v>10018744.679216657</v>
      </c>
      <c r="L118" s="89">
        <f t="shared" si="121"/>
        <v>7958097.2701375568</v>
      </c>
      <c r="M118" s="89">
        <f t="shared" si="121"/>
        <v>10134079.422262125</v>
      </c>
      <c r="N118" s="89">
        <f t="shared" si="121"/>
        <v>9649673.5014711414</v>
      </c>
      <c r="O118" s="92">
        <f t="shared" si="117"/>
        <v>109398848.27006488</v>
      </c>
    </row>
    <row r="119" spans="1:25" x14ac:dyDescent="0.25">
      <c r="A119" s="84"/>
      <c r="B119" s="58" t="s">
        <v>86</v>
      </c>
      <c r="C119" s="89">
        <f t="shared" ref="C119:N119" si="122">C86*(1+$K$95)</f>
        <v>8381354.3556904057</v>
      </c>
      <c r="D119" s="89">
        <f t="shared" si="122"/>
        <v>8381354.3556904057</v>
      </c>
      <c r="E119" s="89">
        <f t="shared" si="122"/>
        <v>8381354.3556904057</v>
      </c>
      <c r="F119" s="89">
        <f t="shared" si="122"/>
        <v>8381354.3556904057</v>
      </c>
      <c r="G119" s="89">
        <f t="shared" si="122"/>
        <v>8381354.3556904057</v>
      </c>
      <c r="H119" s="89">
        <f t="shared" si="122"/>
        <v>8381354.3556904057</v>
      </c>
      <c r="I119" s="89">
        <f t="shared" si="122"/>
        <v>8381354.3556904057</v>
      </c>
      <c r="J119" s="89">
        <f t="shared" si="122"/>
        <v>8381354.3556904057</v>
      </c>
      <c r="K119" s="89">
        <f t="shared" si="122"/>
        <v>8381354.3556904057</v>
      </c>
      <c r="L119" s="89">
        <f t="shared" si="122"/>
        <v>8381354.3556904057</v>
      </c>
      <c r="M119" s="89">
        <f t="shared" si="122"/>
        <v>8381354.3556904057</v>
      </c>
      <c r="N119" s="89">
        <f t="shared" si="122"/>
        <v>8381354.3556904057</v>
      </c>
      <c r="O119" s="92">
        <f t="shared" si="117"/>
        <v>100576252.26828487</v>
      </c>
    </row>
    <row r="120" spans="1:25" x14ac:dyDescent="0.25">
      <c r="A120" s="82"/>
      <c r="B120" s="46" t="s">
        <v>208</v>
      </c>
      <c r="C120" s="47">
        <f t="shared" ref="C120:N120" si="123">SUM(C113:C119)</f>
        <v>63009366.883269303</v>
      </c>
      <c r="D120" s="47">
        <f t="shared" si="123"/>
        <v>62387035.473476857</v>
      </c>
      <c r="E120" s="47">
        <f t="shared" si="123"/>
        <v>64204161.34780468</v>
      </c>
      <c r="F120" s="47">
        <f t="shared" si="123"/>
        <v>61398865.287966751</v>
      </c>
      <c r="G120" s="47">
        <f t="shared" si="123"/>
        <v>72951739.427654117</v>
      </c>
      <c r="H120" s="47">
        <f t="shared" si="123"/>
        <v>64467279.327810615</v>
      </c>
      <c r="I120" s="47">
        <f t="shared" si="123"/>
        <v>67428579.425948009</v>
      </c>
      <c r="J120" s="47">
        <f t="shared" si="123"/>
        <v>66755899.548937485</v>
      </c>
      <c r="K120" s="47">
        <f t="shared" si="123"/>
        <v>69458058.135742277</v>
      </c>
      <c r="L120" s="47">
        <f t="shared" si="123"/>
        <v>64987667.680718042</v>
      </c>
      <c r="M120" s="47">
        <f t="shared" si="123"/>
        <v>67477562.720053867</v>
      </c>
      <c r="N120" s="47">
        <f t="shared" si="123"/>
        <v>66503822.00449241</v>
      </c>
      <c r="O120" s="47">
        <f t="shared" si="117"/>
        <v>791030037.26387453</v>
      </c>
    </row>
    <row r="121" spans="1:25" x14ac:dyDescent="0.25">
      <c r="A121" s="82"/>
      <c r="B121" s="60" t="s">
        <v>87</v>
      </c>
      <c r="C121" s="47">
        <f t="shared" ref="C121:N121" si="124">C111+C120</f>
        <v>68789057.1007469</v>
      </c>
      <c r="D121" s="47">
        <f t="shared" si="124"/>
        <v>67557365.380485564</v>
      </c>
      <c r="E121" s="47">
        <f t="shared" si="124"/>
        <v>69374491.254813388</v>
      </c>
      <c r="F121" s="47">
        <f t="shared" si="124"/>
        <v>66569195.194975458</v>
      </c>
      <c r="G121" s="47">
        <f t="shared" si="124"/>
        <v>78122069.334662825</v>
      </c>
      <c r="H121" s="47">
        <f t="shared" si="124"/>
        <v>69637609.234819323</v>
      </c>
      <c r="I121" s="47">
        <f t="shared" si="124"/>
        <v>72598909.332956716</v>
      </c>
      <c r="J121" s="47">
        <f t="shared" si="124"/>
        <v>71926229.455946192</v>
      </c>
      <c r="K121" s="47">
        <f t="shared" si="124"/>
        <v>74628388.042750984</v>
      </c>
      <c r="L121" s="47">
        <f t="shared" si="124"/>
        <v>70157997.587726757</v>
      </c>
      <c r="M121" s="47">
        <f t="shared" si="124"/>
        <v>72647892.627062574</v>
      </c>
      <c r="N121" s="47">
        <f t="shared" si="124"/>
        <v>71674151.911501125</v>
      </c>
      <c r="O121" s="47">
        <f t="shared" si="117"/>
        <v>853683356.45844769</v>
      </c>
    </row>
    <row r="122" spans="1:25" s="11" customFormat="1" x14ac:dyDescent="0.25">
      <c r="A122" s="82"/>
      <c r="B122" s="108" t="s">
        <v>204</v>
      </c>
      <c r="C122" s="109">
        <f>$O121*(3/12)/12</f>
        <v>17785069.92621766</v>
      </c>
      <c r="D122" s="109">
        <f t="shared" ref="D122" si="125">$O121*(3/12)/12</f>
        <v>17785069.92621766</v>
      </c>
      <c r="E122" s="109">
        <f t="shared" ref="E122" si="126">$O121*(3/12)/12</f>
        <v>17785069.92621766</v>
      </c>
      <c r="F122" s="109">
        <f t="shared" ref="F122" si="127">$O121*(3/12)/12</f>
        <v>17785069.92621766</v>
      </c>
      <c r="G122" s="109">
        <f t="shared" ref="G122" si="128">$O121*(3/12)/12</f>
        <v>17785069.92621766</v>
      </c>
      <c r="H122" s="109">
        <f t="shared" ref="H122" si="129">$O121*(3/12)/12</f>
        <v>17785069.92621766</v>
      </c>
      <c r="I122" s="109">
        <f t="shared" ref="I122" si="130">$O121*(3/12)/12</f>
        <v>17785069.92621766</v>
      </c>
      <c r="J122" s="109">
        <f t="shared" ref="J122" si="131">$O121*(3/12)/12</f>
        <v>17785069.92621766</v>
      </c>
      <c r="K122" s="109">
        <f t="shared" ref="K122" si="132">$O121*(3/12)/12</f>
        <v>17785069.92621766</v>
      </c>
      <c r="L122" s="109">
        <f t="shared" ref="L122" si="133">$O121*(3/12)/12</f>
        <v>17785069.92621766</v>
      </c>
      <c r="M122" s="109">
        <f t="shared" ref="M122" si="134">$O121*(3/12)/12</f>
        <v>17785069.92621766</v>
      </c>
      <c r="N122" s="109">
        <f>$O121*(3/12)/12</f>
        <v>17785069.92621766</v>
      </c>
      <c r="O122" s="109">
        <f t="shared" ref="O122:O125" si="135">SUM(C122:N122)</f>
        <v>213420839.11461198</v>
      </c>
      <c r="P122" s="43"/>
      <c r="Q122" s="43"/>
      <c r="R122" s="40"/>
      <c r="S122" s="40"/>
      <c r="T122" s="40"/>
      <c r="U122" s="40"/>
      <c r="V122" s="40"/>
      <c r="W122" s="40"/>
      <c r="X122" s="40"/>
      <c r="Y122" s="40"/>
    </row>
    <row r="123" spans="1:25" s="11" customFormat="1" x14ac:dyDescent="0.25">
      <c r="A123" s="82"/>
      <c r="B123" s="108" t="s">
        <v>82</v>
      </c>
      <c r="C123" s="109">
        <f>'6. Mortgage payment'!$C$7</f>
        <v>28168245.060798287</v>
      </c>
      <c r="D123" s="109">
        <f>'6. Mortgage payment'!$C$7</f>
        <v>28168245.060798287</v>
      </c>
      <c r="E123" s="109">
        <f>'6. Mortgage payment'!$C$7</f>
        <v>28168245.060798287</v>
      </c>
      <c r="F123" s="109">
        <f>'6. Mortgage payment'!$C$7</f>
        <v>28168245.060798287</v>
      </c>
      <c r="G123" s="109">
        <f>'6. Mortgage payment'!$C$7</f>
        <v>28168245.060798287</v>
      </c>
      <c r="H123" s="109">
        <f>'6. Mortgage payment'!$C$7</f>
        <v>28168245.060798287</v>
      </c>
      <c r="I123" s="109">
        <f>'6. Mortgage payment'!$C$7</f>
        <v>28168245.060798287</v>
      </c>
      <c r="J123" s="109">
        <f>'6. Mortgage payment'!$C$7</f>
        <v>28168245.060798287</v>
      </c>
      <c r="K123" s="109">
        <f>'6. Mortgage payment'!$C$7</f>
        <v>28168245.060798287</v>
      </c>
      <c r="L123" s="109">
        <f>'6. Mortgage payment'!$C$7</f>
        <v>28168245.060798287</v>
      </c>
      <c r="M123" s="109">
        <f>'6. Mortgage payment'!$C$7</f>
        <v>28168245.060798287</v>
      </c>
      <c r="N123" s="109">
        <f>'6. Mortgage payment'!$C$7</f>
        <v>28168245.060798287</v>
      </c>
      <c r="O123" s="109">
        <f t="shared" si="135"/>
        <v>338018940.72957945</v>
      </c>
      <c r="P123" s="43"/>
      <c r="Q123" s="43"/>
      <c r="R123" s="40"/>
      <c r="S123" s="40"/>
      <c r="T123" s="40"/>
      <c r="U123" s="40"/>
      <c r="V123" s="40"/>
      <c r="W123" s="40"/>
      <c r="X123" s="40"/>
      <c r="Y123" s="40"/>
    </row>
    <row r="124" spans="1:25" s="11" customFormat="1" x14ac:dyDescent="0.25">
      <c r="A124" s="82"/>
      <c r="B124" s="108" t="s">
        <v>386</v>
      </c>
      <c r="C124" s="109">
        <f>C91*(1+$K$29)</f>
        <v>5059700.1156429648</v>
      </c>
      <c r="D124" s="109">
        <f t="shared" ref="D124:N124" si="136">D91*(1+$K$29)</f>
        <v>0</v>
      </c>
      <c r="E124" s="109">
        <f t="shared" si="136"/>
        <v>0</v>
      </c>
      <c r="F124" s="109">
        <f t="shared" si="136"/>
        <v>0</v>
      </c>
      <c r="G124" s="109">
        <f t="shared" si="136"/>
        <v>0</v>
      </c>
      <c r="H124" s="109">
        <f t="shared" si="136"/>
        <v>0</v>
      </c>
      <c r="I124" s="109">
        <f t="shared" si="136"/>
        <v>0</v>
      </c>
      <c r="J124" s="109">
        <f t="shared" si="136"/>
        <v>0</v>
      </c>
      <c r="K124" s="109">
        <f t="shared" si="136"/>
        <v>0</v>
      </c>
      <c r="L124" s="109">
        <f t="shared" si="136"/>
        <v>0</v>
      </c>
      <c r="M124" s="109">
        <f t="shared" si="136"/>
        <v>0</v>
      </c>
      <c r="N124" s="109">
        <f t="shared" si="136"/>
        <v>0</v>
      </c>
      <c r="O124" s="109">
        <f t="shared" si="135"/>
        <v>5059700.1156429648</v>
      </c>
      <c r="P124" s="43"/>
      <c r="Q124" s="43"/>
      <c r="R124" s="40"/>
      <c r="S124" s="40"/>
      <c r="T124" s="40"/>
      <c r="U124" s="40"/>
      <c r="V124" s="40"/>
      <c r="W124" s="40"/>
      <c r="X124" s="40"/>
      <c r="Y124" s="40"/>
    </row>
    <row r="125" spans="1:25" s="11" customFormat="1" x14ac:dyDescent="0.25">
      <c r="A125" s="82"/>
      <c r="B125" s="60" t="s">
        <v>206</v>
      </c>
      <c r="C125" s="61">
        <f>C105-C121-C122-C123-C124</f>
        <v>-52852333.038369074</v>
      </c>
      <c r="D125" s="61">
        <f t="shared" ref="D125" si="137">D105-D121-D122-D123-D124</f>
        <v>-46560941.202464774</v>
      </c>
      <c r="E125" s="61">
        <f t="shared" ref="E125" si="138">E105-E121-E122-E123-E124</f>
        <v>-48378067.076792598</v>
      </c>
      <c r="F125" s="61">
        <f t="shared" ref="F125" si="139">F105-F121-F122-F123-F124</f>
        <v>-45572771.016954668</v>
      </c>
      <c r="G125" s="61">
        <f t="shared" ref="G125" si="140">G105-G121-G122-G123-G124</f>
        <v>-57125645.156642035</v>
      </c>
      <c r="H125" s="61">
        <f t="shared" ref="H125" si="141">H105-H121-H122-H123-H124</f>
        <v>-48641185.056798533</v>
      </c>
      <c r="I125" s="61">
        <f t="shared" ref="I125" si="142">I105-I121-I122-I123-I124</f>
        <v>-51602485.154935926</v>
      </c>
      <c r="J125" s="61">
        <f t="shared" ref="J125" si="143">J105-J121-J122-J123-J124</f>
        <v>-50929805.277925402</v>
      </c>
      <c r="K125" s="61">
        <f t="shared" ref="K125" si="144">K105-K121-K122-K123-K124</f>
        <v>-53631963.864730194</v>
      </c>
      <c r="L125" s="61">
        <f t="shared" ref="L125" si="145">L105-L121-L122-L123-L124</f>
        <v>-49161573.409705967</v>
      </c>
      <c r="M125" s="61">
        <f t="shared" ref="M125" si="146">M105-M121-M122-M123-M124</f>
        <v>-51651468.449041784</v>
      </c>
      <c r="N125" s="61">
        <f t="shared" ref="N125" si="147">N105-N121-N122-N123-N124</f>
        <v>-50677727.733480334</v>
      </c>
      <c r="O125" s="47">
        <f t="shared" si="135"/>
        <v>-606785966.4378413</v>
      </c>
      <c r="P125" s="43"/>
      <c r="Q125" s="43"/>
      <c r="R125" s="40"/>
      <c r="S125" s="40"/>
      <c r="T125" s="40"/>
      <c r="U125" s="40"/>
      <c r="V125" s="40"/>
      <c r="W125" s="40"/>
      <c r="X125" s="40"/>
      <c r="Y125" s="40"/>
    </row>
    <row r="126" spans="1:25" x14ac:dyDescent="0.25">
      <c r="A126" s="85"/>
      <c r="B126" s="40"/>
      <c r="C126" s="40"/>
      <c r="D126" s="40"/>
      <c r="E126" s="40"/>
      <c r="F126" s="40"/>
      <c r="G126" s="40"/>
      <c r="H126" s="40"/>
      <c r="I126" s="40"/>
      <c r="J126" s="40"/>
      <c r="K126" s="40"/>
      <c r="L126" s="353" t="s">
        <v>217</v>
      </c>
      <c r="M126" s="354"/>
      <c r="N126" s="350">
        <f>SUM(C125:N125)+N93</f>
        <v>20620497398.850796</v>
      </c>
      <c r="O126" s="40"/>
    </row>
    <row r="127" spans="1:25" x14ac:dyDescent="0.25">
      <c r="A127" s="85"/>
      <c r="B127" s="40"/>
      <c r="C127" s="40"/>
      <c r="D127" s="40"/>
      <c r="E127" s="40"/>
      <c r="F127" s="40"/>
      <c r="G127" s="40"/>
      <c r="H127" s="40"/>
      <c r="I127" s="40"/>
      <c r="J127" s="40"/>
      <c r="K127" s="40"/>
      <c r="L127" s="320"/>
      <c r="M127" s="355"/>
      <c r="N127" s="351"/>
      <c r="O127" s="40"/>
    </row>
    <row r="128" spans="1:25" x14ac:dyDescent="0.25">
      <c r="A128" s="85"/>
      <c r="B128" s="319" t="s">
        <v>632</v>
      </c>
      <c r="C128" s="352" t="s">
        <v>173</v>
      </c>
      <c r="D128" s="352"/>
      <c r="E128" s="352"/>
      <c r="F128" s="352"/>
      <c r="G128" s="352"/>
      <c r="H128" s="352"/>
      <c r="I128" s="40"/>
      <c r="J128" s="358" t="s">
        <v>231</v>
      </c>
      <c r="K128" s="359">
        <v>0.04</v>
      </c>
      <c r="L128" s="40"/>
      <c r="M128" s="40"/>
      <c r="N128" s="40"/>
      <c r="O128" s="361"/>
    </row>
    <row r="129" spans="1:15" x14ac:dyDescent="0.25">
      <c r="A129" s="85"/>
      <c r="B129" s="319"/>
      <c r="C129" s="352"/>
      <c r="D129" s="352"/>
      <c r="E129" s="352"/>
      <c r="F129" s="352"/>
      <c r="G129" s="352"/>
      <c r="H129" s="352"/>
      <c r="I129" s="40"/>
      <c r="J129" s="358"/>
      <c r="K129" s="360"/>
      <c r="L129" s="40"/>
      <c r="M129" s="40"/>
      <c r="N129" s="40"/>
      <c r="O129" s="362"/>
    </row>
    <row r="130" spans="1:15" x14ac:dyDescent="0.25">
      <c r="A130" s="85"/>
      <c r="B130" s="319"/>
      <c r="C130" s="352"/>
      <c r="D130" s="352"/>
      <c r="E130" s="352"/>
      <c r="F130" s="352"/>
      <c r="G130" s="352"/>
      <c r="H130" s="352"/>
      <c r="I130" s="40"/>
      <c r="J130" s="40"/>
      <c r="K130" s="40"/>
      <c r="L130" s="40"/>
      <c r="M130" s="40"/>
      <c r="N130" s="40"/>
      <c r="O130" s="40"/>
    </row>
    <row r="133" spans="1:15" ht="24.6" x14ac:dyDescent="0.25">
      <c r="A133" s="96"/>
      <c r="B133" s="348" t="s">
        <v>282</v>
      </c>
      <c r="C133" s="348"/>
      <c r="D133" s="348"/>
      <c r="E133" s="348"/>
      <c r="F133" s="348"/>
      <c r="G133" s="348"/>
      <c r="H133" s="348"/>
      <c r="I133" s="348"/>
      <c r="J133" s="348"/>
      <c r="K133" s="348"/>
      <c r="L133" s="348"/>
      <c r="M133" s="348"/>
      <c r="N133" s="348"/>
      <c r="O133" s="348"/>
    </row>
    <row r="134" spans="1:15" ht="24.6" x14ac:dyDescent="0.25">
      <c r="A134" s="96"/>
      <c r="B134" s="349"/>
      <c r="C134" s="349"/>
      <c r="D134" s="349"/>
      <c r="E134" s="349"/>
      <c r="F134" s="349"/>
      <c r="G134" s="349"/>
      <c r="H134" s="349"/>
      <c r="I134" s="349"/>
      <c r="J134" s="349"/>
      <c r="K134" s="349"/>
      <c r="L134" s="349"/>
      <c r="M134" s="349"/>
      <c r="N134" s="349"/>
      <c r="O134" s="349"/>
    </row>
    <row r="135" spans="1:15" x14ac:dyDescent="0.25">
      <c r="A135" s="82"/>
      <c r="B135" s="41"/>
      <c r="C135" s="42" t="s">
        <v>66</v>
      </c>
      <c r="D135" s="42" t="s">
        <v>67</v>
      </c>
      <c r="E135" s="42" t="s">
        <v>68</v>
      </c>
      <c r="F135" s="42" t="s">
        <v>69</v>
      </c>
      <c r="G135" s="42" t="s">
        <v>70</v>
      </c>
      <c r="H135" s="42" t="s">
        <v>71</v>
      </c>
      <c r="I135" s="42" t="s">
        <v>72</v>
      </c>
      <c r="J135" s="42" t="s">
        <v>73</v>
      </c>
      <c r="K135" s="42" t="s">
        <v>74</v>
      </c>
      <c r="L135" s="42" t="s">
        <v>75</v>
      </c>
      <c r="M135" s="42" t="s">
        <v>76</v>
      </c>
      <c r="N135" s="42" t="s">
        <v>77</v>
      </c>
      <c r="O135" s="42" t="s">
        <v>236</v>
      </c>
    </row>
    <row r="136" spans="1:15" x14ac:dyDescent="0.25">
      <c r="A136" s="82"/>
      <c r="B136" s="44" t="s">
        <v>381</v>
      </c>
      <c r="C136" s="45">
        <f>'11.My pension value'!$D$2/12</f>
        <v>35611893.330636717</v>
      </c>
      <c r="D136" s="45">
        <f>'10.1. My retirement salary'!$O$10</f>
        <v>35611893.330636717</v>
      </c>
      <c r="E136" s="45">
        <f>'10.1. My retirement salary'!$O$10</f>
        <v>35611893.330636717</v>
      </c>
      <c r="F136" s="45">
        <f>'10.1. My retirement salary'!$O$10</f>
        <v>35611893.330636717</v>
      </c>
      <c r="G136" s="45">
        <f>'10.1. My retirement salary'!$O$10</f>
        <v>35611893.330636717</v>
      </c>
      <c r="H136" s="45">
        <f>'10.1. My retirement salary'!$O$10</f>
        <v>35611893.330636717</v>
      </c>
      <c r="I136" s="45">
        <f>'10.1. My retirement salary'!$O$10</f>
        <v>35611893.330636717</v>
      </c>
      <c r="J136" s="45">
        <f>'10.1. My retirement salary'!$O$10</f>
        <v>35611893.330636717</v>
      </c>
      <c r="K136" s="45">
        <f>'10.1. My retirement salary'!$O$10</f>
        <v>35611893.330636717</v>
      </c>
      <c r="L136" s="45">
        <f>'10.1. My retirement salary'!$O$10</f>
        <v>35611893.330636717</v>
      </c>
      <c r="M136" s="45">
        <f>'10.1. My retirement salary'!$O$10</f>
        <v>35611893.330636717</v>
      </c>
      <c r="N136" s="45">
        <f>'10.1. My retirement salary'!$O$10</f>
        <v>35611893.330636717</v>
      </c>
      <c r="O136" s="45" t="s">
        <v>173</v>
      </c>
    </row>
    <row r="137" spans="1:15" x14ac:dyDescent="0.25">
      <c r="A137" s="82"/>
      <c r="B137" s="44" t="s">
        <v>246</v>
      </c>
      <c r="C137" s="45">
        <f>'3.2. My wife''s Tax Calc'!$P$42/12</f>
        <v>67255737.784145772</v>
      </c>
      <c r="D137" s="45">
        <f>'3.2. My wife''s Tax Calc'!$P$42/12</f>
        <v>67255737.784145772</v>
      </c>
      <c r="E137" s="45">
        <f>'3.2. My wife''s Tax Calc'!$P$42/12</f>
        <v>67255737.784145772</v>
      </c>
      <c r="F137" s="45">
        <f>'3.2. My wife''s Tax Calc'!$P$42/12</f>
        <v>67255737.784145772</v>
      </c>
      <c r="G137" s="45">
        <f>'3.2. My wife''s Tax Calc'!$P$42/12</f>
        <v>67255737.784145772</v>
      </c>
      <c r="H137" s="45">
        <f>'3.2. My wife''s Tax Calc'!$P$42/12</f>
        <v>67255737.784145772</v>
      </c>
      <c r="I137" s="45">
        <f>'3.2. My wife''s Tax Calc'!$P$42/12</f>
        <v>67255737.784145772</v>
      </c>
      <c r="J137" s="45">
        <f>'3.2. My wife''s Tax Calc'!$P$42/12</f>
        <v>67255737.784145772</v>
      </c>
      <c r="K137" s="45">
        <f>'3.2. My wife''s Tax Calc'!$P$42/12</f>
        <v>67255737.784145772</v>
      </c>
      <c r="L137" s="45">
        <f>'3.2. My wife''s Tax Calc'!$P$42/12</f>
        <v>67255737.784145772</v>
      </c>
      <c r="M137" s="45">
        <f>'3.2. My wife''s Tax Calc'!$P$42/12</f>
        <v>67255737.784145772</v>
      </c>
      <c r="N137" s="45">
        <f>'3.2. My wife''s Tax Calc'!$P$42/12</f>
        <v>67255737.784145772</v>
      </c>
      <c r="O137" s="45" t="s">
        <v>173</v>
      </c>
    </row>
    <row r="138" spans="1:15" x14ac:dyDescent="0.25">
      <c r="A138" s="82"/>
      <c r="B138" s="46" t="s">
        <v>209</v>
      </c>
      <c r="C138" s="47">
        <f>SUM(C136:C137)</f>
        <v>102867631.11478248</v>
      </c>
      <c r="D138" s="47">
        <f t="shared" ref="D138:J138" si="148">SUM(D136:D137)</f>
        <v>102867631.11478248</v>
      </c>
      <c r="E138" s="47">
        <f t="shared" si="148"/>
        <v>102867631.11478248</v>
      </c>
      <c r="F138" s="47">
        <f t="shared" si="148"/>
        <v>102867631.11478248</v>
      </c>
      <c r="G138" s="47">
        <f t="shared" si="148"/>
        <v>102867631.11478248</v>
      </c>
      <c r="H138" s="47">
        <f t="shared" si="148"/>
        <v>102867631.11478248</v>
      </c>
      <c r="I138" s="47">
        <f t="shared" si="148"/>
        <v>102867631.11478248</v>
      </c>
      <c r="J138" s="47">
        <f t="shared" si="148"/>
        <v>102867631.11478248</v>
      </c>
      <c r="K138" s="47">
        <f>SUM(K136:K137)</f>
        <v>102867631.11478248</v>
      </c>
      <c r="L138" s="47">
        <f t="shared" ref="L138:N138" si="149">SUM(L136:L137)</f>
        <v>102867631.11478248</v>
      </c>
      <c r="M138" s="47">
        <f t="shared" si="149"/>
        <v>102867631.11478248</v>
      </c>
      <c r="N138" s="47">
        <f t="shared" si="149"/>
        <v>102867631.11478248</v>
      </c>
      <c r="O138" s="47">
        <f>SUM(C138:N138)</f>
        <v>1234411573.3773897</v>
      </c>
    </row>
    <row r="139" spans="1:15" x14ac:dyDescent="0.25">
      <c r="A139" s="82"/>
      <c r="B139" s="52" t="s">
        <v>78</v>
      </c>
      <c r="C139" s="53" t="s">
        <v>173</v>
      </c>
      <c r="D139" s="53" t="s">
        <v>173</v>
      </c>
      <c r="E139" s="53" t="s">
        <v>173</v>
      </c>
      <c r="F139" s="53" t="s">
        <v>173</v>
      </c>
      <c r="G139" s="53" t="s">
        <v>173</v>
      </c>
      <c r="H139" s="53" t="s">
        <v>173</v>
      </c>
      <c r="I139" s="53" t="s">
        <v>173</v>
      </c>
      <c r="J139" s="53" t="s">
        <v>173</v>
      </c>
      <c r="K139" s="53" t="s">
        <v>173</v>
      </c>
      <c r="L139" s="53" t="s">
        <v>173</v>
      </c>
      <c r="M139" s="53" t="s">
        <v>173</v>
      </c>
      <c r="N139" s="53" t="s">
        <v>173</v>
      </c>
      <c r="O139" s="91" t="s">
        <v>173</v>
      </c>
    </row>
    <row r="140" spans="1:15" x14ac:dyDescent="0.25">
      <c r="A140" s="82"/>
      <c r="B140" s="48" t="s">
        <v>79</v>
      </c>
      <c r="C140" s="54" t="s">
        <v>173</v>
      </c>
      <c r="D140" s="54" t="s">
        <v>173</v>
      </c>
      <c r="E140" s="54" t="s">
        <v>173</v>
      </c>
      <c r="F140" s="54" t="s">
        <v>173</v>
      </c>
      <c r="G140" s="54" t="s">
        <v>173</v>
      </c>
      <c r="H140" s="54" t="s">
        <v>173</v>
      </c>
      <c r="I140" s="54" t="s">
        <v>173</v>
      </c>
      <c r="J140" s="54" t="s">
        <v>173</v>
      </c>
      <c r="K140" s="54" t="s">
        <v>173</v>
      </c>
      <c r="L140" s="54" t="s">
        <v>173</v>
      </c>
      <c r="M140" s="54" t="s">
        <v>173</v>
      </c>
      <c r="N140" s="54" t="s">
        <v>173</v>
      </c>
      <c r="O140" s="91" t="s">
        <v>173</v>
      </c>
    </row>
    <row r="141" spans="1:15" x14ac:dyDescent="0.25">
      <c r="A141" s="83"/>
      <c r="B141" s="49" t="s">
        <v>195</v>
      </c>
      <c r="C141" s="50">
        <f>C108*(1+$K$62)</f>
        <v>633734.72288763849</v>
      </c>
      <c r="D141" s="50">
        <v>0</v>
      </c>
      <c r="E141" s="50">
        <v>0</v>
      </c>
      <c r="F141" s="50">
        <v>0</v>
      </c>
      <c r="G141" s="50">
        <v>0</v>
      </c>
      <c r="H141" s="50">
        <v>0</v>
      </c>
      <c r="I141" s="50">
        <v>0</v>
      </c>
      <c r="J141" s="50">
        <v>0</v>
      </c>
      <c r="K141" s="50">
        <v>0</v>
      </c>
      <c r="L141" s="50">
        <v>0</v>
      </c>
      <c r="M141" s="50">
        <v>0</v>
      </c>
      <c r="N141" s="50">
        <v>0</v>
      </c>
      <c r="O141" s="90">
        <f t="shared" ref="O141:O144" si="150">SUM(C141:N141)</f>
        <v>633734.72288763849</v>
      </c>
    </row>
    <row r="142" spans="1:15" x14ac:dyDescent="0.25">
      <c r="A142" s="82"/>
      <c r="B142" s="51" t="s">
        <v>178</v>
      </c>
      <c r="C142" s="50">
        <f>C109*(1+$K$62)</f>
        <v>4801020.6279366575</v>
      </c>
      <c r="D142" s="50">
        <f t="shared" ref="D142:N142" si="151">D109*(1+$K$62)</f>
        <v>4801020.6279366575</v>
      </c>
      <c r="E142" s="50">
        <f t="shared" si="151"/>
        <v>4801020.6279366575</v>
      </c>
      <c r="F142" s="50">
        <f t="shared" si="151"/>
        <v>4801020.6279366575</v>
      </c>
      <c r="G142" s="50">
        <f t="shared" si="151"/>
        <v>4801020.6279366575</v>
      </c>
      <c r="H142" s="50">
        <f t="shared" si="151"/>
        <v>4801020.6279366575</v>
      </c>
      <c r="I142" s="50">
        <f t="shared" si="151"/>
        <v>4801020.6279366575</v>
      </c>
      <c r="J142" s="50">
        <f t="shared" si="151"/>
        <v>4801020.6279366575</v>
      </c>
      <c r="K142" s="50">
        <f t="shared" si="151"/>
        <v>4801020.6279366575</v>
      </c>
      <c r="L142" s="50">
        <f t="shared" si="151"/>
        <v>4801020.6279366575</v>
      </c>
      <c r="M142" s="50">
        <f t="shared" si="151"/>
        <v>4801020.6279366575</v>
      </c>
      <c r="N142" s="50">
        <f t="shared" si="151"/>
        <v>4801020.6279366575</v>
      </c>
      <c r="O142" s="90">
        <f t="shared" si="150"/>
        <v>57612247.535239905</v>
      </c>
    </row>
    <row r="143" spans="1:15" x14ac:dyDescent="0.25">
      <c r="A143" s="84"/>
      <c r="B143" s="51" t="s">
        <v>248</v>
      </c>
      <c r="C143" s="50">
        <f>C110*(1+$K$62)</f>
        <v>576122.4753523987</v>
      </c>
      <c r="D143" s="50">
        <f t="shared" ref="D143:N143" si="152">D110*(1+$K$62)</f>
        <v>576122.4753523987</v>
      </c>
      <c r="E143" s="50">
        <f t="shared" si="152"/>
        <v>576122.4753523987</v>
      </c>
      <c r="F143" s="50">
        <f t="shared" si="152"/>
        <v>576122.4753523987</v>
      </c>
      <c r="G143" s="50">
        <f t="shared" si="152"/>
        <v>576122.4753523987</v>
      </c>
      <c r="H143" s="50">
        <f t="shared" si="152"/>
        <v>576122.4753523987</v>
      </c>
      <c r="I143" s="50">
        <f t="shared" si="152"/>
        <v>576122.4753523987</v>
      </c>
      <c r="J143" s="50">
        <f t="shared" si="152"/>
        <v>576122.4753523987</v>
      </c>
      <c r="K143" s="50">
        <f t="shared" si="152"/>
        <v>576122.4753523987</v>
      </c>
      <c r="L143" s="50">
        <f t="shared" si="152"/>
        <v>576122.4753523987</v>
      </c>
      <c r="M143" s="50">
        <f t="shared" si="152"/>
        <v>576122.4753523987</v>
      </c>
      <c r="N143" s="50">
        <f t="shared" si="152"/>
        <v>576122.4753523987</v>
      </c>
      <c r="O143" s="90">
        <f t="shared" si="150"/>
        <v>6913469.7042287858</v>
      </c>
    </row>
    <row r="144" spans="1:15" x14ac:dyDescent="0.25">
      <c r="A144" s="82"/>
      <c r="B144" s="46" t="s">
        <v>207</v>
      </c>
      <c r="C144" s="47">
        <f t="shared" ref="C144" si="153">SUM(C141:C143)</f>
        <v>6010877.8261766955</v>
      </c>
      <c r="D144" s="47">
        <f t="shared" ref="D144" si="154">SUM(D141:D143)</f>
        <v>5377143.1032890566</v>
      </c>
      <c r="E144" s="47">
        <f t="shared" ref="E144" si="155">SUM(E141:E143)</f>
        <v>5377143.1032890566</v>
      </c>
      <c r="F144" s="47">
        <f t="shared" ref="F144" si="156">SUM(F141:F143)</f>
        <v>5377143.1032890566</v>
      </c>
      <c r="G144" s="47">
        <f t="shared" ref="G144" si="157">SUM(G141:G143)</f>
        <v>5377143.1032890566</v>
      </c>
      <c r="H144" s="47">
        <f t="shared" ref="H144" si="158">SUM(H141:H143)</f>
        <v>5377143.1032890566</v>
      </c>
      <c r="I144" s="47">
        <f t="shared" ref="I144" si="159">SUM(I141:I143)</f>
        <v>5377143.1032890566</v>
      </c>
      <c r="J144" s="47">
        <f t="shared" ref="J144" si="160">SUM(J141:J143)</f>
        <v>5377143.1032890566</v>
      </c>
      <c r="K144" s="47">
        <f t="shared" ref="K144" si="161">SUM(K141:K143)</f>
        <v>5377143.1032890566</v>
      </c>
      <c r="L144" s="47">
        <f t="shared" ref="L144" si="162">SUM(L141:L143)</f>
        <v>5377143.1032890566</v>
      </c>
      <c r="M144" s="47">
        <f t="shared" ref="M144" si="163">SUM(M141:M143)</f>
        <v>5377143.1032890566</v>
      </c>
      <c r="N144" s="47">
        <f t="shared" ref="N144" si="164">SUM(N141:N143)</f>
        <v>5377143.1032890566</v>
      </c>
      <c r="O144" s="47">
        <f t="shared" si="150"/>
        <v>65159451.962356299</v>
      </c>
    </row>
    <row r="145" spans="1:25" x14ac:dyDescent="0.25">
      <c r="A145" s="82"/>
      <c r="B145" s="55" t="s">
        <v>83</v>
      </c>
      <c r="C145" s="59" t="s">
        <v>173</v>
      </c>
      <c r="D145" s="59" t="s">
        <v>173</v>
      </c>
      <c r="E145" s="59" t="s">
        <v>173</v>
      </c>
      <c r="F145" s="59" t="s">
        <v>173</v>
      </c>
      <c r="G145" s="59" t="s">
        <v>173</v>
      </c>
      <c r="H145" s="59" t="s">
        <v>173</v>
      </c>
      <c r="I145" s="59" t="s">
        <v>173</v>
      </c>
      <c r="J145" s="59" t="s">
        <v>173</v>
      </c>
      <c r="K145" s="59" t="s">
        <v>173</v>
      </c>
      <c r="L145" s="59" t="s">
        <v>173</v>
      </c>
      <c r="M145" s="59" t="s">
        <v>173</v>
      </c>
      <c r="N145" s="59" t="s">
        <v>173</v>
      </c>
      <c r="O145" s="91" t="s">
        <v>173</v>
      </c>
    </row>
    <row r="146" spans="1:25" x14ac:dyDescent="0.25">
      <c r="A146" s="82"/>
      <c r="B146" s="57" t="s">
        <v>210</v>
      </c>
      <c r="C146" s="89">
        <f t="shared" ref="C146:N146" si="165">C113*(1+$K$95)</f>
        <v>3178275.6556940675</v>
      </c>
      <c r="D146" s="89">
        <f t="shared" si="165"/>
        <v>3831214.4610934528</v>
      </c>
      <c r="E146" s="89">
        <f t="shared" si="165"/>
        <v>3533551.1821613768</v>
      </c>
      <c r="F146" s="89">
        <f t="shared" si="165"/>
        <v>3303102.1920204205</v>
      </c>
      <c r="G146" s="89">
        <f t="shared" si="165"/>
        <v>3034245.0368559668</v>
      </c>
      <c r="H146" s="89">
        <f t="shared" si="165"/>
        <v>3802408.3373258323</v>
      </c>
      <c r="I146" s="89">
        <f t="shared" si="165"/>
        <v>4436143.0602134699</v>
      </c>
      <c r="J146" s="89">
        <f t="shared" si="165"/>
        <v>4253704.2763518775</v>
      </c>
      <c r="K146" s="89">
        <f t="shared" si="165"/>
        <v>3283898.1095086723</v>
      </c>
      <c r="L146" s="89">
        <f t="shared" si="165"/>
        <v>3370316.4808115335</v>
      </c>
      <c r="M146" s="89">
        <f t="shared" si="165"/>
        <v>3207081.7794616865</v>
      </c>
      <c r="N146" s="89">
        <f t="shared" si="165"/>
        <v>3466336.8933702642</v>
      </c>
      <c r="O146" s="92">
        <f t="shared" ref="O146:O154" si="166">SUM(C146:N146)</f>
        <v>42700277.46486862</v>
      </c>
    </row>
    <row r="147" spans="1:25" x14ac:dyDescent="0.25">
      <c r="A147" s="82"/>
      <c r="B147" s="57" t="s">
        <v>203</v>
      </c>
      <c r="C147" s="89">
        <f t="shared" ref="C147:N147" si="167">C114*(1+$K$95)</f>
        <v>11474439.300768606</v>
      </c>
      <c r="D147" s="89">
        <f t="shared" si="167"/>
        <v>12357827.096308958</v>
      </c>
      <c r="E147" s="89">
        <f t="shared" si="167"/>
        <v>13855745.532225193</v>
      </c>
      <c r="F147" s="89">
        <f t="shared" si="167"/>
        <v>10504633.13392541</v>
      </c>
      <c r="G147" s="89">
        <f t="shared" si="167"/>
        <v>13980572.068551548</v>
      </c>
      <c r="H147" s="89">
        <f t="shared" si="167"/>
        <v>13174000.603058184</v>
      </c>
      <c r="I147" s="89">
        <f t="shared" si="167"/>
        <v>12088969.941144507</v>
      </c>
      <c r="J147" s="89">
        <f t="shared" si="167"/>
        <v>14374255.760042349</v>
      </c>
      <c r="K147" s="89">
        <f t="shared" si="167"/>
        <v>14047786.357342653</v>
      </c>
      <c r="L147" s="89">
        <f t="shared" si="167"/>
        <v>14047786.357342653</v>
      </c>
      <c r="M147" s="89">
        <f t="shared" si="167"/>
        <v>10917520.907927964</v>
      </c>
      <c r="N147" s="89">
        <f t="shared" si="167"/>
        <v>13462061.840734389</v>
      </c>
      <c r="O147" s="92">
        <f t="shared" si="166"/>
        <v>154285598.89937243</v>
      </c>
    </row>
    <row r="148" spans="1:25" x14ac:dyDescent="0.25">
      <c r="A148" s="82"/>
      <c r="B148" s="58" t="s">
        <v>84</v>
      </c>
      <c r="C148" s="89">
        <f t="shared" ref="C148:N148" si="168">C115*(1+$K$95)</f>
        <v>10149357.607458089</v>
      </c>
      <c r="D148" s="89">
        <f t="shared" si="168"/>
        <v>11080755.6092778</v>
      </c>
      <c r="E148" s="89">
        <f t="shared" si="168"/>
        <v>11119163.774301292</v>
      </c>
      <c r="F148" s="89">
        <f t="shared" si="168"/>
        <v>11484041.342024483</v>
      </c>
      <c r="G148" s="89">
        <f t="shared" si="168"/>
        <v>13586888.377060739</v>
      </c>
      <c r="H148" s="89">
        <f t="shared" si="168"/>
        <v>11752898.497188933</v>
      </c>
      <c r="I148" s="89">
        <f t="shared" si="168"/>
        <v>12204194.436214985</v>
      </c>
      <c r="J148" s="89">
        <f t="shared" si="168"/>
        <v>14047786.357342653</v>
      </c>
      <c r="K148" s="89">
        <f t="shared" si="168"/>
        <v>12857133.24161437</v>
      </c>
      <c r="L148" s="89">
        <f t="shared" si="168"/>
        <v>12837929.159102621</v>
      </c>
      <c r="M148" s="89">
        <f t="shared" si="168"/>
        <v>13740521.037154706</v>
      </c>
      <c r="N148" s="89">
        <f t="shared" si="168"/>
        <v>11032745.402998436</v>
      </c>
      <c r="O148" s="92">
        <f t="shared" si="166"/>
        <v>145893414.84173912</v>
      </c>
    </row>
    <row r="149" spans="1:25" x14ac:dyDescent="0.25">
      <c r="A149" s="82"/>
      <c r="B149" s="57" t="s">
        <v>85</v>
      </c>
      <c r="C149" s="89">
        <f t="shared" ref="C149:N149" si="169">C116*(1+$K$95)</f>
        <v>11791306.66221243</v>
      </c>
      <c r="D149" s="89">
        <f t="shared" si="169"/>
        <v>10091745.35992286</v>
      </c>
      <c r="E149" s="89">
        <f t="shared" si="169"/>
        <v>10447020.886390163</v>
      </c>
      <c r="F149" s="89">
        <f t="shared" si="169"/>
        <v>10610255.587740008</v>
      </c>
      <c r="G149" s="89">
        <f t="shared" si="169"/>
        <v>14268633.30622774</v>
      </c>
      <c r="H149" s="89">
        <f t="shared" si="169"/>
        <v>10475827.010157788</v>
      </c>
      <c r="I149" s="89">
        <f t="shared" si="169"/>
        <v>12156184.229935614</v>
      </c>
      <c r="J149" s="89">
        <f t="shared" si="169"/>
        <v>9621245.3383850604</v>
      </c>
      <c r="K149" s="89">
        <f t="shared" si="169"/>
        <v>12511459.75640293</v>
      </c>
      <c r="L149" s="89">
        <f t="shared" si="169"/>
        <v>9938112.6998288799</v>
      </c>
      <c r="M149" s="89">
        <f t="shared" si="169"/>
        <v>12655490.375241026</v>
      </c>
      <c r="N149" s="89">
        <f t="shared" si="169"/>
        <v>12050561.776121005</v>
      </c>
      <c r="O149" s="92">
        <f t="shared" si="166"/>
        <v>136617842.9885655</v>
      </c>
    </row>
    <row r="150" spans="1:25" x14ac:dyDescent="0.25">
      <c r="A150" s="84"/>
      <c r="B150" s="58" t="s">
        <v>249</v>
      </c>
      <c r="C150" s="89">
        <v>10000000</v>
      </c>
      <c r="D150" s="89">
        <v>10000000</v>
      </c>
      <c r="E150" s="89">
        <v>10000000</v>
      </c>
      <c r="F150" s="89">
        <v>10000000</v>
      </c>
      <c r="G150" s="89">
        <v>10000000</v>
      </c>
      <c r="H150" s="89">
        <v>10000000</v>
      </c>
      <c r="I150" s="89">
        <v>10000000</v>
      </c>
      <c r="J150" s="89">
        <v>10000000</v>
      </c>
      <c r="K150" s="89">
        <v>10000000</v>
      </c>
      <c r="L150" s="89">
        <v>10000000</v>
      </c>
      <c r="M150" s="89">
        <v>10000000</v>
      </c>
      <c r="N150" s="89">
        <v>10000000</v>
      </c>
      <c r="O150" s="92">
        <f t="shared" si="166"/>
        <v>120000000</v>
      </c>
    </row>
    <row r="151" spans="1:25" x14ac:dyDescent="0.25">
      <c r="A151" s="84"/>
      <c r="B151" s="58" t="s">
        <v>180</v>
      </c>
      <c r="C151" s="89">
        <f t="shared" ref="C151:N151" si="170">C118*(1+$K$95)</f>
        <v>9819753.8025488667</v>
      </c>
      <c r="D151" s="89">
        <f t="shared" si="170"/>
        <v>8404365.8358948417</v>
      </c>
      <c r="E151" s="89">
        <f t="shared" si="170"/>
        <v>8700237.8967208192</v>
      </c>
      <c r="F151" s="89">
        <f t="shared" si="170"/>
        <v>8836179.1138570812</v>
      </c>
      <c r="G151" s="89">
        <f t="shared" si="170"/>
        <v>11882861.686146265</v>
      </c>
      <c r="H151" s="89">
        <f t="shared" si="170"/>
        <v>8724227.523274282</v>
      </c>
      <c r="I151" s="89">
        <f t="shared" si="170"/>
        <v>10123622.405559335</v>
      </c>
      <c r="J151" s="89">
        <f t="shared" si="170"/>
        <v>8012535.2688550195</v>
      </c>
      <c r="K151" s="89">
        <f t="shared" si="170"/>
        <v>10419494.466385324</v>
      </c>
      <c r="L151" s="89">
        <f t="shared" si="170"/>
        <v>8276421.1609430593</v>
      </c>
      <c r="M151" s="89">
        <f t="shared" si="170"/>
        <v>10539442.59915261</v>
      </c>
      <c r="N151" s="89">
        <f t="shared" si="170"/>
        <v>10035660.441529987</v>
      </c>
      <c r="O151" s="92">
        <f t="shared" si="166"/>
        <v>113774802.20086749</v>
      </c>
    </row>
    <row r="152" spans="1:25" x14ac:dyDescent="0.25">
      <c r="A152" s="84"/>
      <c r="B152" s="58" t="s">
        <v>86</v>
      </c>
      <c r="C152" s="89">
        <f t="shared" ref="C152:N152" si="171">C119*(1+$K$95)</f>
        <v>8716608.5299180225</v>
      </c>
      <c r="D152" s="89">
        <f t="shared" si="171"/>
        <v>8716608.5299180225</v>
      </c>
      <c r="E152" s="89">
        <f t="shared" si="171"/>
        <v>8716608.5299180225</v>
      </c>
      <c r="F152" s="89">
        <f t="shared" si="171"/>
        <v>8716608.5299180225</v>
      </c>
      <c r="G152" s="89">
        <f t="shared" si="171"/>
        <v>8716608.5299180225</v>
      </c>
      <c r="H152" s="89">
        <f t="shared" si="171"/>
        <v>8716608.5299180225</v>
      </c>
      <c r="I152" s="89">
        <f t="shared" si="171"/>
        <v>8716608.5299180225</v>
      </c>
      <c r="J152" s="89">
        <f t="shared" si="171"/>
        <v>8716608.5299180225</v>
      </c>
      <c r="K152" s="89">
        <f t="shared" si="171"/>
        <v>8716608.5299180225</v>
      </c>
      <c r="L152" s="89">
        <f t="shared" si="171"/>
        <v>8716608.5299180225</v>
      </c>
      <c r="M152" s="89">
        <f t="shared" si="171"/>
        <v>8716608.5299180225</v>
      </c>
      <c r="N152" s="89">
        <f t="shared" si="171"/>
        <v>8716608.5299180225</v>
      </c>
      <c r="O152" s="92">
        <f t="shared" si="166"/>
        <v>104599302.35901624</v>
      </c>
    </row>
    <row r="153" spans="1:25" x14ac:dyDescent="0.25">
      <c r="A153" s="82"/>
      <c r="B153" s="46" t="s">
        <v>208</v>
      </c>
      <c r="C153" s="47">
        <f t="shared" ref="C153:N153" si="172">SUM(C146:C152)</f>
        <v>65129741.558600076</v>
      </c>
      <c r="D153" s="47">
        <f t="shared" si="172"/>
        <v>64482516.892415933</v>
      </c>
      <c r="E153" s="47">
        <f t="shared" si="172"/>
        <v>66372327.801716872</v>
      </c>
      <c r="F153" s="47">
        <f t="shared" si="172"/>
        <v>63454819.899485424</v>
      </c>
      <c r="G153" s="47">
        <f t="shared" si="172"/>
        <v>75469809.00476028</v>
      </c>
      <c r="H153" s="47">
        <f t="shared" si="172"/>
        <v>66645970.500923038</v>
      </c>
      <c r="I153" s="47">
        <f t="shared" si="172"/>
        <v>69725722.602985948</v>
      </c>
      <c r="J153" s="47">
        <f t="shared" si="172"/>
        <v>69026135.530894995</v>
      </c>
      <c r="K153" s="47">
        <f t="shared" si="172"/>
        <v>71836380.461171985</v>
      </c>
      <c r="L153" s="47">
        <f t="shared" si="172"/>
        <v>67187174.38794677</v>
      </c>
      <c r="M153" s="47">
        <f t="shared" si="172"/>
        <v>69776665.228856012</v>
      </c>
      <c r="N153" s="47">
        <f t="shared" si="172"/>
        <v>68763974.884672105</v>
      </c>
      <c r="O153" s="47">
        <f t="shared" si="166"/>
        <v>817871238.75442934</v>
      </c>
    </row>
    <row r="154" spans="1:25" x14ac:dyDescent="0.25">
      <c r="A154" s="82"/>
      <c r="B154" s="60" t="s">
        <v>87</v>
      </c>
      <c r="C154" s="47">
        <f t="shared" ref="C154:N154" si="173">C144+C153</f>
        <v>71140619.384776771</v>
      </c>
      <c r="D154" s="47">
        <f t="shared" si="173"/>
        <v>69859659.995704994</v>
      </c>
      <c r="E154" s="47">
        <f t="shared" si="173"/>
        <v>71749470.905005932</v>
      </c>
      <c r="F154" s="47">
        <f t="shared" si="173"/>
        <v>68831963.002774477</v>
      </c>
      <c r="G154" s="47">
        <f t="shared" si="173"/>
        <v>80846952.108049333</v>
      </c>
      <c r="H154" s="47">
        <f t="shared" si="173"/>
        <v>72023113.60421209</v>
      </c>
      <c r="I154" s="47">
        <f t="shared" si="173"/>
        <v>75102865.706275001</v>
      </c>
      <c r="J154" s="47">
        <f t="shared" si="173"/>
        <v>74403278.634184048</v>
      </c>
      <c r="K154" s="47">
        <f t="shared" si="173"/>
        <v>77213523.564461038</v>
      </c>
      <c r="L154" s="47">
        <f t="shared" si="173"/>
        <v>72564317.491235822</v>
      </c>
      <c r="M154" s="47">
        <f t="shared" si="173"/>
        <v>75153808.332145065</v>
      </c>
      <c r="N154" s="47">
        <f t="shared" si="173"/>
        <v>74141117.987961158</v>
      </c>
      <c r="O154" s="47">
        <f t="shared" si="166"/>
        <v>883030690.71678579</v>
      </c>
    </row>
    <row r="155" spans="1:25" s="11" customFormat="1" x14ac:dyDescent="0.25">
      <c r="A155" s="82"/>
      <c r="B155" s="108" t="s">
        <v>204</v>
      </c>
      <c r="C155" s="109">
        <f>$O154*(3/12)/12</f>
        <v>18396472.723266371</v>
      </c>
      <c r="D155" s="109">
        <f t="shared" ref="D155" si="174">$O154*(3/12)/12</f>
        <v>18396472.723266371</v>
      </c>
      <c r="E155" s="109">
        <f t="shared" ref="E155" si="175">$O154*(3/12)/12</f>
        <v>18396472.723266371</v>
      </c>
      <c r="F155" s="109">
        <f t="shared" ref="F155" si="176">$O154*(3/12)/12</f>
        <v>18396472.723266371</v>
      </c>
      <c r="G155" s="109">
        <f t="shared" ref="G155" si="177">$O154*(3/12)/12</f>
        <v>18396472.723266371</v>
      </c>
      <c r="H155" s="109">
        <f t="shared" ref="H155" si="178">$O154*(3/12)/12</f>
        <v>18396472.723266371</v>
      </c>
      <c r="I155" s="109">
        <f t="shared" ref="I155" si="179">$O154*(3/12)/12</f>
        <v>18396472.723266371</v>
      </c>
      <c r="J155" s="109">
        <f t="shared" ref="J155" si="180">$O154*(3/12)/12</f>
        <v>18396472.723266371</v>
      </c>
      <c r="K155" s="109">
        <f t="shared" ref="K155" si="181">$O154*(3/12)/12</f>
        <v>18396472.723266371</v>
      </c>
      <c r="L155" s="109">
        <f t="shared" ref="L155" si="182">$O154*(3/12)/12</f>
        <v>18396472.723266371</v>
      </c>
      <c r="M155" s="109">
        <f t="shared" ref="M155" si="183">$O154*(3/12)/12</f>
        <v>18396472.723266371</v>
      </c>
      <c r="N155" s="109">
        <f>$O154*(3/12)/12</f>
        <v>18396472.723266371</v>
      </c>
      <c r="O155" s="109">
        <f t="shared" ref="O155:O157" si="184">SUM(C155:N155)</f>
        <v>220757672.67919639</v>
      </c>
      <c r="P155" s="43"/>
      <c r="Q155" s="43"/>
      <c r="R155" s="40"/>
      <c r="S155" s="40"/>
      <c r="T155" s="40"/>
      <c r="U155" s="40"/>
      <c r="V155" s="40"/>
      <c r="W155" s="40"/>
      <c r="X155" s="40"/>
      <c r="Y155" s="40"/>
    </row>
    <row r="156" spans="1:25" s="11" customFormat="1" x14ac:dyDescent="0.25">
      <c r="A156" s="82"/>
      <c r="B156" s="108" t="s">
        <v>386</v>
      </c>
      <c r="C156" s="109">
        <f>C124*(1+$K$160)</f>
        <v>5262088.1202686839</v>
      </c>
      <c r="D156" s="109">
        <v>0</v>
      </c>
      <c r="E156" s="109">
        <v>0</v>
      </c>
      <c r="F156" s="109">
        <v>0</v>
      </c>
      <c r="G156" s="109">
        <v>0</v>
      </c>
      <c r="H156" s="109">
        <v>0</v>
      </c>
      <c r="I156" s="109">
        <v>0</v>
      </c>
      <c r="J156" s="109">
        <v>0</v>
      </c>
      <c r="K156" s="109">
        <v>0</v>
      </c>
      <c r="L156" s="109">
        <v>0</v>
      </c>
      <c r="M156" s="109">
        <v>0</v>
      </c>
      <c r="N156" s="109">
        <v>0</v>
      </c>
      <c r="O156" s="109">
        <f t="shared" si="184"/>
        <v>5262088.1202686839</v>
      </c>
      <c r="P156" s="43"/>
      <c r="Q156" s="43"/>
      <c r="R156" s="40"/>
      <c r="S156" s="40"/>
      <c r="T156" s="40"/>
      <c r="U156" s="40"/>
      <c r="V156" s="40"/>
      <c r="W156" s="40"/>
      <c r="X156" s="40"/>
      <c r="Y156" s="40"/>
    </row>
    <row r="157" spans="1:25" s="11" customFormat="1" x14ac:dyDescent="0.25">
      <c r="A157" s="82"/>
      <c r="B157" s="60" t="s">
        <v>206</v>
      </c>
      <c r="C157" s="61">
        <f>C138-C154-C155-C156</f>
        <v>8068450.8864706568</v>
      </c>
      <c r="D157" s="61">
        <f t="shared" ref="D157:N157" si="185">D138-D154-D155-D156</f>
        <v>14611498.395811118</v>
      </c>
      <c r="E157" s="61">
        <f t="shared" si="185"/>
        <v>12721687.48651018</v>
      </c>
      <c r="F157" s="61">
        <f t="shared" si="185"/>
        <v>15639195.388741635</v>
      </c>
      <c r="G157" s="61">
        <f t="shared" si="185"/>
        <v>3624206.2834667787</v>
      </c>
      <c r="H157" s="61">
        <f t="shared" si="185"/>
        <v>12448044.787304021</v>
      </c>
      <c r="I157" s="61">
        <f t="shared" si="185"/>
        <v>9368292.6852411106</v>
      </c>
      <c r="J157" s="61">
        <f t="shared" si="185"/>
        <v>10067879.757332064</v>
      </c>
      <c r="K157" s="61">
        <f t="shared" si="185"/>
        <v>7257634.8270550743</v>
      </c>
      <c r="L157" s="61">
        <f t="shared" si="185"/>
        <v>11906840.900280289</v>
      </c>
      <c r="M157" s="61">
        <f t="shared" si="185"/>
        <v>9317350.0593710467</v>
      </c>
      <c r="N157" s="61">
        <f t="shared" si="185"/>
        <v>10330040.403554954</v>
      </c>
      <c r="O157" s="47">
        <f t="shared" si="184"/>
        <v>125361121.86113891</v>
      </c>
      <c r="P157" s="43"/>
      <c r="Q157" s="43"/>
      <c r="R157" s="40"/>
      <c r="S157" s="40"/>
      <c r="T157" s="40"/>
      <c r="U157" s="40"/>
      <c r="V157" s="40"/>
      <c r="W157" s="40"/>
      <c r="X157" s="40"/>
      <c r="Y157" s="40"/>
    </row>
    <row r="158" spans="1:25" x14ac:dyDescent="0.25">
      <c r="A158" s="85"/>
      <c r="B158" s="40"/>
      <c r="C158" s="40"/>
      <c r="D158" s="40"/>
      <c r="E158" s="40"/>
      <c r="F158" s="40"/>
      <c r="G158" s="40"/>
      <c r="H158" s="40"/>
      <c r="I158" s="40"/>
      <c r="J158" s="40"/>
      <c r="K158" s="40"/>
      <c r="L158" s="353" t="s">
        <v>217</v>
      </c>
      <c r="M158" s="354"/>
      <c r="N158" s="350">
        <f>SUM(C157:N157)+N126</f>
        <v>20745858520.711933</v>
      </c>
      <c r="O158" s="40"/>
    </row>
    <row r="159" spans="1:25" x14ac:dyDescent="0.25">
      <c r="A159" s="85"/>
      <c r="B159" s="40"/>
      <c r="C159" s="40"/>
      <c r="D159" s="40"/>
      <c r="E159" s="40"/>
      <c r="F159" s="40"/>
      <c r="G159" s="40"/>
      <c r="H159" s="40"/>
      <c r="I159" s="40"/>
      <c r="J159" s="40"/>
      <c r="K159" s="40"/>
      <c r="L159" s="320"/>
      <c r="M159" s="355"/>
      <c r="N159" s="351"/>
      <c r="O159" s="40"/>
    </row>
    <row r="160" spans="1:25" x14ac:dyDescent="0.25">
      <c r="A160" s="85"/>
      <c r="B160" s="319" t="s">
        <v>632</v>
      </c>
      <c r="C160" s="352" t="s">
        <v>387</v>
      </c>
      <c r="D160" s="352"/>
      <c r="E160" s="352"/>
      <c r="F160" s="352"/>
      <c r="G160" s="352"/>
      <c r="H160" s="352"/>
      <c r="I160" s="40"/>
      <c r="J160" s="358" t="s">
        <v>231</v>
      </c>
      <c r="K160" s="359">
        <v>0.04</v>
      </c>
      <c r="L160" s="40"/>
      <c r="M160" s="40"/>
      <c r="N160" s="40"/>
      <c r="O160" s="361"/>
    </row>
    <row r="161" spans="1:15" x14ac:dyDescent="0.25">
      <c r="A161" s="85"/>
      <c r="B161" s="319"/>
      <c r="C161" s="352"/>
      <c r="D161" s="352"/>
      <c r="E161" s="352"/>
      <c r="F161" s="352"/>
      <c r="G161" s="352"/>
      <c r="H161" s="352"/>
      <c r="I161" s="40"/>
      <c r="J161" s="358"/>
      <c r="K161" s="360"/>
      <c r="L161" s="40"/>
      <c r="M161" s="40"/>
      <c r="N161" s="40"/>
      <c r="O161" s="362"/>
    </row>
    <row r="162" spans="1:15" x14ac:dyDescent="0.25">
      <c r="A162" s="85"/>
      <c r="B162" s="319"/>
      <c r="C162" s="352"/>
      <c r="D162" s="352"/>
      <c r="E162" s="352"/>
      <c r="F162" s="352"/>
      <c r="G162" s="352"/>
      <c r="H162" s="352"/>
      <c r="I162" s="40"/>
      <c r="J162" s="40"/>
      <c r="K162" s="40"/>
      <c r="L162" s="40"/>
      <c r="M162" s="40"/>
      <c r="N162" s="40"/>
      <c r="O162" s="40"/>
    </row>
    <row r="165" spans="1:15" ht="24.6" x14ac:dyDescent="0.25">
      <c r="A165" s="96"/>
      <c r="B165" s="348" t="s">
        <v>283</v>
      </c>
      <c r="C165" s="348"/>
      <c r="D165" s="348"/>
      <c r="E165" s="348"/>
      <c r="F165" s="348"/>
      <c r="G165" s="348"/>
      <c r="H165" s="348"/>
      <c r="I165" s="348"/>
      <c r="J165" s="348"/>
      <c r="K165" s="348"/>
      <c r="L165" s="348"/>
      <c r="M165" s="348"/>
      <c r="N165" s="348"/>
      <c r="O165" s="348"/>
    </row>
    <row r="166" spans="1:15" ht="24.6" x14ac:dyDescent="0.25">
      <c r="A166" s="96"/>
      <c r="B166" s="349"/>
      <c r="C166" s="349"/>
      <c r="D166" s="349"/>
      <c r="E166" s="349"/>
      <c r="F166" s="349"/>
      <c r="G166" s="349"/>
      <c r="H166" s="349"/>
      <c r="I166" s="349"/>
      <c r="J166" s="349"/>
      <c r="K166" s="349"/>
      <c r="L166" s="349"/>
      <c r="M166" s="349"/>
      <c r="N166" s="349"/>
      <c r="O166" s="349"/>
    </row>
    <row r="167" spans="1:15" x14ac:dyDescent="0.25">
      <c r="A167" s="82"/>
      <c r="B167" s="41"/>
      <c r="C167" s="42" t="s">
        <v>66</v>
      </c>
      <c r="D167" s="42" t="s">
        <v>67</v>
      </c>
      <c r="E167" s="42" t="s">
        <v>68</v>
      </c>
      <c r="F167" s="42" t="s">
        <v>69</v>
      </c>
      <c r="G167" s="42" t="s">
        <v>70</v>
      </c>
      <c r="H167" s="42" t="s">
        <v>71</v>
      </c>
      <c r="I167" s="42" t="s">
        <v>72</v>
      </c>
      <c r="J167" s="42" t="s">
        <v>73</v>
      </c>
      <c r="K167" s="42" t="s">
        <v>74</v>
      </c>
      <c r="L167" s="42" t="s">
        <v>75</v>
      </c>
      <c r="M167" s="42" t="s">
        <v>76</v>
      </c>
      <c r="N167" s="42" t="s">
        <v>77</v>
      </c>
      <c r="O167" s="42" t="s">
        <v>236</v>
      </c>
    </row>
    <row r="168" spans="1:15" x14ac:dyDescent="0.25">
      <c r="A168" s="82"/>
      <c r="B168" s="44" t="s">
        <v>381</v>
      </c>
      <c r="C168" s="45">
        <f>'11.My pension value'!$D$3/12</f>
        <v>35611893.330636717</v>
      </c>
      <c r="D168" s="45">
        <f>'11.My pension value'!$D$3/12</f>
        <v>35611893.330636717</v>
      </c>
      <c r="E168" s="45">
        <f>'11.My pension value'!$D$3/12</f>
        <v>35611893.330636717</v>
      </c>
      <c r="F168" s="45">
        <f>'11.My pension value'!$D$3/12</f>
        <v>35611893.330636717</v>
      </c>
      <c r="G168" s="45">
        <f>'11.My pension value'!$D$3/12</f>
        <v>35611893.330636717</v>
      </c>
      <c r="H168" s="45">
        <f>'11.My pension value'!$D$3/12</f>
        <v>35611893.330636717</v>
      </c>
      <c r="I168" s="45">
        <f>'11.My pension value'!$D$3/12</f>
        <v>35611893.330636717</v>
      </c>
      <c r="J168" s="45">
        <f>'11.My pension value'!$D$3/12</f>
        <v>35611893.330636717</v>
      </c>
      <c r="K168" s="45">
        <f>'11.My pension value'!$D$3/12</f>
        <v>35611893.330636717</v>
      </c>
      <c r="L168" s="45">
        <f>'11.My pension value'!$D$3/12</f>
        <v>35611893.330636717</v>
      </c>
      <c r="M168" s="45">
        <f>'11.My pension value'!$D$3/12</f>
        <v>35611893.330636717</v>
      </c>
      <c r="N168" s="45">
        <f>'11.My pension value'!$D$3/12</f>
        <v>35611893.330636717</v>
      </c>
      <c r="O168" s="45" t="s">
        <v>173</v>
      </c>
    </row>
    <row r="169" spans="1:15" x14ac:dyDescent="0.25">
      <c r="A169" s="82"/>
      <c r="B169" s="44" t="s">
        <v>246</v>
      </c>
      <c r="C169" s="45">
        <f>'3.2. My wife''s Tax Calc'!$P$43/12</f>
        <v>67563356.395944193</v>
      </c>
      <c r="D169" s="45">
        <f>'3.2. My wife''s Tax Calc'!$P$43/12</f>
        <v>67563356.395944193</v>
      </c>
      <c r="E169" s="45">
        <f>'3.2. My wife''s Tax Calc'!$P$43/12</f>
        <v>67563356.395944193</v>
      </c>
      <c r="F169" s="45">
        <f>'3.2. My wife''s Tax Calc'!$P$43/12</f>
        <v>67563356.395944193</v>
      </c>
      <c r="G169" s="45">
        <f>'3.2. My wife''s Tax Calc'!$P$43/12</f>
        <v>67563356.395944193</v>
      </c>
      <c r="H169" s="45">
        <f>'3.2. My wife''s Tax Calc'!$P$43/12</f>
        <v>67563356.395944193</v>
      </c>
      <c r="I169" s="45">
        <f>'3.2. My wife''s Tax Calc'!$P$43/12</f>
        <v>67563356.395944193</v>
      </c>
      <c r="J169" s="45">
        <f>'3.2. My wife''s Tax Calc'!$P$43/12</f>
        <v>67563356.395944193</v>
      </c>
      <c r="K169" s="45">
        <f>'3.2. My wife''s Tax Calc'!$P$43/12</f>
        <v>67563356.395944193</v>
      </c>
      <c r="L169" s="45">
        <f>'3.2. My wife''s Tax Calc'!$P$43/12</f>
        <v>67563356.395944193</v>
      </c>
      <c r="M169" s="45">
        <f>'3.2. My wife''s Tax Calc'!$P$43/12</f>
        <v>67563356.395944193</v>
      </c>
      <c r="N169" s="45">
        <f>'3.2. My wife''s Tax Calc'!$P$43/12</f>
        <v>67563356.395944193</v>
      </c>
      <c r="O169" s="45" t="s">
        <v>173</v>
      </c>
    </row>
    <row r="170" spans="1:15" x14ac:dyDescent="0.25">
      <c r="A170" s="82"/>
      <c r="B170" s="46" t="s">
        <v>209</v>
      </c>
      <c r="C170" s="47">
        <f>SUM(C168:C169)</f>
        <v>103175249.72658092</v>
      </c>
      <c r="D170" s="47">
        <f t="shared" ref="D170:J170" si="186">SUM(D168:D169)</f>
        <v>103175249.72658092</v>
      </c>
      <c r="E170" s="47">
        <f t="shared" si="186"/>
        <v>103175249.72658092</v>
      </c>
      <c r="F170" s="47">
        <f t="shared" si="186"/>
        <v>103175249.72658092</v>
      </c>
      <c r="G170" s="47">
        <f t="shared" si="186"/>
        <v>103175249.72658092</v>
      </c>
      <c r="H170" s="47">
        <f t="shared" si="186"/>
        <v>103175249.72658092</v>
      </c>
      <c r="I170" s="47">
        <f t="shared" si="186"/>
        <v>103175249.72658092</v>
      </c>
      <c r="J170" s="47">
        <f t="shared" si="186"/>
        <v>103175249.72658092</v>
      </c>
      <c r="K170" s="47">
        <f>SUM(K168:K169)</f>
        <v>103175249.72658092</v>
      </c>
      <c r="L170" s="47">
        <f t="shared" ref="L170:N170" si="187">SUM(L168:L169)</f>
        <v>103175249.72658092</v>
      </c>
      <c r="M170" s="47">
        <f t="shared" si="187"/>
        <v>103175249.72658092</v>
      </c>
      <c r="N170" s="47">
        <f t="shared" si="187"/>
        <v>103175249.72658092</v>
      </c>
      <c r="O170" s="47">
        <f>SUM(C170:N170)</f>
        <v>1238102996.7189708</v>
      </c>
    </row>
    <row r="171" spans="1:15" x14ac:dyDescent="0.25">
      <c r="A171" s="82"/>
      <c r="B171" s="52" t="s">
        <v>78</v>
      </c>
      <c r="C171" s="53" t="s">
        <v>173</v>
      </c>
      <c r="D171" s="53" t="s">
        <v>173</v>
      </c>
      <c r="E171" s="53" t="s">
        <v>173</v>
      </c>
      <c r="F171" s="53" t="s">
        <v>173</v>
      </c>
      <c r="G171" s="53" t="s">
        <v>173</v>
      </c>
      <c r="H171" s="53" t="s">
        <v>173</v>
      </c>
      <c r="I171" s="53" t="s">
        <v>173</v>
      </c>
      <c r="J171" s="53" t="s">
        <v>173</v>
      </c>
      <c r="K171" s="53" t="s">
        <v>173</v>
      </c>
      <c r="L171" s="53" t="s">
        <v>173</v>
      </c>
      <c r="M171" s="53" t="s">
        <v>173</v>
      </c>
      <c r="N171" s="53" t="s">
        <v>173</v>
      </c>
      <c r="O171" s="91" t="s">
        <v>173</v>
      </c>
    </row>
    <row r="172" spans="1:15" x14ac:dyDescent="0.25">
      <c r="A172" s="82"/>
      <c r="B172" s="48" t="s">
        <v>79</v>
      </c>
      <c r="C172" s="54" t="s">
        <v>173</v>
      </c>
      <c r="D172" s="54" t="s">
        <v>173</v>
      </c>
      <c r="E172" s="54" t="s">
        <v>173</v>
      </c>
      <c r="F172" s="54" t="s">
        <v>173</v>
      </c>
      <c r="G172" s="54" t="s">
        <v>173</v>
      </c>
      <c r="H172" s="54" t="s">
        <v>173</v>
      </c>
      <c r="I172" s="54" t="s">
        <v>173</v>
      </c>
      <c r="J172" s="54" t="s">
        <v>173</v>
      </c>
      <c r="K172" s="54" t="s">
        <v>173</v>
      </c>
      <c r="L172" s="54" t="s">
        <v>173</v>
      </c>
      <c r="M172" s="54" t="s">
        <v>173</v>
      </c>
      <c r="N172" s="54" t="s">
        <v>173</v>
      </c>
      <c r="O172" s="91" t="s">
        <v>173</v>
      </c>
    </row>
    <row r="173" spans="1:15" x14ac:dyDescent="0.25">
      <c r="A173" s="83"/>
      <c r="B173" s="49" t="s">
        <v>195</v>
      </c>
      <c r="C173" s="50">
        <f>C141*(1+$K$62)</f>
        <v>659084.1118031441</v>
      </c>
      <c r="D173" s="50">
        <v>0</v>
      </c>
      <c r="E173" s="50">
        <v>0</v>
      </c>
      <c r="F173" s="50">
        <v>0</v>
      </c>
      <c r="G173" s="50">
        <v>0</v>
      </c>
      <c r="H173" s="50">
        <v>0</v>
      </c>
      <c r="I173" s="50">
        <v>0</v>
      </c>
      <c r="J173" s="50">
        <v>0</v>
      </c>
      <c r="K173" s="50">
        <v>0</v>
      </c>
      <c r="L173" s="50">
        <v>0</v>
      </c>
      <c r="M173" s="50">
        <v>0</v>
      </c>
      <c r="N173" s="50">
        <v>0</v>
      </c>
      <c r="O173" s="90">
        <f t="shared" ref="O173:O176" si="188">SUM(C173:N173)</f>
        <v>659084.1118031441</v>
      </c>
    </row>
    <row r="174" spans="1:15" x14ac:dyDescent="0.25">
      <c r="A174" s="82"/>
      <c r="B174" s="51" t="s">
        <v>178</v>
      </c>
      <c r="C174" s="50">
        <f>C142*(1+$K$62)</f>
        <v>4993061.4530541236</v>
      </c>
      <c r="D174" s="50">
        <f t="shared" ref="D174:N174" si="189">D142*(1+$K$62)</f>
        <v>4993061.4530541236</v>
      </c>
      <c r="E174" s="50">
        <f t="shared" si="189"/>
        <v>4993061.4530541236</v>
      </c>
      <c r="F174" s="50">
        <f t="shared" si="189"/>
        <v>4993061.4530541236</v>
      </c>
      <c r="G174" s="50">
        <f t="shared" si="189"/>
        <v>4993061.4530541236</v>
      </c>
      <c r="H174" s="50">
        <f t="shared" si="189"/>
        <v>4993061.4530541236</v>
      </c>
      <c r="I174" s="50">
        <f t="shared" si="189"/>
        <v>4993061.4530541236</v>
      </c>
      <c r="J174" s="50">
        <f t="shared" si="189"/>
        <v>4993061.4530541236</v>
      </c>
      <c r="K174" s="50">
        <f t="shared" si="189"/>
        <v>4993061.4530541236</v>
      </c>
      <c r="L174" s="50">
        <f t="shared" si="189"/>
        <v>4993061.4530541236</v>
      </c>
      <c r="M174" s="50">
        <f t="shared" si="189"/>
        <v>4993061.4530541236</v>
      </c>
      <c r="N174" s="50">
        <f t="shared" si="189"/>
        <v>4993061.4530541236</v>
      </c>
      <c r="O174" s="90">
        <f t="shared" si="188"/>
        <v>59916737.436649479</v>
      </c>
    </row>
    <row r="175" spans="1:15" x14ac:dyDescent="0.25">
      <c r="A175" s="84"/>
      <c r="B175" s="51" t="s">
        <v>248</v>
      </c>
      <c r="C175" s="50">
        <f>C143*(1+$K$62)</f>
        <v>599167.37436649471</v>
      </c>
      <c r="D175" s="50">
        <f t="shared" ref="D175:N175" si="190">D143*(1+$K$62)</f>
        <v>599167.37436649471</v>
      </c>
      <c r="E175" s="50">
        <f t="shared" si="190"/>
        <v>599167.37436649471</v>
      </c>
      <c r="F175" s="50">
        <f t="shared" si="190"/>
        <v>599167.37436649471</v>
      </c>
      <c r="G175" s="50">
        <f t="shared" si="190"/>
        <v>599167.37436649471</v>
      </c>
      <c r="H175" s="50">
        <f t="shared" si="190"/>
        <v>599167.37436649471</v>
      </c>
      <c r="I175" s="50">
        <f t="shared" si="190"/>
        <v>599167.37436649471</v>
      </c>
      <c r="J175" s="50">
        <f t="shared" si="190"/>
        <v>599167.37436649471</v>
      </c>
      <c r="K175" s="50">
        <f t="shared" si="190"/>
        <v>599167.37436649471</v>
      </c>
      <c r="L175" s="50">
        <f t="shared" si="190"/>
        <v>599167.37436649471</v>
      </c>
      <c r="M175" s="50">
        <f t="shared" si="190"/>
        <v>599167.37436649471</v>
      </c>
      <c r="N175" s="50">
        <f t="shared" si="190"/>
        <v>599167.37436649471</v>
      </c>
      <c r="O175" s="90">
        <f t="shared" si="188"/>
        <v>7190008.492397937</v>
      </c>
    </row>
    <row r="176" spans="1:15" x14ac:dyDescent="0.25">
      <c r="A176" s="82"/>
      <c r="B176" s="46" t="s">
        <v>207</v>
      </c>
      <c r="C176" s="47">
        <f t="shared" ref="C176" si="191">SUM(C173:C175)</f>
        <v>6251312.9392237626</v>
      </c>
      <c r="D176" s="47">
        <f t="shared" ref="D176" si="192">SUM(D173:D175)</f>
        <v>5592228.8274206184</v>
      </c>
      <c r="E176" s="47">
        <f t="shared" ref="E176" si="193">SUM(E173:E175)</f>
        <v>5592228.8274206184</v>
      </c>
      <c r="F176" s="47">
        <f t="shared" ref="F176" si="194">SUM(F173:F175)</f>
        <v>5592228.8274206184</v>
      </c>
      <c r="G176" s="47">
        <f t="shared" ref="G176" si="195">SUM(G173:G175)</f>
        <v>5592228.8274206184</v>
      </c>
      <c r="H176" s="47">
        <f t="shared" ref="H176" si="196">SUM(H173:H175)</f>
        <v>5592228.8274206184</v>
      </c>
      <c r="I176" s="47">
        <f t="shared" ref="I176" si="197">SUM(I173:I175)</f>
        <v>5592228.8274206184</v>
      </c>
      <c r="J176" s="47">
        <f t="shared" ref="J176" si="198">SUM(J173:J175)</f>
        <v>5592228.8274206184</v>
      </c>
      <c r="K176" s="47">
        <f t="shared" ref="K176" si="199">SUM(K173:K175)</f>
        <v>5592228.8274206184</v>
      </c>
      <c r="L176" s="47">
        <f t="shared" ref="L176" si="200">SUM(L173:L175)</f>
        <v>5592228.8274206184</v>
      </c>
      <c r="M176" s="47">
        <f t="shared" ref="M176" si="201">SUM(M173:M175)</f>
        <v>5592228.8274206184</v>
      </c>
      <c r="N176" s="47">
        <f t="shared" ref="N176" si="202">SUM(N173:N175)</f>
        <v>5592228.8274206184</v>
      </c>
      <c r="O176" s="47">
        <f t="shared" si="188"/>
        <v>67765830.04085058</v>
      </c>
    </row>
    <row r="177" spans="1:25" x14ac:dyDescent="0.25">
      <c r="A177" s="82"/>
      <c r="B177" s="55" t="s">
        <v>83</v>
      </c>
      <c r="C177" s="59" t="s">
        <v>173</v>
      </c>
      <c r="D177" s="59" t="s">
        <v>173</v>
      </c>
      <c r="E177" s="59" t="s">
        <v>173</v>
      </c>
      <c r="F177" s="59" t="s">
        <v>173</v>
      </c>
      <c r="G177" s="59" t="s">
        <v>173</v>
      </c>
      <c r="H177" s="59" t="s">
        <v>173</v>
      </c>
      <c r="I177" s="59" t="s">
        <v>173</v>
      </c>
      <c r="J177" s="59" t="s">
        <v>173</v>
      </c>
      <c r="K177" s="59" t="s">
        <v>173</v>
      </c>
      <c r="L177" s="59" t="s">
        <v>173</v>
      </c>
      <c r="M177" s="59" t="s">
        <v>173</v>
      </c>
      <c r="N177" s="59" t="s">
        <v>173</v>
      </c>
      <c r="O177" s="91" t="s">
        <v>173</v>
      </c>
    </row>
    <row r="178" spans="1:25" x14ac:dyDescent="0.25">
      <c r="A178" s="82"/>
      <c r="B178" s="57" t="s">
        <v>210</v>
      </c>
      <c r="C178" s="89">
        <f t="shared" ref="C178:N178" si="203">C146*(1+$K$95)</f>
        <v>3305406.6819218304</v>
      </c>
      <c r="D178" s="89">
        <f t="shared" si="203"/>
        <v>3984463.0395371909</v>
      </c>
      <c r="E178" s="89">
        <f t="shared" si="203"/>
        <v>3674893.2294478319</v>
      </c>
      <c r="F178" s="89">
        <f t="shared" si="203"/>
        <v>3435226.2797012376</v>
      </c>
      <c r="G178" s="89">
        <f t="shared" si="203"/>
        <v>3155614.8383302055</v>
      </c>
      <c r="H178" s="89">
        <f t="shared" si="203"/>
        <v>3954504.6708188658</v>
      </c>
      <c r="I178" s="89">
        <f t="shared" si="203"/>
        <v>4613588.7826220086</v>
      </c>
      <c r="J178" s="89">
        <f t="shared" si="203"/>
        <v>4423852.447405953</v>
      </c>
      <c r="K178" s="89">
        <f t="shared" si="203"/>
        <v>3415254.0338890194</v>
      </c>
      <c r="L178" s="89">
        <f t="shared" si="203"/>
        <v>3505129.1400439949</v>
      </c>
      <c r="M178" s="89">
        <f t="shared" si="203"/>
        <v>3335365.0506401542</v>
      </c>
      <c r="N178" s="89">
        <f t="shared" si="203"/>
        <v>3604990.369105075</v>
      </c>
      <c r="O178" s="92">
        <f t="shared" ref="O178:O186" si="204">SUM(C178:N178)</f>
        <v>44408288.563463368</v>
      </c>
    </row>
    <row r="179" spans="1:25" x14ac:dyDescent="0.25">
      <c r="A179" s="82"/>
      <c r="B179" s="57" t="s">
        <v>203</v>
      </c>
      <c r="C179" s="89">
        <f t="shared" ref="C179:N179" si="205">C147*(1+$K$95)</f>
        <v>11933416.872799352</v>
      </c>
      <c r="D179" s="89">
        <f t="shared" si="205"/>
        <v>12852140.180161316</v>
      </c>
      <c r="E179" s="89">
        <f t="shared" si="205"/>
        <v>14409975.353514202</v>
      </c>
      <c r="F179" s="89">
        <f t="shared" si="205"/>
        <v>10924818.459282426</v>
      </c>
      <c r="G179" s="89">
        <f t="shared" si="205"/>
        <v>14539794.95129361</v>
      </c>
      <c r="H179" s="89">
        <f t="shared" si="205"/>
        <v>13700960.627180511</v>
      </c>
      <c r="I179" s="89">
        <f t="shared" si="205"/>
        <v>12572528.738790289</v>
      </c>
      <c r="J179" s="89">
        <f t="shared" si="205"/>
        <v>14949225.990444044</v>
      </c>
      <c r="K179" s="89">
        <f t="shared" si="205"/>
        <v>14609697.81163636</v>
      </c>
      <c r="L179" s="89">
        <f t="shared" si="205"/>
        <v>14609697.81163636</v>
      </c>
      <c r="M179" s="89">
        <f t="shared" si="205"/>
        <v>11354221.744245082</v>
      </c>
      <c r="N179" s="89">
        <f t="shared" si="205"/>
        <v>14000544.314363765</v>
      </c>
      <c r="O179" s="92">
        <f t="shared" si="204"/>
        <v>160457022.85534734</v>
      </c>
    </row>
    <row r="180" spans="1:25" x14ac:dyDescent="0.25">
      <c r="A180" s="82"/>
      <c r="B180" s="58" t="s">
        <v>84</v>
      </c>
      <c r="C180" s="89">
        <f t="shared" ref="C180:N180" si="206">C148*(1+$K$95)</f>
        <v>10555331.911756413</v>
      </c>
      <c r="D180" s="89">
        <f t="shared" si="206"/>
        <v>11523985.833648913</v>
      </c>
      <c r="E180" s="89">
        <f t="shared" si="206"/>
        <v>11563930.325273344</v>
      </c>
      <c r="F180" s="89">
        <f t="shared" si="206"/>
        <v>11943402.995705463</v>
      </c>
      <c r="G180" s="89">
        <f t="shared" si="206"/>
        <v>14130363.912143169</v>
      </c>
      <c r="H180" s="89">
        <f t="shared" si="206"/>
        <v>12223014.43707649</v>
      </c>
      <c r="I180" s="89">
        <f t="shared" si="206"/>
        <v>12692362.213663585</v>
      </c>
      <c r="J180" s="89">
        <f t="shared" si="206"/>
        <v>14609697.81163636</v>
      </c>
      <c r="K180" s="89">
        <f t="shared" si="206"/>
        <v>13371418.571278945</v>
      </c>
      <c r="L180" s="89">
        <f t="shared" si="206"/>
        <v>13351446.325466726</v>
      </c>
      <c r="M180" s="89">
        <f t="shared" si="206"/>
        <v>14290141.878640896</v>
      </c>
      <c r="N180" s="89">
        <f t="shared" si="206"/>
        <v>11474055.219118373</v>
      </c>
      <c r="O180" s="92">
        <f t="shared" si="204"/>
        <v>151729151.43540868</v>
      </c>
    </row>
    <row r="181" spans="1:25" x14ac:dyDescent="0.25">
      <c r="A181" s="82"/>
      <c r="B181" s="57" t="s">
        <v>85</v>
      </c>
      <c r="C181" s="89">
        <f t="shared" ref="C181:N181" si="207">C149*(1+$K$95)</f>
        <v>12262958.928700928</v>
      </c>
      <c r="D181" s="89">
        <f t="shared" si="207"/>
        <v>10495415.174319774</v>
      </c>
      <c r="E181" s="89">
        <f t="shared" si="207"/>
        <v>10864901.72184577</v>
      </c>
      <c r="F181" s="89">
        <f t="shared" si="207"/>
        <v>11034665.811249608</v>
      </c>
      <c r="G181" s="89">
        <f t="shared" si="207"/>
        <v>14839378.63847685</v>
      </c>
      <c r="H181" s="89">
        <f t="shared" si="207"/>
        <v>10894860.0905641</v>
      </c>
      <c r="I181" s="89">
        <f t="shared" si="207"/>
        <v>12642431.599133039</v>
      </c>
      <c r="J181" s="89">
        <f t="shared" si="207"/>
        <v>10006095.151920464</v>
      </c>
      <c r="K181" s="89">
        <f t="shared" si="207"/>
        <v>13011918.146659048</v>
      </c>
      <c r="L181" s="89">
        <f t="shared" si="207"/>
        <v>10335637.207822036</v>
      </c>
      <c r="M181" s="89">
        <f t="shared" si="207"/>
        <v>13161709.990250668</v>
      </c>
      <c r="N181" s="89">
        <f t="shared" si="207"/>
        <v>12532584.247165846</v>
      </c>
      <c r="O181" s="92">
        <f t="shared" si="204"/>
        <v>142082556.70810813</v>
      </c>
    </row>
    <row r="182" spans="1:25" x14ac:dyDescent="0.25">
      <c r="A182" s="84"/>
      <c r="B182" s="58" t="s">
        <v>249</v>
      </c>
      <c r="C182" s="89">
        <v>10000000</v>
      </c>
      <c r="D182" s="89">
        <v>10000000</v>
      </c>
      <c r="E182" s="89">
        <v>10000000</v>
      </c>
      <c r="F182" s="89">
        <v>10000000</v>
      </c>
      <c r="G182" s="89">
        <v>10000000</v>
      </c>
      <c r="H182" s="89">
        <v>10000000</v>
      </c>
      <c r="I182" s="89">
        <v>10000000</v>
      </c>
      <c r="J182" s="89">
        <v>10000000</v>
      </c>
      <c r="K182" s="89">
        <v>10000000</v>
      </c>
      <c r="L182" s="89">
        <v>10000000</v>
      </c>
      <c r="M182" s="89">
        <v>10000000</v>
      </c>
      <c r="N182" s="89">
        <v>10000000</v>
      </c>
      <c r="O182" s="92">
        <f t="shared" si="204"/>
        <v>120000000</v>
      </c>
    </row>
    <row r="183" spans="1:25" x14ac:dyDescent="0.25">
      <c r="A183" s="84"/>
      <c r="B183" s="58" t="s">
        <v>180</v>
      </c>
      <c r="C183" s="89">
        <f t="shared" ref="C183:N183" si="208">C151*(1+$K$95)</f>
        <v>10212543.954650821</v>
      </c>
      <c r="D183" s="89">
        <f t="shared" si="208"/>
        <v>8740540.4693306349</v>
      </c>
      <c r="E183" s="89">
        <f t="shared" si="208"/>
        <v>9048247.4125896525</v>
      </c>
      <c r="F183" s="89">
        <f t="shared" si="208"/>
        <v>9189626.2784113642</v>
      </c>
      <c r="G183" s="89">
        <f t="shared" si="208"/>
        <v>12358176.153592115</v>
      </c>
      <c r="H183" s="89">
        <f t="shared" si="208"/>
        <v>9073196.624205254</v>
      </c>
      <c r="I183" s="89">
        <f t="shared" si="208"/>
        <v>10528567.301781708</v>
      </c>
      <c r="J183" s="89">
        <f t="shared" si="208"/>
        <v>8333036.6796092205</v>
      </c>
      <c r="K183" s="89">
        <f t="shared" si="208"/>
        <v>10836274.245040737</v>
      </c>
      <c r="L183" s="89">
        <f t="shared" si="208"/>
        <v>8607478.0073807817</v>
      </c>
      <c r="M183" s="89">
        <f t="shared" si="208"/>
        <v>10961020.303118715</v>
      </c>
      <c r="N183" s="89">
        <f t="shared" si="208"/>
        <v>10437086.859191187</v>
      </c>
      <c r="O183" s="92">
        <f t="shared" si="204"/>
        <v>118325794.28890222</v>
      </c>
    </row>
    <row r="184" spans="1:25" x14ac:dyDescent="0.25">
      <c r="A184" s="84"/>
      <c r="B184" s="58" t="s">
        <v>86</v>
      </c>
      <c r="C184" s="89">
        <f t="shared" ref="C184:N184" si="209">C152*(1+$K$95)</f>
        <v>9065272.8711147439</v>
      </c>
      <c r="D184" s="89">
        <f t="shared" si="209"/>
        <v>9065272.8711147439</v>
      </c>
      <c r="E184" s="89">
        <f t="shared" si="209"/>
        <v>9065272.8711147439</v>
      </c>
      <c r="F184" s="89">
        <f t="shared" si="209"/>
        <v>9065272.8711147439</v>
      </c>
      <c r="G184" s="89">
        <f t="shared" si="209"/>
        <v>9065272.8711147439</v>
      </c>
      <c r="H184" s="89">
        <f t="shared" si="209"/>
        <v>9065272.8711147439</v>
      </c>
      <c r="I184" s="89">
        <f t="shared" si="209"/>
        <v>9065272.8711147439</v>
      </c>
      <c r="J184" s="89">
        <f t="shared" si="209"/>
        <v>9065272.8711147439</v>
      </c>
      <c r="K184" s="89">
        <f t="shared" si="209"/>
        <v>9065272.8711147439</v>
      </c>
      <c r="L184" s="89">
        <f t="shared" si="209"/>
        <v>9065272.8711147439</v>
      </c>
      <c r="M184" s="89">
        <f t="shared" si="209"/>
        <v>9065272.8711147439</v>
      </c>
      <c r="N184" s="89">
        <f t="shared" si="209"/>
        <v>9065272.8711147439</v>
      </c>
      <c r="O184" s="92">
        <f t="shared" si="204"/>
        <v>108783274.45337693</v>
      </c>
    </row>
    <row r="185" spans="1:25" x14ac:dyDescent="0.25">
      <c r="A185" s="82"/>
      <c r="B185" s="46" t="s">
        <v>208</v>
      </c>
      <c r="C185" s="47">
        <f t="shared" ref="C185:N185" si="210">SUM(C178:C184)</f>
        <v>67334931.220944092</v>
      </c>
      <c r="D185" s="47">
        <f t="shared" si="210"/>
        <v>66661817.568112582</v>
      </c>
      <c r="E185" s="47">
        <f t="shared" si="210"/>
        <v>68627220.913785547</v>
      </c>
      <c r="F185" s="47">
        <f t="shared" si="210"/>
        <v>65593012.695464849</v>
      </c>
      <c r="G185" s="47">
        <f t="shared" si="210"/>
        <v>78088601.364950687</v>
      </c>
      <c r="H185" s="47">
        <f t="shared" si="210"/>
        <v>68911809.32095997</v>
      </c>
      <c r="I185" s="47">
        <f t="shared" si="210"/>
        <v>72114751.507105365</v>
      </c>
      <c r="J185" s="47">
        <f t="shared" si="210"/>
        <v>71387180.952130795</v>
      </c>
      <c r="K185" s="47">
        <f t="shared" si="210"/>
        <v>74309835.67961885</v>
      </c>
      <c r="L185" s="47">
        <f t="shared" si="210"/>
        <v>69474661.363464639</v>
      </c>
      <c r="M185" s="47">
        <f t="shared" si="210"/>
        <v>72167731.838010252</v>
      </c>
      <c r="N185" s="47">
        <f t="shared" si="210"/>
        <v>71114533.880058989</v>
      </c>
      <c r="O185" s="47">
        <f t="shared" si="204"/>
        <v>845786088.30460668</v>
      </c>
    </row>
    <row r="186" spans="1:25" x14ac:dyDescent="0.25">
      <c r="A186" s="82"/>
      <c r="B186" s="60" t="s">
        <v>87</v>
      </c>
      <c r="C186" s="47">
        <f t="shared" ref="C186:N186" si="211">C176+C185</f>
        <v>73586244.160167858</v>
      </c>
      <c r="D186" s="47">
        <f t="shared" si="211"/>
        <v>72254046.395533204</v>
      </c>
      <c r="E186" s="47">
        <f t="shared" si="211"/>
        <v>74219449.741206169</v>
      </c>
      <c r="F186" s="47">
        <f t="shared" si="211"/>
        <v>71185241.522885472</v>
      </c>
      <c r="G186" s="47">
        <f t="shared" si="211"/>
        <v>83680830.192371309</v>
      </c>
      <c r="H186" s="47">
        <f t="shared" si="211"/>
        <v>74504038.148380592</v>
      </c>
      <c r="I186" s="47">
        <f t="shared" si="211"/>
        <v>77706980.334525988</v>
      </c>
      <c r="J186" s="47">
        <f t="shared" si="211"/>
        <v>76979409.779551417</v>
      </c>
      <c r="K186" s="47">
        <f t="shared" si="211"/>
        <v>79902064.507039472</v>
      </c>
      <c r="L186" s="47">
        <f t="shared" si="211"/>
        <v>75066890.190885261</v>
      </c>
      <c r="M186" s="47">
        <f t="shared" si="211"/>
        <v>77759960.665430874</v>
      </c>
      <c r="N186" s="47">
        <f t="shared" si="211"/>
        <v>76706762.707479611</v>
      </c>
      <c r="O186" s="47">
        <f t="shared" si="204"/>
        <v>913551918.34545732</v>
      </c>
    </row>
    <row r="187" spans="1:25" s="11" customFormat="1" x14ac:dyDescent="0.25">
      <c r="A187" s="82"/>
      <c r="B187" s="108" t="s">
        <v>204</v>
      </c>
      <c r="C187" s="109">
        <f>$O186*(3/12)/12</f>
        <v>19032331.632197026</v>
      </c>
      <c r="D187" s="109">
        <f t="shared" ref="D187" si="212">$O186*(3/12)/12</f>
        <v>19032331.632197026</v>
      </c>
      <c r="E187" s="109">
        <f t="shared" ref="E187" si="213">$O186*(3/12)/12</f>
        <v>19032331.632197026</v>
      </c>
      <c r="F187" s="109">
        <f t="shared" ref="F187" si="214">$O186*(3/12)/12</f>
        <v>19032331.632197026</v>
      </c>
      <c r="G187" s="109">
        <f t="shared" ref="G187" si="215">$O186*(3/12)/12</f>
        <v>19032331.632197026</v>
      </c>
      <c r="H187" s="109">
        <f t="shared" ref="H187" si="216">$O186*(3/12)/12</f>
        <v>19032331.632197026</v>
      </c>
      <c r="I187" s="109">
        <f t="shared" ref="I187" si="217">$O186*(3/12)/12</f>
        <v>19032331.632197026</v>
      </c>
      <c r="J187" s="109">
        <f t="shared" ref="J187" si="218">$O186*(3/12)/12</f>
        <v>19032331.632197026</v>
      </c>
      <c r="K187" s="109">
        <f t="shared" ref="K187" si="219">$O186*(3/12)/12</f>
        <v>19032331.632197026</v>
      </c>
      <c r="L187" s="109">
        <f t="shared" ref="L187" si="220">$O186*(3/12)/12</f>
        <v>19032331.632197026</v>
      </c>
      <c r="M187" s="109">
        <f t="shared" ref="M187" si="221">$O186*(3/12)/12</f>
        <v>19032331.632197026</v>
      </c>
      <c r="N187" s="109">
        <f>$O186*(3/12)/12</f>
        <v>19032331.632197026</v>
      </c>
      <c r="O187" s="109">
        <f t="shared" ref="O187:O189" si="222">SUM(C187:N187)</f>
        <v>228387979.5863643</v>
      </c>
      <c r="P187" s="43"/>
      <c r="Q187" s="43"/>
      <c r="R187" s="40"/>
      <c r="S187" s="40"/>
      <c r="T187" s="40"/>
      <c r="U187" s="40"/>
      <c r="V187" s="40"/>
      <c r="W187" s="40"/>
      <c r="X187" s="40"/>
      <c r="Y187" s="40"/>
    </row>
    <row r="188" spans="1:25" s="11" customFormat="1" x14ac:dyDescent="0.25">
      <c r="A188" s="82"/>
      <c r="B188" s="108" t="s">
        <v>386</v>
      </c>
      <c r="C188" s="109">
        <f>C156*(1+$K$192)</f>
        <v>5472571.6450794311</v>
      </c>
      <c r="D188" s="109">
        <v>0</v>
      </c>
      <c r="E188" s="109">
        <v>0</v>
      </c>
      <c r="F188" s="109">
        <v>0</v>
      </c>
      <c r="G188" s="109">
        <v>0</v>
      </c>
      <c r="H188" s="109">
        <v>0</v>
      </c>
      <c r="I188" s="109">
        <v>0</v>
      </c>
      <c r="J188" s="109">
        <v>0</v>
      </c>
      <c r="K188" s="109">
        <v>0</v>
      </c>
      <c r="L188" s="109">
        <v>0</v>
      </c>
      <c r="M188" s="109">
        <v>0</v>
      </c>
      <c r="N188" s="109">
        <v>0</v>
      </c>
      <c r="O188" s="109">
        <f t="shared" si="222"/>
        <v>5472571.6450794311</v>
      </c>
      <c r="P188" s="43"/>
      <c r="Q188" s="43"/>
      <c r="R188" s="40"/>
      <c r="S188" s="40"/>
      <c r="T188" s="40"/>
      <c r="U188" s="40"/>
      <c r="V188" s="40"/>
      <c r="W188" s="40"/>
      <c r="X188" s="40"/>
      <c r="Y188" s="40"/>
    </row>
    <row r="189" spans="1:25" s="11" customFormat="1" x14ac:dyDescent="0.25">
      <c r="A189" s="82"/>
      <c r="B189" s="60" t="s">
        <v>206</v>
      </c>
      <c r="C189" s="61">
        <f>C170-C186-C187-C188</f>
        <v>5084102.2891366025</v>
      </c>
      <c r="D189" s="61">
        <f t="shared" ref="D189:N189" si="223">D170-D186-D187-D188</f>
        <v>11888871.698850688</v>
      </c>
      <c r="E189" s="61">
        <f t="shared" si="223"/>
        <v>9923468.3531777225</v>
      </c>
      <c r="F189" s="61">
        <f t="shared" si="223"/>
        <v>12957676.57149842</v>
      </c>
      <c r="G189" s="61">
        <f t="shared" si="223"/>
        <v>462087.90201258287</v>
      </c>
      <c r="H189" s="61">
        <f t="shared" si="223"/>
        <v>9638879.9460032992</v>
      </c>
      <c r="I189" s="61">
        <f t="shared" si="223"/>
        <v>6435937.7598579042</v>
      </c>
      <c r="J189" s="61">
        <f t="shared" si="223"/>
        <v>7163508.314832475</v>
      </c>
      <c r="K189" s="61">
        <f t="shared" si="223"/>
        <v>4240853.5873444192</v>
      </c>
      <c r="L189" s="61">
        <f t="shared" si="223"/>
        <v>9076027.903498631</v>
      </c>
      <c r="M189" s="61">
        <f t="shared" si="223"/>
        <v>6382957.428953018</v>
      </c>
      <c r="N189" s="61">
        <f t="shared" si="223"/>
        <v>7436155.3869042806</v>
      </c>
      <c r="O189" s="47">
        <f t="shared" si="222"/>
        <v>90690527.14207007</v>
      </c>
      <c r="P189" s="43"/>
      <c r="Q189" s="43"/>
      <c r="R189" s="40"/>
      <c r="S189" s="40"/>
      <c r="T189" s="40"/>
      <c r="U189" s="40"/>
      <c r="V189" s="40"/>
      <c r="W189" s="40"/>
      <c r="X189" s="40"/>
      <c r="Y189" s="40"/>
    </row>
    <row r="190" spans="1:25" x14ac:dyDescent="0.25">
      <c r="A190" s="85"/>
      <c r="B190" s="40"/>
      <c r="C190" s="40"/>
      <c r="D190" s="40"/>
      <c r="E190" s="40"/>
      <c r="F190" s="40"/>
      <c r="G190" s="40"/>
      <c r="H190" s="40"/>
      <c r="I190" s="40"/>
      <c r="J190" s="40"/>
      <c r="K190" s="40"/>
      <c r="L190" s="353" t="s">
        <v>217</v>
      </c>
      <c r="M190" s="354"/>
      <c r="N190" s="350">
        <f>SUM(C189:N189)+N158</f>
        <v>20836549047.854004</v>
      </c>
      <c r="O190" s="40"/>
    </row>
    <row r="191" spans="1:25" x14ac:dyDescent="0.25">
      <c r="A191" s="85"/>
      <c r="B191" s="40"/>
      <c r="C191" s="40"/>
      <c r="D191" s="40"/>
      <c r="E191" s="40"/>
      <c r="F191" s="40"/>
      <c r="G191" s="40"/>
      <c r="H191" s="40"/>
      <c r="I191" s="40"/>
      <c r="J191" s="40"/>
      <c r="K191" s="40"/>
      <c r="L191" s="320"/>
      <c r="M191" s="355"/>
      <c r="N191" s="351"/>
      <c r="O191" s="40"/>
    </row>
    <row r="192" spans="1:25" x14ac:dyDescent="0.25">
      <c r="A192" s="85"/>
      <c r="B192" s="319" t="s">
        <v>632</v>
      </c>
      <c r="C192" s="352" t="s">
        <v>173</v>
      </c>
      <c r="D192" s="352"/>
      <c r="E192" s="352"/>
      <c r="F192" s="352"/>
      <c r="G192" s="352"/>
      <c r="H192" s="352"/>
      <c r="I192" s="40"/>
      <c r="J192" s="358" t="s">
        <v>231</v>
      </c>
      <c r="K192" s="359">
        <v>0.04</v>
      </c>
      <c r="L192" s="40"/>
      <c r="M192" s="40"/>
      <c r="N192" s="40"/>
      <c r="O192" s="361"/>
    </row>
    <row r="193" spans="1:15" x14ac:dyDescent="0.25">
      <c r="A193" s="85"/>
      <c r="B193" s="319"/>
      <c r="C193" s="352"/>
      <c r="D193" s="352"/>
      <c r="E193" s="352"/>
      <c r="F193" s="352"/>
      <c r="G193" s="352"/>
      <c r="H193" s="352"/>
      <c r="I193" s="40"/>
      <c r="J193" s="358"/>
      <c r="K193" s="360"/>
      <c r="L193" s="40"/>
      <c r="M193" s="40"/>
      <c r="N193" s="40"/>
      <c r="O193" s="362"/>
    </row>
    <row r="194" spans="1:15" x14ac:dyDescent="0.25">
      <c r="A194" s="85"/>
      <c r="B194" s="319"/>
      <c r="C194" s="352"/>
      <c r="D194" s="352"/>
      <c r="E194" s="352"/>
      <c r="F194" s="352"/>
      <c r="G194" s="352"/>
      <c r="H194" s="352"/>
      <c r="I194" s="40"/>
      <c r="J194" s="40"/>
      <c r="K194" s="40"/>
      <c r="L194" s="40"/>
      <c r="M194" s="40"/>
      <c r="N194" s="40"/>
      <c r="O194" s="40"/>
    </row>
    <row r="197" spans="1:15" ht="24.6" x14ac:dyDescent="0.25">
      <c r="A197" s="96"/>
      <c r="B197" s="348" t="s">
        <v>284</v>
      </c>
      <c r="C197" s="348"/>
      <c r="D197" s="348"/>
      <c r="E197" s="348"/>
      <c r="F197" s="348"/>
      <c r="G197" s="348"/>
      <c r="H197" s="348"/>
      <c r="I197" s="348"/>
      <c r="J197" s="348"/>
      <c r="K197" s="348"/>
      <c r="L197" s="348"/>
      <c r="M197" s="348"/>
      <c r="N197" s="348"/>
      <c r="O197" s="348"/>
    </row>
    <row r="198" spans="1:15" ht="24.6" x14ac:dyDescent="0.25">
      <c r="A198" s="96"/>
      <c r="B198" s="349"/>
      <c r="C198" s="349"/>
      <c r="D198" s="349"/>
      <c r="E198" s="349"/>
      <c r="F198" s="349"/>
      <c r="G198" s="349"/>
      <c r="H198" s="349"/>
      <c r="I198" s="349"/>
      <c r="J198" s="349"/>
      <c r="K198" s="349"/>
      <c r="L198" s="349"/>
      <c r="M198" s="349"/>
      <c r="N198" s="349"/>
      <c r="O198" s="349"/>
    </row>
    <row r="199" spans="1:15" x14ac:dyDescent="0.25">
      <c r="A199" s="82"/>
      <c r="B199" s="41"/>
      <c r="C199" s="42" t="s">
        <v>66</v>
      </c>
      <c r="D199" s="42" t="s">
        <v>67</v>
      </c>
      <c r="E199" s="42" t="s">
        <v>68</v>
      </c>
      <c r="F199" s="42" t="s">
        <v>69</v>
      </c>
      <c r="G199" s="42" t="s">
        <v>70</v>
      </c>
      <c r="H199" s="42" t="s">
        <v>71</v>
      </c>
      <c r="I199" s="42" t="s">
        <v>72</v>
      </c>
      <c r="J199" s="42" t="s">
        <v>73</v>
      </c>
      <c r="K199" s="42" t="s">
        <v>74</v>
      </c>
      <c r="L199" s="42" t="s">
        <v>75</v>
      </c>
      <c r="M199" s="42" t="s">
        <v>76</v>
      </c>
      <c r="N199" s="42" t="s">
        <v>77</v>
      </c>
      <c r="O199" s="42" t="s">
        <v>236</v>
      </c>
    </row>
    <row r="200" spans="1:15" x14ac:dyDescent="0.25">
      <c r="A200" s="82"/>
      <c r="B200" s="44" t="s">
        <v>381</v>
      </c>
      <c r="C200" s="45">
        <f>'11.My pension value'!$D$4/12</f>
        <v>35611893.330636717</v>
      </c>
      <c r="D200" s="45">
        <f>'11.My pension value'!$D$4/12</f>
        <v>35611893.330636717</v>
      </c>
      <c r="E200" s="45">
        <f>'11.My pension value'!$D$4/12</f>
        <v>35611893.330636717</v>
      </c>
      <c r="F200" s="45">
        <f>'11.My pension value'!$D$4/12</f>
        <v>35611893.330636717</v>
      </c>
      <c r="G200" s="45">
        <f>'11.My pension value'!$D$4/12</f>
        <v>35611893.330636717</v>
      </c>
      <c r="H200" s="45">
        <f>'11.My pension value'!$D$4/12</f>
        <v>35611893.330636717</v>
      </c>
      <c r="I200" s="45">
        <f>'11.My pension value'!$D$4/12</f>
        <v>35611893.330636717</v>
      </c>
      <c r="J200" s="45">
        <f>'11.My pension value'!$D$4/12</f>
        <v>35611893.330636717</v>
      </c>
      <c r="K200" s="45">
        <f>'11.My pension value'!$D$4/12</f>
        <v>35611893.330636717</v>
      </c>
      <c r="L200" s="45">
        <f>'11.My pension value'!$D$4/12</f>
        <v>35611893.330636717</v>
      </c>
      <c r="M200" s="45">
        <f>'11.My pension value'!$D$4/12</f>
        <v>35611893.330636717</v>
      </c>
      <c r="N200" s="45">
        <f>'11.My pension value'!$D$4/12</f>
        <v>35611893.330636717</v>
      </c>
      <c r="O200" s="45" t="s">
        <v>173</v>
      </c>
    </row>
    <row r="201" spans="1:15" x14ac:dyDescent="0.25">
      <c r="A201" s="82"/>
      <c r="B201" s="44" t="s">
        <v>246</v>
      </c>
      <c r="C201" s="45">
        <f>'3.2. My wife''s Tax Calc'!$P$44/12</f>
        <v>67872603.5768639</v>
      </c>
      <c r="D201" s="45">
        <f>'3.2. My wife''s Tax Calc'!$P$44/12</f>
        <v>67872603.5768639</v>
      </c>
      <c r="E201" s="45">
        <f>'3.2. My wife''s Tax Calc'!$P$44/12</f>
        <v>67872603.5768639</v>
      </c>
      <c r="F201" s="45">
        <f>'3.2. My wife''s Tax Calc'!$P$44/12</f>
        <v>67872603.5768639</v>
      </c>
      <c r="G201" s="45">
        <f>'3.2. My wife''s Tax Calc'!$P$44/12</f>
        <v>67872603.5768639</v>
      </c>
      <c r="H201" s="45">
        <f>'3.2. My wife''s Tax Calc'!$P$44/12</f>
        <v>67872603.5768639</v>
      </c>
      <c r="I201" s="45">
        <f>'3.2. My wife''s Tax Calc'!$P$44/12</f>
        <v>67872603.5768639</v>
      </c>
      <c r="J201" s="45">
        <f>'3.2. My wife''s Tax Calc'!$P$44/12</f>
        <v>67872603.5768639</v>
      </c>
      <c r="K201" s="45">
        <f>'3.2. My wife''s Tax Calc'!$P$44/12</f>
        <v>67872603.5768639</v>
      </c>
      <c r="L201" s="45">
        <f>'3.2. My wife''s Tax Calc'!$P$44/12</f>
        <v>67872603.5768639</v>
      </c>
      <c r="M201" s="45">
        <f>'3.2. My wife''s Tax Calc'!$P$44/12</f>
        <v>67872603.5768639</v>
      </c>
      <c r="N201" s="45">
        <f>'3.2. My wife''s Tax Calc'!$P$44/12</f>
        <v>67872603.5768639</v>
      </c>
      <c r="O201" s="45" t="s">
        <v>173</v>
      </c>
    </row>
    <row r="202" spans="1:15" x14ac:dyDescent="0.25">
      <c r="A202" s="82"/>
      <c r="B202" s="46" t="s">
        <v>209</v>
      </c>
      <c r="C202" s="47">
        <f>SUM(C200:C201)</f>
        <v>103484496.90750062</v>
      </c>
      <c r="D202" s="47">
        <f t="shared" ref="D202:J202" si="224">SUM(D200:D201)</f>
        <v>103484496.90750062</v>
      </c>
      <c r="E202" s="47">
        <f t="shared" si="224"/>
        <v>103484496.90750062</v>
      </c>
      <c r="F202" s="47">
        <f t="shared" si="224"/>
        <v>103484496.90750062</v>
      </c>
      <c r="G202" s="47">
        <f t="shared" si="224"/>
        <v>103484496.90750062</v>
      </c>
      <c r="H202" s="47">
        <f t="shared" si="224"/>
        <v>103484496.90750062</v>
      </c>
      <c r="I202" s="47">
        <f t="shared" si="224"/>
        <v>103484496.90750062</v>
      </c>
      <c r="J202" s="47">
        <f t="shared" si="224"/>
        <v>103484496.90750062</v>
      </c>
      <c r="K202" s="47">
        <f>SUM(K200:K201)</f>
        <v>103484496.90750062</v>
      </c>
      <c r="L202" s="47">
        <f t="shared" ref="L202:N202" si="225">SUM(L200:L201)</f>
        <v>103484496.90750062</v>
      </c>
      <c r="M202" s="47">
        <f t="shared" si="225"/>
        <v>103484496.90750062</v>
      </c>
      <c r="N202" s="47">
        <f t="shared" si="225"/>
        <v>103484496.90750062</v>
      </c>
      <c r="O202" s="47">
        <f>SUM(C202:N202)</f>
        <v>1241813962.8900075</v>
      </c>
    </row>
    <row r="203" spans="1:15" x14ac:dyDescent="0.25">
      <c r="A203" s="82"/>
      <c r="B203" s="52" t="s">
        <v>78</v>
      </c>
      <c r="C203" s="53" t="s">
        <v>173</v>
      </c>
      <c r="D203" s="53" t="s">
        <v>173</v>
      </c>
      <c r="E203" s="53" t="s">
        <v>173</v>
      </c>
      <c r="F203" s="53" t="s">
        <v>173</v>
      </c>
      <c r="G203" s="53" t="s">
        <v>173</v>
      </c>
      <c r="H203" s="53" t="s">
        <v>173</v>
      </c>
      <c r="I203" s="53" t="s">
        <v>173</v>
      </c>
      <c r="J203" s="53" t="s">
        <v>173</v>
      </c>
      <c r="K203" s="53" t="s">
        <v>173</v>
      </c>
      <c r="L203" s="53" t="s">
        <v>173</v>
      </c>
      <c r="M203" s="53" t="s">
        <v>173</v>
      </c>
      <c r="N203" s="53" t="s">
        <v>173</v>
      </c>
      <c r="O203" s="91" t="s">
        <v>173</v>
      </c>
    </row>
    <row r="204" spans="1:15" x14ac:dyDescent="0.25">
      <c r="A204" s="82"/>
      <c r="B204" s="48" t="s">
        <v>79</v>
      </c>
      <c r="C204" s="54" t="s">
        <v>173</v>
      </c>
      <c r="D204" s="54" t="s">
        <v>173</v>
      </c>
      <c r="E204" s="54" t="s">
        <v>173</v>
      </c>
      <c r="F204" s="54" t="s">
        <v>173</v>
      </c>
      <c r="G204" s="54" t="s">
        <v>173</v>
      </c>
      <c r="H204" s="54" t="s">
        <v>173</v>
      </c>
      <c r="I204" s="54" t="s">
        <v>173</v>
      </c>
      <c r="J204" s="54" t="s">
        <v>173</v>
      </c>
      <c r="K204" s="54" t="s">
        <v>173</v>
      </c>
      <c r="L204" s="54" t="s">
        <v>173</v>
      </c>
      <c r="M204" s="54" t="s">
        <v>173</v>
      </c>
      <c r="N204" s="54" t="s">
        <v>173</v>
      </c>
      <c r="O204" s="91" t="s">
        <v>173</v>
      </c>
    </row>
    <row r="205" spans="1:15" x14ac:dyDescent="0.25">
      <c r="A205" s="83"/>
      <c r="B205" s="49" t="s">
        <v>195</v>
      </c>
      <c r="C205" s="50">
        <f>C173*(1+$K$62)</f>
        <v>685447.47627526987</v>
      </c>
      <c r="D205" s="50">
        <v>0</v>
      </c>
      <c r="E205" s="50">
        <v>0</v>
      </c>
      <c r="F205" s="50">
        <v>0</v>
      </c>
      <c r="G205" s="50">
        <v>0</v>
      </c>
      <c r="H205" s="50">
        <v>0</v>
      </c>
      <c r="I205" s="50">
        <v>0</v>
      </c>
      <c r="J205" s="50">
        <v>0</v>
      </c>
      <c r="K205" s="50">
        <v>0</v>
      </c>
      <c r="L205" s="50">
        <v>0</v>
      </c>
      <c r="M205" s="50">
        <v>0</v>
      </c>
      <c r="N205" s="50">
        <v>0</v>
      </c>
      <c r="O205" s="90">
        <f t="shared" ref="O205:O208" si="226">SUM(C205:N205)</f>
        <v>685447.47627526987</v>
      </c>
    </row>
    <row r="206" spans="1:15" x14ac:dyDescent="0.25">
      <c r="A206" s="82"/>
      <c r="B206" s="51" t="s">
        <v>178</v>
      </c>
      <c r="C206" s="50">
        <f>C174*(1+$K$62)</f>
        <v>5192783.9111762885</v>
      </c>
      <c r="D206" s="50">
        <f t="shared" ref="D206:N206" si="227">D174*(1+$K$62)</f>
        <v>5192783.9111762885</v>
      </c>
      <c r="E206" s="50">
        <f t="shared" si="227"/>
        <v>5192783.9111762885</v>
      </c>
      <c r="F206" s="50">
        <f t="shared" si="227"/>
        <v>5192783.9111762885</v>
      </c>
      <c r="G206" s="50">
        <f t="shared" si="227"/>
        <v>5192783.9111762885</v>
      </c>
      <c r="H206" s="50">
        <f t="shared" si="227"/>
        <v>5192783.9111762885</v>
      </c>
      <c r="I206" s="50">
        <f t="shared" si="227"/>
        <v>5192783.9111762885</v>
      </c>
      <c r="J206" s="50">
        <f t="shared" si="227"/>
        <v>5192783.9111762885</v>
      </c>
      <c r="K206" s="50">
        <f t="shared" si="227"/>
        <v>5192783.9111762885</v>
      </c>
      <c r="L206" s="50">
        <f t="shared" si="227"/>
        <v>5192783.9111762885</v>
      </c>
      <c r="M206" s="50">
        <f t="shared" si="227"/>
        <v>5192783.9111762885</v>
      </c>
      <c r="N206" s="50">
        <f t="shared" si="227"/>
        <v>5192783.9111762885</v>
      </c>
      <c r="O206" s="90">
        <f t="shared" si="226"/>
        <v>62313406.934115447</v>
      </c>
    </row>
    <row r="207" spans="1:15" x14ac:dyDescent="0.25">
      <c r="A207" s="84"/>
      <c r="B207" s="51" t="s">
        <v>248</v>
      </c>
      <c r="C207" s="50">
        <f>C175*(1+$K$62)</f>
        <v>623134.06934115454</v>
      </c>
      <c r="D207" s="50">
        <f t="shared" ref="D207:N207" si="228">D175*(1+$K$62)</f>
        <v>623134.06934115454</v>
      </c>
      <c r="E207" s="50">
        <f t="shared" si="228"/>
        <v>623134.06934115454</v>
      </c>
      <c r="F207" s="50">
        <f t="shared" si="228"/>
        <v>623134.06934115454</v>
      </c>
      <c r="G207" s="50">
        <f t="shared" si="228"/>
        <v>623134.06934115454</v>
      </c>
      <c r="H207" s="50">
        <f t="shared" si="228"/>
        <v>623134.06934115454</v>
      </c>
      <c r="I207" s="50">
        <f t="shared" si="228"/>
        <v>623134.06934115454</v>
      </c>
      <c r="J207" s="50">
        <f t="shared" si="228"/>
        <v>623134.06934115454</v>
      </c>
      <c r="K207" s="50">
        <f t="shared" si="228"/>
        <v>623134.06934115454</v>
      </c>
      <c r="L207" s="50">
        <f t="shared" si="228"/>
        <v>623134.06934115454</v>
      </c>
      <c r="M207" s="50">
        <f t="shared" si="228"/>
        <v>623134.06934115454</v>
      </c>
      <c r="N207" s="50">
        <f t="shared" si="228"/>
        <v>623134.06934115454</v>
      </c>
      <c r="O207" s="90">
        <f t="shared" si="226"/>
        <v>7477608.8320938563</v>
      </c>
    </row>
    <row r="208" spans="1:15" x14ac:dyDescent="0.25">
      <c r="A208" s="82"/>
      <c r="B208" s="46" t="s">
        <v>207</v>
      </c>
      <c r="C208" s="47">
        <f t="shared" ref="C208" si="229">SUM(C205:C207)</f>
        <v>6501365.4567927131</v>
      </c>
      <c r="D208" s="47">
        <f t="shared" ref="D208" si="230">SUM(D205:D207)</f>
        <v>5815917.9805174433</v>
      </c>
      <c r="E208" s="47">
        <f t="shared" ref="E208" si="231">SUM(E205:E207)</f>
        <v>5815917.9805174433</v>
      </c>
      <c r="F208" s="47">
        <f t="shared" ref="F208" si="232">SUM(F205:F207)</f>
        <v>5815917.9805174433</v>
      </c>
      <c r="G208" s="47">
        <f t="shared" ref="G208" si="233">SUM(G205:G207)</f>
        <v>5815917.9805174433</v>
      </c>
      <c r="H208" s="47">
        <f t="shared" ref="H208" si="234">SUM(H205:H207)</f>
        <v>5815917.9805174433</v>
      </c>
      <c r="I208" s="47">
        <f t="shared" ref="I208" si="235">SUM(I205:I207)</f>
        <v>5815917.9805174433</v>
      </c>
      <c r="J208" s="47">
        <f t="shared" ref="J208" si="236">SUM(J205:J207)</f>
        <v>5815917.9805174433</v>
      </c>
      <c r="K208" s="47">
        <f t="shared" ref="K208" si="237">SUM(K205:K207)</f>
        <v>5815917.9805174433</v>
      </c>
      <c r="L208" s="47">
        <f t="shared" ref="L208" si="238">SUM(L205:L207)</f>
        <v>5815917.9805174433</v>
      </c>
      <c r="M208" s="47">
        <f t="shared" ref="M208" si="239">SUM(M205:M207)</f>
        <v>5815917.9805174433</v>
      </c>
      <c r="N208" s="47">
        <f t="shared" ref="N208" si="240">SUM(N205:N207)</f>
        <v>5815917.9805174433</v>
      </c>
      <c r="O208" s="47">
        <f t="shared" si="226"/>
        <v>70476463.242484614</v>
      </c>
    </row>
    <row r="209" spans="1:25" x14ac:dyDescent="0.25">
      <c r="A209" s="82"/>
      <c r="B209" s="55" t="s">
        <v>83</v>
      </c>
      <c r="C209" s="59" t="s">
        <v>173</v>
      </c>
      <c r="D209" s="59" t="s">
        <v>173</v>
      </c>
      <c r="E209" s="59" t="s">
        <v>173</v>
      </c>
      <c r="F209" s="59" t="s">
        <v>173</v>
      </c>
      <c r="G209" s="59" t="s">
        <v>173</v>
      </c>
      <c r="H209" s="59" t="s">
        <v>173</v>
      </c>
      <c r="I209" s="59" t="s">
        <v>173</v>
      </c>
      <c r="J209" s="59" t="s">
        <v>173</v>
      </c>
      <c r="K209" s="59" t="s">
        <v>173</v>
      </c>
      <c r="L209" s="59" t="s">
        <v>173</v>
      </c>
      <c r="M209" s="59" t="s">
        <v>173</v>
      </c>
      <c r="N209" s="59" t="s">
        <v>173</v>
      </c>
      <c r="O209" s="91" t="s">
        <v>173</v>
      </c>
    </row>
    <row r="210" spans="1:25" x14ac:dyDescent="0.25">
      <c r="A210" s="82"/>
      <c r="B210" s="57" t="s">
        <v>210</v>
      </c>
      <c r="C210" s="89">
        <f t="shared" ref="C210:N210" si="241">C178*(1+$K$95)</f>
        <v>3437622.9491987037</v>
      </c>
      <c r="D210" s="89">
        <f t="shared" si="241"/>
        <v>4143841.5611186787</v>
      </c>
      <c r="E210" s="89">
        <f t="shared" si="241"/>
        <v>3821888.9586257455</v>
      </c>
      <c r="F210" s="89">
        <f t="shared" si="241"/>
        <v>3572635.3308892874</v>
      </c>
      <c r="G210" s="89">
        <f t="shared" si="241"/>
        <v>3281839.4318634137</v>
      </c>
      <c r="H210" s="89">
        <f t="shared" si="241"/>
        <v>4112684.8576516206</v>
      </c>
      <c r="I210" s="89">
        <f t="shared" si="241"/>
        <v>4798132.3339268891</v>
      </c>
      <c r="J210" s="89">
        <f t="shared" si="241"/>
        <v>4600806.5453021908</v>
      </c>
      <c r="K210" s="89">
        <f t="shared" si="241"/>
        <v>3551864.1952445805</v>
      </c>
      <c r="L210" s="89">
        <f t="shared" si="241"/>
        <v>3645334.305645755</v>
      </c>
      <c r="M210" s="89">
        <f t="shared" si="241"/>
        <v>3468779.6526657604</v>
      </c>
      <c r="N210" s="89">
        <f t="shared" si="241"/>
        <v>3749189.9838692783</v>
      </c>
      <c r="O210" s="92">
        <f t="shared" ref="O210:O218" si="242">SUM(C210:N210)</f>
        <v>46184620.106001906</v>
      </c>
    </row>
    <row r="211" spans="1:25" x14ac:dyDescent="0.25">
      <c r="A211" s="82"/>
      <c r="B211" s="57" t="s">
        <v>203</v>
      </c>
      <c r="C211" s="89">
        <f t="shared" ref="C211:N211" si="243">C179*(1+$K$95)</f>
        <v>12410753.547711326</v>
      </c>
      <c r="D211" s="89">
        <f t="shared" si="243"/>
        <v>13366225.787367769</v>
      </c>
      <c r="E211" s="89">
        <f t="shared" si="243"/>
        <v>14986374.367654771</v>
      </c>
      <c r="F211" s="89">
        <f t="shared" si="243"/>
        <v>11361811.197653724</v>
      </c>
      <c r="G211" s="89">
        <f t="shared" si="243"/>
        <v>15121386.749345355</v>
      </c>
      <c r="H211" s="89">
        <f t="shared" si="243"/>
        <v>14248999.052267732</v>
      </c>
      <c r="I211" s="89">
        <f t="shared" si="243"/>
        <v>13075429.8883419</v>
      </c>
      <c r="J211" s="89">
        <f t="shared" si="243"/>
        <v>15547195.030061806</v>
      </c>
      <c r="K211" s="89">
        <f t="shared" si="243"/>
        <v>15194085.724101815</v>
      </c>
      <c r="L211" s="89">
        <f t="shared" si="243"/>
        <v>15194085.724101815</v>
      </c>
      <c r="M211" s="89">
        <f t="shared" si="243"/>
        <v>11808390.614014886</v>
      </c>
      <c r="N211" s="89">
        <f t="shared" si="243"/>
        <v>14560566.086938316</v>
      </c>
      <c r="O211" s="92">
        <f t="shared" si="242"/>
        <v>166875303.76956123</v>
      </c>
    </row>
    <row r="212" spans="1:25" x14ac:dyDescent="0.25">
      <c r="A212" s="82"/>
      <c r="B212" s="58" t="s">
        <v>84</v>
      </c>
      <c r="C212" s="89">
        <f t="shared" ref="C212:N212" si="244">C180*(1+$K$95)</f>
        <v>10977545.18822667</v>
      </c>
      <c r="D212" s="89">
        <f t="shared" si="244"/>
        <v>11984945.266994869</v>
      </c>
      <c r="E212" s="89">
        <f t="shared" si="244"/>
        <v>12026487.538284279</v>
      </c>
      <c r="F212" s="89">
        <f t="shared" si="244"/>
        <v>12421139.115533682</v>
      </c>
      <c r="G212" s="89">
        <f t="shared" si="244"/>
        <v>14695578.468628896</v>
      </c>
      <c r="H212" s="89">
        <f t="shared" si="244"/>
        <v>12711935.01455955</v>
      </c>
      <c r="I212" s="89">
        <f t="shared" si="244"/>
        <v>13200056.70221013</v>
      </c>
      <c r="J212" s="89">
        <f t="shared" si="244"/>
        <v>15194085.724101815</v>
      </c>
      <c r="K212" s="89">
        <f t="shared" si="244"/>
        <v>13906275.314130103</v>
      </c>
      <c r="L212" s="89">
        <f t="shared" si="244"/>
        <v>13885504.178485395</v>
      </c>
      <c r="M212" s="89">
        <f t="shared" si="244"/>
        <v>14861747.553786533</v>
      </c>
      <c r="N212" s="89">
        <f t="shared" si="244"/>
        <v>11933017.427883109</v>
      </c>
      <c r="O212" s="92">
        <f t="shared" si="242"/>
        <v>157798317.49282503</v>
      </c>
    </row>
    <row r="213" spans="1:25" x14ac:dyDescent="0.25">
      <c r="A213" s="82"/>
      <c r="B213" s="57" t="s">
        <v>85</v>
      </c>
      <c r="C213" s="89">
        <f t="shared" ref="C213:N213" si="245">C181*(1+$K$95)</f>
        <v>12753477.285848966</v>
      </c>
      <c r="D213" s="89">
        <f t="shared" si="245"/>
        <v>10915231.781292565</v>
      </c>
      <c r="E213" s="89">
        <f t="shared" si="245"/>
        <v>11299497.790719602</v>
      </c>
      <c r="F213" s="89">
        <f t="shared" si="245"/>
        <v>11476052.443699593</v>
      </c>
      <c r="G213" s="89">
        <f t="shared" si="245"/>
        <v>15432953.784015926</v>
      </c>
      <c r="H213" s="89">
        <f t="shared" si="245"/>
        <v>11330654.494186664</v>
      </c>
      <c r="I213" s="89">
        <f t="shared" si="245"/>
        <v>13148128.863098361</v>
      </c>
      <c r="J213" s="89">
        <f t="shared" si="245"/>
        <v>10406338.957997283</v>
      </c>
      <c r="K213" s="89">
        <f t="shared" si="245"/>
        <v>13532394.872525411</v>
      </c>
      <c r="L213" s="89">
        <f t="shared" si="245"/>
        <v>10749062.696134917</v>
      </c>
      <c r="M213" s="89">
        <f t="shared" si="245"/>
        <v>13688178.389860695</v>
      </c>
      <c r="N213" s="89">
        <f t="shared" si="245"/>
        <v>13033887.617052481</v>
      </c>
      <c r="O213" s="92">
        <f t="shared" si="242"/>
        <v>147765858.97643244</v>
      </c>
    </row>
    <row r="214" spans="1:25" x14ac:dyDescent="0.25">
      <c r="A214" s="84"/>
      <c r="B214" s="58" t="s">
        <v>249</v>
      </c>
      <c r="C214" s="89">
        <v>10000000</v>
      </c>
      <c r="D214" s="89">
        <v>10000000</v>
      </c>
      <c r="E214" s="89">
        <v>10000000</v>
      </c>
      <c r="F214" s="89">
        <v>10000000</v>
      </c>
      <c r="G214" s="89">
        <v>10000000</v>
      </c>
      <c r="H214" s="89">
        <v>10000000</v>
      </c>
      <c r="I214" s="89">
        <v>10000000</v>
      </c>
      <c r="J214" s="89">
        <v>10000000</v>
      </c>
      <c r="K214" s="89">
        <v>10000000</v>
      </c>
      <c r="L214" s="89">
        <v>10000000</v>
      </c>
      <c r="M214" s="89">
        <v>10000000</v>
      </c>
      <c r="N214" s="89">
        <v>10000000</v>
      </c>
      <c r="O214" s="92">
        <f t="shared" si="242"/>
        <v>120000000</v>
      </c>
    </row>
    <row r="215" spans="1:25" x14ac:dyDescent="0.25">
      <c r="A215" s="84"/>
      <c r="B215" s="58" t="s">
        <v>180</v>
      </c>
      <c r="C215" s="89">
        <f t="shared" ref="C215:N215" si="246">C183*(1+$K$95)</f>
        <v>10621045.712836854</v>
      </c>
      <c r="D215" s="89">
        <f t="shared" si="246"/>
        <v>9090162.0881038606</v>
      </c>
      <c r="E215" s="89">
        <f t="shared" si="246"/>
        <v>9410177.3090932388</v>
      </c>
      <c r="F215" s="89">
        <f t="shared" si="246"/>
        <v>9557211.3295478188</v>
      </c>
      <c r="G215" s="89">
        <f t="shared" si="246"/>
        <v>12852503.1997358</v>
      </c>
      <c r="H215" s="89">
        <f t="shared" si="246"/>
        <v>9436124.4891734645</v>
      </c>
      <c r="I215" s="89">
        <f t="shared" si="246"/>
        <v>10949709.993852977</v>
      </c>
      <c r="J215" s="89">
        <f t="shared" si="246"/>
        <v>8666358.146793589</v>
      </c>
      <c r="K215" s="89">
        <f t="shared" si="246"/>
        <v>11269725.214842366</v>
      </c>
      <c r="L215" s="89">
        <f t="shared" si="246"/>
        <v>8951777.1276760139</v>
      </c>
      <c r="M215" s="89">
        <f t="shared" si="246"/>
        <v>11399461.115243465</v>
      </c>
      <c r="N215" s="89">
        <f t="shared" si="246"/>
        <v>10854570.333558835</v>
      </c>
      <c r="O215" s="92">
        <f t="shared" si="242"/>
        <v>123058826.06045827</v>
      </c>
    </row>
    <row r="216" spans="1:25" x14ac:dyDescent="0.25">
      <c r="A216" s="84"/>
      <c r="B216" s="58" t="s">
        <v>86</v>
      </c>
      <c r="C216" s="89">
        <f t="shared" ref="C216:N216" si="247">C184*(1+$K$95)</f>
        <v>9427883.7859593332</v>
      </c>
      <c r="D216" s="89">
        <f t="shared" si="247"/>
        <v>9427883.7859593332</v>
      </c>
      <c r="E216" s="89">
        <f t="shared" si="247"/>
        <v>9427883.7859593332</v>
      </c>
      <c r="F216" s="89">
        <f t="shared" si="247"/>
        <v>9427883.7859593332</v>
      </c>
      <c r="G216" s="89">
        <f t="shared" si="247"/>
        <v>9427883.7859593332</v>
      </c>
      <c r="H216" s="89">
        <f t="shared" si="247"/>
        <v>9427883.7859593332</v>
      </c>
      <c r="I216" s="89">
        <f t="shared" si="247"/>
        <v>9427883.7859593332</v>
      </c>
      <c r="J216" s="89">
        <f t="shared" si="247"/>
        <v>9427883.7859593332</v>
      </c>
      <c r="K216" s="89">
        <f t="shared" si="247"/>
        <v>9427883.7859593332</v>
      </c>
      <c r="L216" s="89">
        <f t="shared" si="247"/>
        <v>9427883.7859593332</v>
      </c>
      <c r="M216" s="89">
        <f t="shared" si="247"/>
        <v>9427883.7859593332</v>
      </c>
      <c r="N216" s="89">
        <f t="shared" si="247"/>
        <v>9427883.7859593332</v>
      </c>
      <c r="O216" s="92">
        <f t="shared" si="242"/>
        <v>113134605.431512</v>
      </c>
    </row>
    <row r="217" spans="1:25" x14ac:dyDescent="0.25">
      <c r="A217" s="82"/>
      <c r="B217" s="46" t="s">
        <v>208</v>
      </c>
      <c r="C217" s="47">
        <f t="shared" ref="C217:N217" si="248">SUM(C210:C216)</f>
        <v>69628328.469781846</v>
      </c>
      <c r="D217" s="47">
        <f t="shared" si="248"/>
        <v>68928290.270837069</v>
      </c>
      <c r="E217" s="47">
        <f t="shared" si="248"/>
        <v>70972309.750336975</v>
      </c>
      <c r="F217" s="47">
        <f t="shared" si="248"/>
        <v>67816733.203283429</v>
      </c>
      <c r="G217" s="47">
        <f t="shared" si="248"/>
        <v>80812145.41954872</v>
      </c>
      <c r="H217" s="47">
        <f t="shared" si="248"/>
        <v>71268281.693798363</v>
      </c>
      <c r="I217" s="47">
        <f t="shared" si="248"/>
        <v>74599341.567389593</v>
      </c>
      <c r="J217" s="47">
        <f t="shared" si="248"/>
        <v>73842668.19021602</v>
      </c>
      <c r="K217" s="47">
        <f t="shared" si="248"/>
        <v>76882229.106803611</v>
      </c>
      <c r="L217" s="47">
        <f t="shared" si="248"/>
        <v>71853647.818003237</v>
      </c>
      <c r="M217" s="47">
        <f t="shared" si="248"/>
        <v>74654441.111530676</v>
      </c>
      <c r="N217" s="47">
        <f t="shared" si="248"/>
        <v>73559115.235261351</v>
      </c>
      <c r="O217" s="47">
        <f t="shared" si="242"/>
        <v>874817531.8367908</v>
      </c>
    </row>
    <row r="218" spans="1:25" x14ac:dyDescent="0.25">
      <c r="A218" s="82"/>
      <c r="B218" s="60" t="s">
        <v>87</v>
      </c>
      <c r="C218" s="47">
        <f t="shared" ref="C218:N218" si="249">C208+C217</f>
        <v>76129693.926574558</v>
      </c>
      <c r="D218" s="47">
        <f t="shared" si="249"/>
        <v>74744208.251354516</v>
      </c>
      <c r="E218" s="47">
        <f t="shared" si="249"/>
        <v>76788227.730854422</v>
      </c>
      <c r="F218" s="47">
        <f t="shared" si="249"/>
        <v>73632651.183800876</v>
      </c>
      <c r="G218" s="47">
        <f t="shared" si="249"/>
        <v>86628063.400066167</v>
      </c>
      <c r="H218" s="47">
        <f t="shared" si="249"/>
        <v>77084199.67431581</v>
      </c>
      <c r="I218" s="47">
        <f t="shared" si="249"/>
        <v>80415259.54790704</v>
      </c>
      <c r="J218" s="47">
        <f t="shared" si="249"/>
        <v>79658586.170733467</v>
      </c>
      <c r="K218" s="47">
        <f t="shared" si="249"/>
        <v>82698147.087321058</v>
      </c>
      <c r="L218" s="47">
        <f t="shared" si="249"/>
        <v>77669565.798520684</v>
      </c>
      <c r="M218" s="47">
        <f t="shared" si="249"/>
        <v>80470359.092048123</v>
      </c>
      <c r="N218" s="47">
        <f t="shared" si="249"/>
        <v>79375033.215778798</v>
      </c>
      <c r="O218" s="47">
        <f t="shared" si="242"/>
        <v>945293995.07927549</v>
      </c>
    </row>
    <row r="219" spans="1:25" s="11" customFormat="1" x14ac:dyDescent="0.25">
      <c r="A219" s="82"/>
      <c r="B219" s="108" t="s">
        <v>204</v>
      </c>
      <c r="C219" s="109">
        <f>$O218*(3/12)/12</f>
        <v>19693624.897484906</v>
      </c>
      <c r="D219" s="109">
        <f t="shared" ref="D219" si="250">$O218*(3/12)/12</f>
        <v>19693624.897484906</v>
      </c>
      <c r="E219" s="109">
        <f t="shared" ref="E219" si="251">$O218*(3/12)/12</f>
        <v>19693624.897484906</v>
      </c>
      <c r="F219" s="109">
        <f t="shared" ref="F219" si="252">$O218*(3/12)/12</f>
        <v>19693624.897484906</v>
      </c>
      <c r="G219" s="109">
        <f t="shared" ref="G219" si="253">$O218*(3/12)/12</f>
        <v>19693624.897484906</v>
      </c>
      <c r="H219" s="109">
        <f t="shared" ref="H219" si="254">$O218*(3/12)/12</f>
        <v>19693624.897484906</v>
      </c>
      <c r="I219" s="109">
        <f t="shared" ref="I219" si="255">$O218*(3/12)/12</f>
        <v>19693624.897484906</v>
      </c>
      <c r="J219" s="109">
        <f t="shared" ref="J219" si="256">$O218*(3/12)/12</f>
        <v>19693624.897484906</v>
      </c>
      <c r="K219" s="109">
        <f t="shared" ref="K219" si="257">$O218*(3/12)/12</f>
        <v>19693624.897484906</v>
      </c>
      <c r="L219" s="109">
        <f t="shared" ref="L219" si="258">$O218*(3/12)/12</f>
        <v>19693624.897484906</v>
      </c>
      <c r="M219" s="109">
        <f t="shared" ref="M219" si="259">$O218*(3/12)/12</f>
        <v>19693624.897484906</v>
      </c>
      <c r="N219" s="109">
        <f>$O218*(3/12)/12</f>
        <v>19693624.897484906</v>
      </c>
      <c r="O219" s="109">
        <f t="shared" ref="O219:O221" si="260">SUM(C219:N219)</f>
        <v>236323498.76981881</v>
      </c>
      <c r="P219" s="43"/>
      <c r="Q219" s="43"/>
      <c r="R219" s="40"/>
      <c r="S219" s="40"/>
      <c r="T219" s="40"/>
      <c r="U219" s="40"/>
      <c r="V219" s="40"/>
      <c r="W219" s="40"/>
      <c r="X219" s="40"/>
      <c r="Y219" s="40"/>
    </row>
    <row r="220" spans="1:25" s="11" customFormat="1" x14ac:dyDescent="0.25">
      <c r="A220" s="82"/>
      <c r="B220" s="108" t="s">
        <v>386</v>
      </c>
      <c r="C220" s="109">
        <f>C188*(1+$K$192)</f>
        <v>5691474.5108826086</v>
      </c>
      <c r="D220" s="109">
        <v>0</v>
      </c>
      <c r="E220" s="109">
        <v>0</v>
      </c>
      <c r="F220" s="109">
        <v>0</v>
      </c>
      <c r="G220" s="109">
        <v>0</v>
      </c>
      <c r="H220" s="109">
        <v>0</v>
      </c>
      <c r="I220" s="109">
        <v>0</v>
      </c>
      <c r="J220" s="109">
        <v>0</v>
      </c>
      <c r="K220" s="109">
        <v>0</v>
      </c>
      <c r="L220" s="109">
        <v>0</v>
      </c>
      <c r="M220" s="109">
        <v>0</v>
      </c>
      <c r="N220" s="109">
        <v>0</v>
      </c>
      <c r="O220" s="109">
        <f t="shared" si="260"/>
        <v>5691474.5108826086</v>
      </c>
      <c r="P220" s="43"/>
      <c r="Q220" s="43"/>
      <c r="R220" s="40"/>
      <c r="S220" s="40"/>
      <c r="T220" s="40"/>
      <c r="U220" s="40"/>
      <c r="V220" s="40"/>
      <c r="W220" s="40"/>
      <c r="X220" s="40"/>
      <c r="Y220" s="40"/>
    </row>
    <row r="221" spans="1:25" s="11" customFormat="1" x14ac:dyDescent="0.25">
      <c r="A221" s="82"/>
      <c r="B221" s="60" t="s">
        <v>206</v>
      </c>
      <c r="C221" s="61">
        <f>C202-C218-C219-C220</f>
        <v>1969703.572558552</v>
      </c>
      <c r="D221" s="61">
        <f t="shared" ref="D221" si="261">D202-D218-D219-D220</f>
        <v>9046663.7586612031</v>
      </c>
      <c r="E221" s="61">
        <f t="shared" ref="E221" si="262">E202-E218-E219-E220</f>
        <v>7002644.2791612968</v>
      </c>
      <c r="F221" s="61">
        <f t="shared" ref="F221" si="263">F202-F218-F219-F220</f>
        <v>10158220.826214842</v>
      </c>
      <c r="G221" s="61">
        <f t="shared" ref="G221" si="264">G202-G218-G219-G220</f>
        <v>-2837191.3900504485</v>
      </c>
      <c r="H221" s="61">
        <f t="shared" ref="H221" si="265">H202-H218-H219-H220</f>
        <v>6706672.3356999084</v>
      </c>
      <c r="I221" s="61">
        <f t="shared" ref="I221" si="266">I202-I218-I219-I220</f>
        <v>3375612.4621086791</v>
      </c>
      <c r="J221" s="61">
        <f t="shared" ref="J221" si="267">J202-J218-J219-J220</f>
        <v>4132285.8392822519</v>
      </c>
      <c r="K221" s="61">
        <f t="shared" ref="K221" si="268">K202-K218-K219-K220</f>
        <v>1092724.9226946607</v>
      </c>
      <c r="L221" s="61">
        <f t="shared" ref="L221" si="269">L202-L218-L219-L220</f>
        <v>6121306.2114950344</v>
      </c>
      <c r="M221" s="61">
        <f t="shared" ref="M221" si="270">M202-M218-M219-M220</f>
        <v>3320512.9179675952</v>
      </c>
      <c r="N221" s="61">
        <f t="shared" ref="N221" si="271">N202-N218-N219-N220</f>
        <v>4415838.7942369208</v>
      </c>
      <c r="O221" s="47">
        <f t="shared" si="260"/>
        <v>54504994.530030496</v>
      </c>
      <c r="P221" s="43"/>
      <c r="Q221" s="43"/>
      <c r="R221" s="40"/>
      <c r="S221" s="40"/>
      <c r="T221" s="40"/>
      <c r="U221" s="40"/>
      <c r="V221" s="40"/>
      <c r="W221" s="40"/>
      <c r="X221" s="40"/>
      <c r="Y221" s="40"/>
    </row>
    <row r="222" spans="1:25" x14ac:dyDescent="0.25">
      <c r="A222" s="85"/>
      <c r="B222" s="40"/>
      <c r="C222" s="40"/>
      <c r="D222" s="40"/>
      <c r="E222" s="40"/>
      <c r="F222" s="40"/>
      <c r="G222" s="40"/>
      <c r="H222" s="40"/>
      <c r="I222" s="40"/>
      <c r="J222" s="40"/>
      <c r="K222" s="40"/>
      <c r="L222" s="353" t="s">
        <v>217</v>
      </c>
      <c r="M222" s="354"/>
      <c r="N222" s="350">
        <f>SUM(C221:N221)+N190</f>
        <v>20891054042.384033</v>
      </c>
      <c r="O222" s="40"/>
    </row>
    <row r="223" spans="1:25" x14ac:dyDescent="0.25">
      <c r="A223" s="85"/>
      <c r="B223" s="40"/>
      <c r="C223" s="40"/>
      <c r="D223" s="40"/>
      <c r="E223" s="40"/>
      <c r="F223" s="40"/>
      <c r="G223" s="40"/>
      <c r="H223" s="40"/>
      <c r="I223" s="40"/>
      <c r="J223" s="40"/>
      <c r="K223" s="40"/>
      <c r="L223" s="320"/>
      <c r="M223" s="355"/>
      <c r="N223" s="351"/>
      <c r="O223" s="40"/>
    </row>
    <row r="224" spans="1:25" x14ac:dyDescent="0.25">
      <c r="A224" s="85"/>
      <c r="B224" s="319" t="s">
        <v>632</v>
      </c>
      <c r="C224" s="352" t="s">
        <v>173</v>
      </c>
      <c r="D224" s="352"/>
      <c r="E224" s="352"/>
      <c r="F224" s="352"/>
      <c r="G224" s="352"/>
      <c r="H224" s="352"/>
      <c r="I224" s="40"/>
      <c r="J224" s="358" t="s">
        <v>231</v>
      </c>
      <c r="K224" s="359">
        <v>0.04</v>
      </c>
      <c r="L224" s="40"/>
      <c r="M224" s="40"/>
      <c r="N224" s="40"/>
      <c r="O224" s="361"/>
    </row>
    <row r="225" spans="1:15" x14ac:dyDescent="0.25">
      <c r="A225" s="85"/>
      <c r="B225" s="319"/>
      <c r="C225" s="352"/>
      <c r="D225" s="352"/>
      <c r="E225" s="352"/>
      <c r="F225" s="352"/>
      <c r="G225" s="352"/>
      <c r="H225" s="352"/>
      <c r="I225" s="40"/>
      <c r="J225" s="358"/>
      <c r="K225" s="360"/>
      <c r="L225" s="40"/>
      <c r="M225" s="40"/>
      <c r="N225" s="40"/>
      <c r="O225" s="362"/>
    </row>
    <row r="226" spans="1:15" x14ac:dyDescent="0.25">
      <c r="A226" s="85"/>
      <c r="B226" s="319"/>
      <c r="C226" s="352"/>
      <c r="D226" s="352"/>
      <c r="E226" s="352"/>
      <c r="F226" s="352"/>
      <c r="G226" s="352"/>
      <c r="H226" s="352"/>
      <c r="I226" s="40"/>
      <c r="J226" s="40"/>
      <c r="K226" s="40"/>
      <c r="L226" s="40"/>
      <c r="M226" s="40"/>
      <c r="N226" s="40"/>
      <c r="O226" s="40"/>
    </row>
    <row r="229" spans="1:15" ht="24.6" x14ac:dyDescent="0.25">
      <c r="A229" s="96"/>
      <c r="B229" s="348" t="s">
        <v>285</v>
      </c>
      <c r="C229" s="348"/>
      <c r="D229" s="348"/>
      <c r="E229" s="348"/>
      <c r="F229" s="348"/>
      <c r="G229" s="348"/>
      <c r="H229" s="348"/>
      <c r="I229" s="348"/>
      <c r="J229" s="348"/>
      <c r="K229" s="348"/>
      <c r="L229" s="348"/>
      <c r="M229" s="348"/>
      <c r="N229" s="348"/>
      <c r="O229" s="348"/>
    </row>
    <row r="230" spans="1:15" ht="24.6" x14ac:dyDescent="0.25">
      <c r="A230" s="96"/>
      <c r="B230" s="349"/>
      <c r="C230" s="349"/>
      <c r="D230" s="349"/>
      <c r="E230" s="349"/>
      <c r="F230" s="349"/>
      <c r="G230" s="349"/>
      <c r="H230" s="349"/>
      <c r="I230" s="349"/>
      <c r="J230" s="349"/>
      <c r="K230" s="349"/>
      <c r="L230" s="349"/>
      <c r="M230" s="349"/>
      <c r="N230" s="349"/>
      <c r="O230" s="349"/>
    </row>
    <row r="231" spans="1:15" x14ac:dyDescent="0.25">
      <c r="A231" s="82"/>
      <c r="B231" s="41"/>
      <c r="C231" s="42" t="s">
        <v>66</v>
      </c>
      <c r="D231" s="42" t="s">
        <v>67</v>
      </c>
      <c r="E231" s="42" t="s">
        <v>68</v>
      </c>
      <c r="F231" s="42" t="s">
        <v>69</v>
      </c>
      <c r="G231" s="42" t="s">
        <v>70</v>
      </c>
      <c r="H231" s="42" t="s">
        <v>71</v>
      </c>
      <c r="I231" s="42" t="s">
        <v>72</v>
      </c>
      <c r="J231" s="42" t="s">
        <v>73</v>
      </c>
      <c r="K231" s="42" t="s">
        <v>74</v>
      </c>
      <c r="L231" s="42" t="s">
        <v>75</v>
      </c>
      <c r="M231" s="42" t="s">
        <v>76</v>
      </c>
      <c r="N231" s="42" t="s">
        <v>77</v>
      </c>
      <c r="O231" s="42" t="s">
        <v>236</v>
      </c>
    </row>
    <row r="232" spans="1:15" x14ac:dyDescent="0.25">
      <c r="A232" s="82"/>
      <c r="B232" s="44" t="s">
        <v>381</v>
      </c>
      <c r="C232" s="45">
        <f>'11.My pension value'!$D$5/12</f>
        <v>35611893.330636717</v>
      </c>
      <c r="D232" s="45">
        <f>'11.My pension value'!$D$5/12</f>
        <v>35611893.330636717</v>
      </c>
      <c r="E232" s="45">
        <f>'11.My pension value'!$D$5/12</f>
        <v>35611893.330636717</v>
      </c>
      <c r="F232" s="45">
        <f>'11.My pension value'!$D$5/12</f>
        <v>35611893.330636717</v>
      </c>
      <c r="G232" s="45">
        <f>'11.My pension value'!$D$5/12</f>
        <v>35611893.330636717</v>
      </c>
      <c r="H232" s="45">
        <f>'11.My pension value'!$D$5/12</f>
        <v>35611893.330636717</v>
      </c>
      <c r="I232" s="45">
        <f>'11.My pension value'!$D$5/12</f>
        <v>35611893.330636717</v>
      </c>
      <c r="J232" s="45">
        <f>'11.My pension value'!$D$5/12</f>
        <v>35611893.330636717</v>
      </c>
      <c r="K232" s="45">
        <f>'11.My pension value'!$D$5/12</f>
        <v>35611893.330636717</v>
      </c>
      <c r="L232" s="45">
        <f>'11.My pension value'!$D$5/12</f>
        <v>35611893.330636717</v>
      </c>
      <c r="M232" s="45">
        <f>'11.My pension value'!$D$5/12</f>
        <v>35611893.330636717</v>
      </c>
      <c r="N232" s="45">
        <f>'11.My pension value'!$D$5/12</f>
        <v>35611893.330636717</v>
      </c>
      <c r="O232" s="45" t="s">
        <v>173</v>
      </c>
    </row>
    <row r="233" spans="1:15" x14ac:dyDescent="0.25">
      <c r="A233" s="82"/>
      <c r="B233" s="44" t="s">
        <v>246</v>
      </c>
      <c r="C233" s="45">
        <f>'3.2. My wife''s Tax Calc'!$P$45/12</f>
        <v>68183487.948741421</v>
      </c>
      <c r="D233" s="45">
        <f>'3.2. My wife''s Tax Calc'!$P$45/12</f>
        <v>68183487.948741421</v>
      </c>
      <c r="E233" s="45">
        <f>'3.2. My wife''s Tax Calc'!$P$45/12</f>
        <v>68183487.948741421</v>
      </c>
      <c r="F233" s="45">
        <f>'3.2. My wife''s Tax Calc'!$P$45/12</f>
        <v>68183487.948741421</v>
      </c>
      <c r="G233" s="45">
        <f>'3.2. My wife''s Tax Calc'!$P$45/12</f>
        <v>68183487.948741421</v>
      </c>
      <c r="H233" s="45">
        <f>'3.2. My wife''s Tax Calc'!$P$45/12</f>
        <v>68183487.948741421</v>
      </c>
      <c r="I233" s="45">
        <f>'3.2. My wife''s Tax Calc'!$P$45/12</f>
        <v>68183487.948741421</v>
      </c>
      <c r="J233" s="45">
        <f>'3.2. My wife''s Tax Calc'!$P$45/12</f>
        <v>68183487.948741421</v>
      </c>
      <c r="K233" s="45">
        <f>'3.2. My wife''s Tax Calc'!$P$45/12</f>
        <v>68183487.948741421</v>
      </c>
      <c r="L233" s="45">
        <f>'3.2. My wife''s Tax Calc'!$P$45/12</f>
        <v>68183487.948741421</v>
      </c>
      <c r="M233" s="45">
        <f>'3.2. My wife''s Tax Calc'!$P$45/12</f>
        <v>68183487.948741421</v>
      </c>
      <c r="N233" s="45">
        <f>'3.2. My wife''s Tax Calc'!$P$45/12</f>
        <v>68183487.948741421</v>
      </c>
      <c r="O233" s="45" t="s">
        <v>173</v>
      </c>
    </row>
    <row r="234" spans="1:15" x14ac:dyDescent="0.25">
      <c r="A234" s="82"/>
      <c r="B234" s="46" t="s">
        <v>209</v>
      </c>
      <c r="C234" s="47">
        <f>SUM(C232:C233)</f>
        <v>103795381.27937815</v>
      </c>
      <c r="D234" s="47">
        <f t="shared" ref="D234:J234" si="272">SUM(D232:D233)</f>
        <v>103795381.27937815</v>
      </c>
      <c r="E234" s="47">
        <f t="shared" si="272"/>
        <v>103795381.27937815</v>
      </c>
      <c r="F234" s="47">
        <f t="shared" si="272"/>
        <v>103795381.27937815</v>
      </c>
      <c r="G234" s="47">
        <f t="shared" si="272"/>
        <v>103795381.27937815</v>
      </c>
      <c r="H234" s="47">
        <f t="shared" si="272"/>
        <v>103795381.27937815</v>
      </c>
      <c r="I234" s="47">
        <f t="shared" si="272"/>
        <v>103795381.27937815</v>
      </c>
      <c r="J234" s="47">
        <f t="shared" si="272"/>
        <v>103795381.27937815</v>
      </c>
      <c r="K234" s="47">
        <f>SUM(K232:K233)</f>
        <v>103795381.27937815</v>
      </c>
      <c r="L234" s="47">
        <f t="shared" ref="L234:N234" si="273">SUM(L232:L233)</f>
        <v>103795381.27937815</v>
      </c>
      <c r="M234" s="47">
        <f t="shared" si="273"/>
        <v>103795381.27937815</v>
      </c>
      <c r="N234" s="47">
        <f t="shared" si="273"/>
        <v>103795381.27937815</v>
      </c>
      <c r="O234" s="47">
        <f>SUM(C234:N234)</f>
        <v>1245544575.3525379</v>
      </c>
    </row>
    <row r="235" spans="1:15" x14ac:dyDescent="0.25">
      <c r="A235" s="82"/>
      <c r="B235" s="52" t="s">
        <v>78</v>
      </c>
      <c r="C235" s="53" t="s">
        <v>173</v>
      </c>
      <c r="D235" s="53" t="s">
        <v>173</v>
      </c>
      <c r="E235" s="53" t="s">
        <v>173</v>
      </c>
      <c r="F235" s="53" t="s">
        <v>173</v>
      </c>
      <c r="G235" s="53" t="s">
        <v>173</v>
      </c>
      <c r="H235" s="53" t="s">
        <v>173</v>
      </c>
      <c r="I235" s="53" t="s">
        <v>173</v>
      </c>
      <c r="J235" s="53" t="s">
        <v>173</v>
      </c>
      <c r="K235" s="53" t="s">
        <v>173</v>
      </c>
      <c r="L235" s="53" t="s">
        <v>173</v>
      </c>
      <c r="M235" s="53" t="s">
        <v>173</v>
      </c>
      <c r="N235" s="53" t="s">
        <v>173</v>
      </c>
      <c r="O235" s="91" t="s">
        <v>173</v>
      </c>
    </row>
    <row r="236" spans="1:15" x14ac:dyDescent="0.25">
      <c r="A236" s="82"/>
      <c r="B236" s="48" t="s">
        <v>79</v>
      </c>
      <c r="C236" s="54" t="s">
        <v>173</v>
      </c>
      <c r="D236" s="54" t="s">
        <v>173</v>
      </c>
      <c r="E236" s="54" t="s">
        <v>173</v>
      </c>
      <c r="F236" s="54" t="s">
        <v>173</v>
      </c>
      <c r="G236" s="54" t="s">
        <v>173</v>
      </c>
      <c r="H236" s="54" t="s">
        <v>173</v>
      </c>
      <c r="I236" s="54" t="s">
        <v>173</v>
      </c>
      <c r="J236" s="54" t="s">
        <v>173</v>
      </c>
      <c r="K236" s="54" t="s">
        <v>173</v>
      </c>
      <c r="L236" s="54" t="s">
        <v>173</v>
      </c>
      <c r="M236" s="54" t="s">
        <v>173</v>
      </c>
      <c r="N236" s="54" t="s">
        <v>173</v>
      </c>
      <c r="O236" s="91" t="s">
        <v>173</v>
      </c>
    </row>
    <row r="237" spans="1:15" x14ac:dyDescent="0.25">
      <c r="A237" s="83"/>
      <c r="B237" s="49" t="s">
        <v>195</v>
      </c>
      <c r="C237" s="50">
        <f>C205*(1+$K$62)</f>
        <v>712865.37532628071</v>
      </c>
      <c r="D237" s="50">
        <v>0</v>
      </c>
      <c r="E237" s="50">
        <v>0</v>
      </c>
      <c r="F237" s="50">
        <v>0</v>
      </c>
      <c r="G237" s="50">
        <v>0</v>
      </c>
      <c r="H237" s="50">
        <v>0</v>
      </c>
      <c r="I237" s="50">
        <v>0</v>
      </c>
      <c r="J237" s="50">
        <v>0</v>
      </c>
      <c r="K237" s="50">
        <v>0</v>
      </c>
      <c r="L237" s="50">
        <v>0</v>
      </c>
      <c r="M237" s="50">
        <v>0</v>
      </c>
      <c r="N237" s="50">
        <v>0</v>
      </c>
      <c r="O237" s="90">
        <f t="shared" ref="O237:O240" si="274">SUM(C237:N237)</f>
        <v>712865.37532628071</v>
      </c>
    </row>
    <row r="238" spans="1:15" x14ac:dyDescent="0.25">
      <c r="A238" s="82"/>
      <c r="B238" s="51" t="s">
        <v>178</v>
      </c>
      <c r="C238" s="50">
        <f>C206*(1+$K$62)</f>
        <v>5400495.2676233398</v>
      </c>
      <c r="D238" s="50">
        <f t="shared" ref="D238:N238" si="275">D206*(1+$K$62)</f>
        <v>5400495.2676233398</v>
      </c>
      <c r="E238" s="50">
        <f t="shared" si="275"/>
        <v>5400495.2676233398</v>
      </c>
      <c r="F238" s="50">
        <f t="shared" si="275"/>
        <v>5400495.2676233398</v>
      </c>
      <c r="G238" s="50">
        <f t="shared" si="275"/>
        <v>5400495.2676233398</v>
      </c>
      <c r="H238" s="50">
        <f t="shared" si="275"/>
        <v>5400495.2676233398</v>
      </c>
      <c r="I238" s="50">
        <f t="shared" si="275"/>
        <v>5400495.2676233398</v>
      </c>
      <c r="J238" s="50">
        <f t="shared" si="275"/>
        <v>5400495.2676233398</v>
      </c>
      <c r="K238" s="50">
        <f t="shared" si="275"/>
        <v>5400495.2676233398</v>
      </c>
      <c r="L238" s="50">
        <f t="shared" si="275"/>
        <v>5400495.2676233398</v>
      </c>
      <c r="M238" s="50">
        <f t="shared" si="275"/>
        <v>5400495.2676233398</v>
      </c>
      <c r="N238" s="50">
        <f t="shared" si="275"/>
        <v>5400495.2676233398</v>
      </c>
      <c r="O238" s="90">
        <f t="shared" si="274"/>
        <v>64805943.211480089</v>
      </c>
    </row>
    <row r="239" spans="1:15" x14ac:dyDescent="0.25">
      <c r="A239" s="84"/>
      <c r="B239" s="51" t="s">
        <v>248</v>
      </c>
      <c r="C239" s="50">
        <f>C207*(1+$K$62)</f>
        <v>648059.43211480079</v>
      </c>
      <c r="D239" s="50">
        <f t="shared" ref="D239:N239" si="276">D207*(1+$K$62)</f>
        <v>648059.43211480079</v>
      </c>
      <c r="E239" s="50">
        <f t="shared" si="276"/>
        <v>648059.43211480079</v>
      </c>
      <c r="F239" s="50">
        <f t="shared" si="276"/>
        <v>648059.43211480079</v>
      </c>
      <c r="G239" s="50">
        <f t="shared" si="276"/>
        <v>648059.43211480079</v>
      </c>
      <c r="H239" s="50">
        <f t="shared" si="276"/>
        <v>648059.43211480079</v>
      </c>
      <c r="I239" s="50">
        <f t="shared" si="276"/>
        <v>648059.43211480079</v>
      </c>
      <c r="J239" s="50">
        <f t="shared" si="276"/>
        <v>648059.43211480079</v>
      </c>
      <c r="K239" s="50">
        <f t="shared" si="276"/>
        <v>648059.43211480079</v>
      </c>
      <c r="L239" s="50">
        <f t="shared" si="276"/>
        <v>648059.43211480079</v>
      </c>
      <c r="M239" s="50">
        <f t="shared" si="276"/>
        <v>648059.43211480079</v>
      </c>
      <c r="N239" s="50">
        <f t="shared" si="276"/>
        <v>648059.43211480079</v>
      </c>
      <c r="O239" s="90">
        <f t="shared" si="274"/>
        <v>7776713.1853776081</v>
      </c>
    </row>
    <row r="240" spans="1:15" x14ac:dyDescent="0.25">
      <c r="A240" s="82"/>
      <c r="B240" s="46" t="s">
        <v>207</v>
      </c>
      <c r="C240" s="47">
        <f t="shared" ref="C240" si="277">SUM(C237:C239)</f>
        <v>6761420.0750644207</v>
      </c>
      <c r="D240" s="47">
        <f t="shared" ref="D240" si="278">SUM(D237:D239)</f>
        <v>6048554.6997381402</v>
      </c>
      <c r="E240" s="47">
        <f t="shared" ref="E240" si="279">SUM(E237:E239)</f>
        <v>6048554.6997381402</v>
      </c>
      <c r="F240" s="47">
        <f t="shared" ref="F240" si="280">SUM(F237:F239)</f>
        <v>6048554.6997381402</v>
      </c>
      <c r="G240" s="47">
        <f t="shared" ref="G240" si="281">SUM(G237:G239)</f>
        <v>6048554.6997381402</v>
      </c>
      <c r="H240" s="47">
        <f t="shared" ref="H240" si="282">SUM(H237:H239)</f>
        <v>6048554.6997381402</v>
      </c>
      <c r="I240" s="47">
        <f t="shared" ref="I240" si="283">SUM(I237:I239)</f>
        <v>6048554.6997381402</v>
      </c>
      <c r="J240" s="47">
        <f t="shared" ref="J240" si="284">SUM(J237:J239)</f>
        <v>6048554.6997381402</v>
      </c>
      <c r="K240" s="47">
        <f t="shared" ref="K240" si="285">SUM(K237:K239)</f>
        <v>6048554.6997381402</v>
      </c>
      <c r="L240" s="47">
        <f t="shared" ref="L240" si="286">SUM(L237:L239)</f>
        <v>6048554.6997381402</v>
      </c>
      <c r="M240" s="47">
        <f t="shared" ref="M240" si="287">SUM(M237:M239)</f>
        <v>6048554.6997381402</v>
      </c>
      <c r="N240" s="47">
        <f t="shared" ref="N240" si="288">SUM(N237:N239)</f>
        <v>6048554.6997381402</v>
      </c>
      <c r="O240" s="47">
        <f t="shared" si="274"/>
        <v>73295521.772183955</v>
      </c>
    </row>
    <row r="241" spans="1:25" x14ac:dyDescent="0.25">
      <c r="A241" s="82"/>
      <c r="B241" s="55" t="s">
        <v>83</v>
      </c>
      <c r="C241" s="59" t="s">
        <v>173</v>
      </c>
      <c r="D241" s="59" t="s">
        <v>173</v>
      </c>
      <c r="E241" s="59" t="s">
        <v>173</v>
      </c>
      <c r="F241" s="59" t="s">
        <v>173</v>
      </c>
      <c r="G241" s="59" t="s">
        <v>173</v>
      </c>
      <c r="H241" s="59" t="s">
        <v>173</v>
      </c>
      <c r="I241" s="59" t="s">
        <v>173</v>
      </c>
      <c r="J241" s="59" t="s">
        <v>173</v>
      </c>
      <c r="K241" s="59" t="s">
        <v>173</v>
      </c>
      <c r="L241" s="59" t="s">
        <v>173</v>
      </c>
      <c r="M241" s="59" t="s">
        <v>173</v>
      </c>
      <c r="N241" s="59" t="s">
        <v>173</v>
      </c>
      <c r="O241" s="91" t="s">
        <v>173</v>
      </c>
    </row>
    <row r="242" spans="1:25" x14ac:dyDescent="0.25">
      <c r="A242" s="82"/>
      <c r="B242" s="57" t="s">
        <v>210</v>
      </c>
      <c r="C242" s="89">
        <f t="shared" ref="C242:N242" si="289">C210*(1+$K$95)</f>
        <v>3575127.8671666519</v>
      </c>
      <c r="D242" s="89">
        <f t="shared" si="289"/>
        <v>4309595.2235634262</v>
      </c>
      <c r="E242" s="89">
        <f t="shared" si="289"/>
        <v>3974764.5169707756</v>
      </c>
      <c r="F242" s="89">
        <f t="shared" si="289"/>
        <v>3715540.7441248591</v>
      </c>
      <c r="G242" s="89">
        <f t="shared" si="289"/>
        <v>3413113.0091379504</v>
      </c>
      <c r="H242" s="89">
        <f t="shared" si="289"/>
        <v>4277192.2519576857</v>
      </c>
      <c r="I242" s="89">
        <f t="shared" si="289"/>
        <v>4990057.6272839652</v>
      </c>
      <c r="J242" s="89">
        <f t="shared" si="289"/>
        <v>4784838.8071142789</v>
      </c>
      <c r="K242" s="89">
        <f t="shared" si="289"/>
        <v>3693938.7630543639</v>
      </c>
      <c r="L242" s="89">
        <f t="shared" si="289"/>
        <v>3791147.6778715854</v>
      </c>
      <c r="M242" s="89">
        <f t="shared" si="289"/>
        <v>3607530.838772391</v>
      </c>
      <c r="N242" s="89">
        <f t="shared" si="289"/>
        <v>3899157.5832240498</v>
      </c>
      <c r="O242" s="92">
        <f t="shared" ref="O242:O250" si="290">SUM(C242:N242)</f>
        <v>48032004.910241984</v>
      </c>
    </row>
    <row r="243" spans="1:25" x14ac:dyDescent="0.25">
      <c r="A243" s="82"/>
      <c r="B243" s="57" t="s">
        <v>203</v>
      </c>
      <c r="C243" s="89">
        <f t="shared" ref="C243:N243" si="291">C211*(1+$K$95)</f>
        <v>12907183.68961978</v>
      </c>
      <c r="D243" s="89">
        <f t="shared" si="291"/>
        <v>13900874.818862479</v>
      </c>
      <c r="E243" s="89">
        <f t="shared" si="291"/>
        <v>15585829.342360962</v>
      </c>
      <c r="F243" s="89">
        <f t="shared" si="291"/>
        <v>11816283.645559873</v>
      </c>
      <c r="G243" s="89">
        <f t="shared" si="291"/>
        <v>15726242.21931917</v>
      </c>
      <c r="H243" s="89">
        <f t="shared" si="291"/>
        <v>14818959.014358442</v>
      </c>
      <c r="I243" s="89">
        <f t="shared" si="291"/>
        <v>13598447.083875576</v>
      </c>
      <c r="J243" s="89">
        <f t="shared" si="291"/>
        <v>16169082.831264278</v>
      </c>
      <c r="K243" s="89">
        <f t="shared" si="291"/>
        <v>15801849.153065888</v>
      </c>
      <c r="L243" s="89">
        <f t="shared" si="291"/>
        <v>15801849.153065888</v>
      </c>
      <c r="M243" s="89">
        <f t="shared" si="291"/>
        <v>12280726.238575483</v>
      </c>
      <c r="N243" s="89">
        <f t="shared" si="291"/>
        <v>15142988.730415849</v>
      </c>
      <c r="O243" s="92">
        <f t="shared" si="290"/>
        <v>173550315.92034367</v>
      </c>
    </row>
    <row r="244" spans="1:25" x14ac:dyDescent="0.25">
      <c r="A244" s="82"/>
      <c r="B244" s="58" t="s">
        <v>84</v>
      </c>
      <c r="C244" s="89">
        <f t="shared" ref="C244:N244" si="292">C212*(1+$K$95)</f>
        <v>11416646.995755738</v>
      </c>
      <c r="D244" s="89">
        <f t="shared" si="292"/>
        <v>12464343.077674665</v>
      </c>
      <c r="E244" s="89">
        <f t="shared" si="292"/>
        <v>12507547.039815651</v>
      </c>
      <c r="F244" s="89">
        <f t="shared" si="292"/>
        <v>12917984.68015503</v>
      </c>
      <c r="G244" s="89">
        <f t="shared" si="292"/>
        <v>15283401.607374053</v>
      </c>
      <c r="H244" s="89">
        <f t="shared" si="292"/>
        <v>13220412.415141933</v>
      </c>
      <c r="I244" s="89">
        <f t="shared" si="292"/>
        <v>13728058.970298536</v>
      </c>
      <c r="J244" s="89">
        <f t="shared" si="292"/>
        <v>15801849.153065888</v>
      </c>
      <c r="K244" s="89">
        <f t="shared" si="292"/>
        <v>14462526.326695308</v>
      </c>
      <c r="L244" s="89">
        <f t="shared" si="292"/>
        <v>14440924.345624812</v>
      </c>
      <c r="M244" s="89">
        <f t="shared" si="292"/>
        <v>15456217.455937995</v>
      </c>
      <c r="N244" s="89">
        <f t="shared" si="292"/>
        <v>12410338.124998434</v>
      </c>
      <c r="O244" s="92">
        <f t="shared" si="290"/>
        <v>164110250.19253802</v>
      </c>
    </row>
    <row r="245" spans="1:25" x14ac:dyDescent="0.25">
      <c r="A245" s="82"/>
      <c r="B245" s="57" t="s">
        <v>85</v>
      </c>
      <c r="C245" s="89">
        <f t="shared" ref="C245:N245" si="293">C213*(1+$K$95)</f>
        <v>13263616.377282925</v>
      </c>
      <c r="D245" s="89">
        <f t="shared" si="293"/>
        <v>11351841.052544268</v>
      </c>
      <c r="E245" s="89">
        <f t="shared" si="293"/>
        <v>11751477.702348387</v>
      </c>
      <c r="F245" s="89">
        <f t="shared" si="293"/>
        <v>11935094.541447576</v>
      </c>
      <c r="G245" s="89">
        <f t="shared" si="293"/>
        <v>16050271.935376564</v>
      </c>
      <c r="H245" s="89">
        <f t="shared" si="293"/>
        <v>11783880.673954131</v>
      </c>
      <c r="I245" s="89">
        <f t="shared" si="293"/>
        <v>13674054.017622296</v>
      </c>
      <c r="J245" s="89">
        <f t="shared" si="293"/>
        <v>10822592.516317174</v>
      </c>
      <c r="K245" s="89">
        <f t="shared" si="293"/>
        <v>14073690.667426428</v>
      </c>
      <c r="L245" s="89">
        <f t="shared" si="293"/>
        <v>11179025.203980314</v>
      </c>
      <c r="M245" s="89">
        <f t="shared" si="293"/>
        <v>14235705.525455123</v>
      </c>
      <c r="N245" s="89">
        <f t="shared" si="293"/>
        <v>13555243.12173458</v>
      </c>
      <c r="O245" s="92">
        <f t="shared" si="290"/>
        <v>153676493.33548978</v>
      </c>
    </row>
    <row r="246" spans="1:25" x14ac:dyDescent="0.25">
      <c r="A246" s="84"/>
      <c r="B246" s="58" t="s">
        <v>249</v>
      </c>
      <c r="C246" s="89">
        <v>10000000</v>
      </c>
      <c r="D246" s="89">
        <v>10000000</v>
      </c>
      <c r="E246" s="89">
        <v>10000000</v>
      </c>
      <c r="F246" s="89">
        <v>10000000</v>
      </c>
      <c r="G246" s="89">
        <v>10000000</v>
      </c>
      <c r="H246" s="89">
        <v>10000000</v>
      </c>
      <c r="I246" s="89">
        <v>10000000</v>
      </c>
      <c r="J246" s="89">
        <v>10000000</v>
      </c>
      <c r="K246" s="89">
        <v>10000000</v>
      </c>
      <c r="L246" s="89">
        <v>10000000</v>
      </c>
      <c r="M246" s="89">
        <v>10000000</v>
      </c>
      <c r="N246" s="89">
        <v>10000000</v>
      </c>
      <c r="O246" s="92">
        <f t="shared" si="290"/>
        <v>120000000</v>
      </c>
    </row>
    <row r="247" spans="1:25" x14ac:dyDescent="0.25">
      <c r="A247" s="84"/>
      <c r="B247" s="58" t="s">
        <v>180</v>
      </c>
      <c r="C247" s="89">
        <f t="shared" ref="C247:N247" si="294">C215*(1+$K$95)</f>
        <v>11045887.541350329</v>
      </c>
      <c r="D247" s="89">
        <f t="shared" si="294"/>
        <v>9453768.5716280155</v>
      </c>
      <c r="E247" s="89">
        <f t="shared" si="294"/>
        <v>9786584.4014569689</v>
      </c>
      <c r="F247" s="89">
        <f t="shared" si="294"/>
        <v>9939499.7827297319</v>
      </c>
      <c r="G247" s="89">
        <f t="shared" si="294"/>
        <v>13366603.327725232</v>
      </c>
      <c r="H247" s="89">
        <f t="shared" si="294"/>
        <v>9813569.4687404037</v>
      </c>
      <c r="I247" s="89">
        <f t="shared" si="294"/>
        <v>11387698.393607097</v>
      </c>
      <c r="J247" s="89">
        <f t="shared" si="294"/>
        <v>9013012.4726653323</v>
      </c>
      <c r="K247" s="89">
        <f t="shared" si="294"/>
        <v>11720514.223436061</v>
      </c>
      <c r="L247" s="89">
        <f t="shared" si="294"/>
        <v>9309848.2127830554</v>
      </c>
      <c r="M247" s="89">
        <f t="shared" si="294"/>
        <v>11855439.559853204</v>
      </c>
      <c r="N247" s="89">
        <f t="shared" si="294"/>
        <v>11288753.146901188</v>
      </c>
      <c r="O247" s="92">
        <f t="shared" si="290"/>
        <v>127981179.10287663</v>
      </c>
    </row>
    <row r="248" spans="1:25" x14ac:dyDescent="0.25">
      <c r="A248" s="84"/>
      <c r="B248" s="58" t="s">
        <v>86</v>
      </c>
      <c r="C248" s="89">
        <f t="shared" ref="C248:N248" si="295">C216*(1+$K$95)</f>
        <v>9804999.1373977065</v>
      </c>
      <c r="D248" s="89">
        <f t="shared" si="295"/>
        <v>9804999.1373977065</v>
      </c>
      <c r="E248" s="89">
        <f t="shared" si="295"/>
        <v>9804999.1373977065</v>
      </c>
      <c r="F248" s="89">
        <f t="shared" si="295"/>
        <v>9804999.1373977065</v>
      </c>
      <c r="G248" s="89">
        <f t="shared" si="295"/>
        <v>9804999.1373977065</v>
      </c>
      <c r="H248" s="89">
        <f t="shared" si="295"/>
        <v>9804999.1373977065</v>
      </c>
      <c r="I248" s="89">
        <f t="shared" si="295"/>
        <v>9804999.1373977065</v>
      </c>
      <c r="J248" s="89">
        <f t="shared" si="295"/>
        <v>9804999.1373977065</v>
      </c>
      <c r="K248" s="89">
        <f t="shared" si="295"/>
        <v>9804999.1373977065</v>
      </c>
      <c r="L248" s="89">
        <f t="shared" si="295"/>
        <v>9804999.1373977065</v>
      </c>
      <c r="M248" s="89">
        <f t="shared" si="295"/>
        <v>9804999.1373977065</v>
      </c>
      <c r="N248" s="89">
        <f t="shared" si="295"/>
        <v>9804999.1373977065</v>
      </c>
      <c r="O248" s="92">
        <f t="shared" si="290"/>
        <v>117659989.64877248</v>
      </c>
    </row>
    <row r="249" spans="1:25" x14ac:dyDescent="0.25">
      <c r="A249" s="82"/>
      <c r="B249" s="46" t="s">
        <v>208</v>
      </c>
      <c r="C249" s="47">
        <f t="shared" ref="C249:N249" si="296">SUM(C242:C248)</f>
        <v>72013461.608573139</v>
      </c>
      <c r="D249" s="47">
        <f t="shared" si="296"/>
        <v>71285421.881670564</v>
      </c>
      <c r="E249" s="47">
        <f t="shared" si="296"/>
        <v>73411202.140350461</v>
      </c>
      <c r="F249" s="47">
        <f t="shared" si="296"/>
        <v>70129402.531414777</v>
      </c>
      <c r="G249" s="47">
        <f t="shared" si="296"/>
        <v>83644631.236330673</v>
      </c>
      <c r="H249" s="47">
        <f t="shared" si="296"/>
        <v>73719012.961550295</v>
      </c>
      <c r="I249" s="47">
        <f t="shared" si="296"/>
        <v>77183315.230085179</v>
      </c>
      <c r="J249" s="47">
        <f t="shared" si="296"/>
        <v>76396374.917824656</v>
      </c>
      <c r="K249" s="47">
        <f t="shared" si="296"/>
        <v>79557518.271075755</v>
      </c>
      <c r="L249" s="47">
        <f t="shared" si="296"/>
        <v>74327793.730723351</v>
      </c>
      <c r="M249" s="47">
        <f t="shared" si="296"/>
        <v>77240618.755991906</v>
      </c>
      <c r="N249" s="47">
        <f t="shared" si="296"/>
        <v>76101479.844671816</v>
      </c>
      <c r="O249" s="47">
        <f t="shared" si="290"/>
        <v>905010233.11026263</v>
      </c>
    </row>
    <row r="250" spans="1:25" x14ac:dyDescent="0.25">
      <c r="A250" s="82"/>
      <c r="B250" s="60" t="s">
        <v>87</v>
      </c>
      <c r="C250" s="47">
        <f t="shared" ref="C250:N250" si="297">C240+C249</f>
        <v>78774881.683637559</v>
      </c>
      <c r="D250" s="47">
        <f t="shared" si="297"/>
        <v>77333976.581408709</v>
      </c>
      <c r="E250" s="47">
        <f t="shared" si="297"/>
        <v>79459756.840088606</v>
      </c>
      <c r="F250" s="47">
        <f t="shared" si="297"/>
        <v>76177957.231152922</v>
      </c>
      <c r="G250" s="47">
        <f t="shared" si="297"/>
        <v>89693185.936068818</v>
      </c>
      <c r="H250" s="47">
        <f t="shared" si="297"/>
        <v>79767567.66128844</v>
      </c>
      <c r="I250" s="47">
        <f t="shared" si="297"/>
        <v>83231869.929823324</v>
      </c>
      <c r="J250" s="47">
        <f t="shared" si="297"/>
        <v>82444929.617562801</v>
      </c>
      <c r="K250" s="47">
        <f t="shared" si="297"/>
        <v>85606072.9708139</v>
      </c>
      <c r="L250" s="47">
        <f t="shared" si="297"/>
        <v>80376348.430461496</v>
      </c>
      <c r="M250" s="47">
        <f t="shared" si="297"/>
        <v>83289173.455730051</v>
      </c>
      <c r="N250" s="47">
        <f t="shared" si="297"/>
        <v>82150034.544409961</v>
      </c>
      <c r="O250" s="47">
        <f t="shared" si="290"/>
        <v>978305754.88244665</v>
      </c>
    </row>
    <row r="251" spans="1:25" s="11" customFormat="1" x14ac:dyDescent="0.25">
      <c r="A251" s="82"/>
      <c r="B251" s="108" t="s">
        <v>204</v>
      </c>
      <c r="C251" s="109">
        <f>$O250*(3/12)/12</f>
        <v>20381369.893384304</v>
      </c>
      <c r="D251" s="109">
        <f t="shared" ref="D251" si="298">$O250*(3/12)/12</f>
        <v>20381369.893384304</v>
      </c>
      <c r="E251" s="109">
        <f t="shared" ref="E251" si="299">$O250*(3/12)/12</f>
        <v>20381369.893384304</v>
      </c>
      <c r="F251" s="109">
        <f t="shared" ref="F251" si="300">$O250*(3/12)/12</f>
        <v>20381369.893384304</v>
      </c>
      <c r="G251" s="109">
        <f t="shared" ref="G251" si="301">$O250*(3/12)/12</f>
        <v>20381369.893384304</v>
      </c>
      <c r="H251" s="109">
        <f t="shared" ref="H251" si="302">$O250*(3/12)/12</f>
        <v>20381369.893384304</v>
      </c>
      <c r="I251" s="109">
        <f t="shared" ref="I251" si="303">$O250*(3/12)/12</f>
        <v>20381369.893384304</v>
      </c>
      <c r="J251" s="109">
        <f t="shared" ref="J251" si="304">$O250*(3/12)/12</f>
        <v>20381369.893384304</v>
      </c>
      <c r="K251" s="109">
        <f t="shared" ref="K251" si="305">$O250*(3/12)/12</f>
        <v>20381369.893384304</v>
      </c>
      <c r="L251" s="109">
        <f t="shared" ref="L251" si="306">$O250*(3/12)/12</f>
        <v>20381369.893384304</v>
      </c>
      <c r="M251" s="109">
        <f t="shared" ref="M251" si="307">$O250*(3/12)/12</f>
        <v>20381369.893384304</v>
      </c>
      <c r="N251" s="109">
        <f>$O250*(3/12)/12</f>
        <v>20381369.893384304</v>
      </c>
      <c r="O251" s="109">
        <f t="shared" ref="O251:O253" si="308">SUM(C251:N251)</f>
        <v>244576438.72061166</v>
      </c>
      <c r="P251" s="43"/>
      <c r="Q251" s="43"/>
      <c r="R251" s="40"/>
      <c r="S251" s="40"/>
      <c r="T251" s="40"/>
      <c r="U251" s="40"/>
      <c r="V251" s="40"/>
      <c r="W251" s="40"/>
      <c r="X251" s="40"/>
      <c r="Y251" s="40"/>
    </row>
    <row r="252" spans="1:25" s="11" customFormat="1" x14ac:dyDescent="0.25">
      <c r="A252" s="82"/>
      <c r="B252" s="108" t="s">
        <v>386</v>
      </c>
      <c r="C252" s="109">
        <f>C220*(1+$K$192)</f>
        <v>5919133.4913179129</v>
      </c>
      <c r="D252" s="109">
        <v>0</v>
      </c>
      <c r="E252" s="109">
        <v>0</v>
      </c>
      <c r="F252" s="109">
        <v>0</v>
      </c>
      <c r="G252" s="109">
        <v>0</v>
      </c>
      <c r="H252" s="109">
        <v>0</v>
      </c>
      <c r="I252" s="109">
        <v>0</v>
      </c>
      <c r="J252" s="109">
        <v>0</v>
      </c>
      <c r="K252" s="109">
        <v>0</v>
      </c>
      <c r="L252" s="109">
        <v>0</v>
      </c>
      <c r="M252" s="109">
        <v>0</v>
      </c>
      <c r="N252" s="109">
        <v>0</v>
      </c>
      <c r="O252" s="109">
        <f t="shared" si="308"/>
        <v>5919133.4913179129</v>
      </c>
      <c r="P252" s="43"/>
      <c r="Q252" s="43"/>
      <c r="R252" s="40"/>
      <c r="S252" s="40"/>
      <c r="T252" s="40"/>
      <c r="U252" s="40"/>
      <c r="V252" s="40"/>
      <c r="W252" s="40"/>
      <c r="X252" s="40"/>
      <c r="Y252" s="40"/>
    </row>
    <row r="253" spans="1:25" s="11" customFormat="1" x14ac:dyDescent="0.25">
      <c r="A253" s="82"/>
      <c r="B253" s="60" t="s">
        <v>206</v>
      </c>
      <c r="C253" s="61">
        <f>C234-C250-C251-C252</f>
        <v>-1280003.7889616303</v>
      </c>
      <c r="D253" s="61">
        <f t="shared" ref="D253" si="309">D234-D250-D251-D252</f>
        <v>6080034.8045851327</v>
      </c>
      <c r="E253" s="61">
        <f t="shared" ref="E253" si="310">E234-E250-E251-E252</f>
        <v>3954254.5459052362</v>
      </c>
      <c r="F253" s="61">
        <f t="shared" ref="F253" si="311">F234-F250-F251-F252</f>
        <v>7236054.1548409201</v>
      </c>
      <c r="G253" s="61">
        <f t="shared" ref="G253" si="312">G234-G250-G251-G252</f>
        <v>-6279174.5500749759</v>
      </c>
      <c r="H253" s="61">
        <f t="shared" ref="H253" si="313">H234-H250-H251-H252</f>
        <v>3646443.7247054018</v>
      </c>
      <c r="I253" s="61">
        <f t="shared" ref="I253" si="314">I234-I250-I251-I252</f>
        <v>182141.45617051795</v>
      </c>
      <c r="J253" s="61">
        <f t="shared" ref="J253" si="315">J234-J250-J251-J252</f>
        <v>969081.76843104139</v>
      </c>
      <c r="K253" s="61">
        <f t="shared" ref="K253" si="316">K234-K250-K251-K252</f>
        <v>-2192061.5848200582</v>
      </c>
      <c r="L253" s="61">
        <f t="shared" ref="L253" si="317">L234-L250-L251-L252</f>
        <v>3037662.9555323459</v>
      </c>
      <c r="M253" s="61">
        <f t="shared" ref="M253" si="318">M234-M250-M251-M252</f>
        <v>124837.93026379123</v>
      </c>
      <c r="N253" s="61">
        <f t="shared" ref="N253" si="319">N234-N250-N251-N252</f>
        <v>1263976.8415838815</v>
      </c>
      <c r="O253" s="47">
        <f t="shared" si="308"/>
        <v>16743248.258161604</v>
      </c>
      <c r="P253" s="43"/>
      <c r="Q253" s="43"/>
      <c r="R253" s="40"/>
      <c r="S253" s="40"/>
      <c r="T253" s="40"/>
      <c r="U253" s="40"/>
      <c r="V253" s="40"/>
      <c r="W253" s="40"/>
      <c r="X253" s="40"/>
      <c r="Y253" s="40"/>
    </row>
    <row r="254" spans="1:25" x14ac:dyDescent="0.25">
      <c r="A254" s="85"/>
      <c r="B254" s="40"/>
      <c r="C254" s="40"/>
      <c r="D254" s="40"/>
      <c r="E254" s="40"/>
      <c r="F254" s="40"/>
      <c r="G254" s="40"/>
      <c r="H254" s="40"/>
      <c r="I254" s="40"/>
      <c r="J254" s="40"/>
      <c r="K254" s="40"/>
      <c r="L254" s="353" t="s">
        <v>217</v>
      </c>
      <c r="M254" s="354"/>
      <c r="N254" s="350">
        <f>SUM(C253:N253)+N222</f>
        <v>20907797290.642197</v>
      </c>
      <c r="O254" s="40"/>
    </row>
    <row r="255" spans="1:25" x14ac:dyDescent="0.25">
      <c r="A255" s="85"/>
      <c r="B255" s="40"/>
      <c r="C255" s="40"/>
      <c r="D255" s="40"/>
      <c r="E255" s="40"/>
      <c r="F255" s="40"/>
      <c r="G255" s="40"/>
      <c r="H255" s="40"/>
      <c r="I255" s="40"/>
      <c r="J255" s="40"/>
      <c r="K255" s="40"/>
      <c r="L255" s="320"/>
      <c r="M255" s="355"/>
      <c r="N255" s="351"/>
      <c r="O255" s="40"/>
    </row>
    <row r="256" spans="1:25" x14ac:dyDescent="0.25">
      <c r="A256" s="85"/>
      <c r="B256" s="319" t="s">
        <v>632</v>
      </c>
      <c r="C256" s="352" t="s">
        <v>173</v>
      </c>
      <c r="D256" s="352"/>
      <c r="E256" s="352"/>
      <c r="F256" s="352"/>
      <c r="G256" s="352"/>
      <c r="H256" s="352"/>
      <c r="I256" s="40"/>
      <c r="J256" s="358" t="s">
        <v>231</v>
      </c>
      <c r="K256" s="359">
        <v>0.04</v>
      </c>
      <c r="L256" s="40"/>
      <c r="M256" s="40"/>
      <c r="N256" s="40"/>
      <c r="O256" s="361"/>
    </row>
    <row r="257" spans="1:15" x14ac:dyDescent="0.25">
      <c r="A257" s="85"/>
      <c r="B257" s="319"/>
      <c r="C257" s="352"/>
      <c r="D257" s="352"/>
      <c r="E257" s="352"/>
      <c r="F257" s="352"/>
      <c r="G257" s="352"/>
      <c r="H257" s="352"/>
      <c r="I257" s="40"/>
      <c r="J257" s="358"/>
      <c r="K257" s="360"/>
      <c r="L257" s="40"/>
      <c r="M257" s="40"/>
      <c r="N257" s="40"/>
      <c r="O257" s="362"/>
    </row>
    <row r="258" spans="1:15" x14ac:dyDescent="0.25">
      <c r="A258" s="85"/>
      <c r="B258" s="319"/>
      <c r="C258" s="352"/>
      <c r="D258" s="352"/>
      <c r="E258" s="352"/>
      <c r="F258" s="352"/>
      <c r="G258" s="352"/>
      <c r="H258" s="352"/>
      <c r="I258" s="40"/>
      <c r="J258" s="40"/>
      <c r="K258" s="40"/>
      <c r="L258" s="40"/>
      <c r="M258" s="40"/>
      <c r="N258" s="40"/>
      <c r="O258" s="40"/>
    </row>
    <row r="261" spans="1:15" ht="24.6" x14ac:dyDescent="0.25">
      <c r="A261" s="96"/>
      <c r="B261" s="348" t="s">
        <v>286</v>
      </c>
      <c r="C261" s="348"/>
      <c r="D261" s="348"/>
      <c r="E261" s="348"/>
      <c r="F261" s="348"/>
      <c r="G261" s="348"/>
      <c r="H261" s="348"/>
      <c r="I261" s="348"/>
      <c r="J261" s="348"/>
      <c r="K261" s="348"/>
      <c r="L261" s="348"/>
      <c r="M261" s="348"/>
      <c r="N261" s="348"/>
      <c r="O261" s="348"/>
    </row>
    <row r="262" spans="1:15" ht="24.6" x14ac:dyDescent="0.25">
      <c r="A262" s="96"/>
      <c r="B262" s="349"/>
      <c r="C262" s="349"/>
      <c r="D262" s="349"/>
      <c r="E262" s="349"/>
      <c r="F262" s="349"/>
      <c r="G262" s="349"/>
      <c r="H262" s="349"/>
      <c r="I262" s="349"/>
      <c r="J262" s="349"/>
      <c r="K262" s="349"/>
      <c r="L262" s="349"/>
      <c r="M262" s="349"/>
      <c r="N262" s="349"/>
      <c r="O262" s="349"/>
    </row>
    <row r="263" spans="1:15" x14ac:dyDescent="0.25">
      <c r="A263" s="82"/>
      <c r="B263" s="41"/>
      <c r="C263" s="42" t="s">
        <v>66</v>
      </c>
      <c r="D263" s="42" t="s">
        <v>67</v>
      </c>
      <c r="E263" s="42" t="s">
        <v>68</v>
      </c>
      <c r="F263" s="42" t="s">
        <v>69</v>
      </c>
      <c r="G263" s="42" t="s">
        <v>70</v>
      </c>
      <c r="H263" s="42" t="s">
        <v>71</v>
      </c>
      <c r="I263" s="42" t="s">
        <v>72</v>
      </c>
      <c r="J263" s="42" t="s">
        <v>73</v>
      </c>
      <c r="K263" s="42" t="s">
        <v>74</v>
      </c>
      <c r="L263" s="42" t="s">
        <v>75</v>
      </c>
      <c r="M263" s="42" t="s">
        <v>76</v>
      </c>
      <c r="N263" s="42" t="s">
        <v>77</v>
      </c>
      <c r="O263" s="42" t="s">
        <v>236</v>
      </c>
    </row>
    <row r="264" spans="1:15" x14ac:dyDescent="0.25">
      <c r="A264" s="82"/>
      <c r="B264" s="44" t="s">
        <v>381</v>
      </c>
      <c r="C264" s="45">
        <f>'11.My pension value'!$D$6/12</f>
        <v>35611893.330636717</v>
      </c>
      <c r="D264" s="45">
        <f>'11.My pension value'!$D$6/12</f>
        <v>35611893.330636717</v>
      </c>
      <c r="E264" s="45">
        <f>'11.My pension value'!$D$6/12</f>
        <v>35611893.330636717</v>
      </c>
      <c r="F264" s="45">
        <f>'11.My pension value'!$D$6/12</f>
        <v>35611893.330636717</v>
      </c>
      <c r="G264" s="45">
        <f>'11.My pension value'!$D$6/12</f>
        <v>35611893.330636717</v>
      </c>
      <c r="H264" s="45">
        <f>'11.My pension value'!$D$6/12</f>
        <v>35611893.330636717</v>
      </c>
      <c r="I264" s="45">
        <f>'11.My pension value'!$D$6/12</f>
        <v>35611893.330636717</v>
      </c>
      <c r="J264" s="45">
        <f>'11.My pension value'!$D$6/12</f>
        <v>35611893.330636717</v>
      </c>
      <c r="K264" s="45">
        <f>'11.My pension value'!$D$6/12</f>
        <v>35611893.330636717</v>
      </c>
      <c r="L264" s="45">
        <f>'11.My pension value'!$D$6/12</f>
        <v>35611893.330636717</v>
      </c>
      <c r="M264" s="45">
        <f>'11.My pension value'!$D$6/12</f>
        <v>35611893.330636717</v>
      </c>
      <c r="N264" s="45">
        <f>'11.My pension value'!$D$6/12</f>
        <v>35611893.330636717</v>
      </c>
      <c r="O264" s="45" t="s">
        <v>173</v>
      </c>
    </row>
    <row r="265" spans="1:15" x14ac:dyDescent="0.25">
      <c r="A265" s="82"/>
      <c r="B265" s="44" t="s">
        <v>246</v>
      </c>
      <c r="C265" s="45">
        <f>'3.2. My wife''s Tax Calc'!$P$46/12</f>
        <v>0</v>
      </c>
      <c r="D265" s="45">
        <f>'3.2. My wife''s Tax Calc'!$P$46/12</f>
        <v>0</v>
      </c>
      <c r="E265" s="45">
        <f>'3.2. My wife''s Tax Calc'!$P$46/12</f>
        <v>0</v>
      </c>
      <c r="F265" s="45">
        <f>'3.2. My wife''s Tax Calc'!$P$46/12</f>
        <v>0</v>
      </c>
      <c r="G265" s="45">
        <f>'3.2. My wife''s Tax Calc'!$P$46/12</f>
        <v>0</v>
      </c>
      <c r="H265" s="45">
        <f>'3.2. My wife''s Tax Calc'!$P$46/12</f>
        <v>0</v>
      </c>
      <c r="I265" s="45">
        <f>'3.2. My wife''s Tax Calc'!$P$46/12</f>
        <v>0</v>
      </c>
      <c r="J265" s="45">
        <f>'3.2. My wife''s Tax Calc'!$P$46/12</f>
        <v>0</v>
      </c>
      <c r="K265" s="45">
        <f>'3.2. My wife''s Tax Calc'!$P$46/12</f>
        <v>0</v>
      </c>
      <c r="L265" s="45">
        <f>'3.2. My wife''s Tax Calc'!$P$46/12</f>
        <v>0</v>
      </c>
      <c r="M265" s="45">
        <f>'3.2. My wife''s Tax Calc'!$P$46/12</f>
        <v>0</v>
      </c>
      <c r="N265" s="45">
        <f>'3.2. My wife''s Tax Calc'!$P$46/12</f>
        <v>0</v>
      </c>
      <c r="O265" s="45" t="s">
        <v>173</v>
      </c>
    </row>
    <row r="266" spans="1:15" x14ac:dyDescent="0.25">
      <c r="A266" s="82"/>
      <c r="B266" s="46" t="s">
        <v>209</v>
      </c>
      <c r="C266" s="47">
        <f>SUM(C264:C265)</f>
        <v>35611893.330636717</v>
      </c>
      <c r="D266" s="47">
        <f t="shared" ref="D266:J266" si="320">SUM(D264:D265)</f>
        <v>35611893.330636717</v>
      </c>
      <c r="E266" s="47">
        <f t="shared" si="320"/>
        <v>35611893.330636717</v>
      </c>
      <c r="F266" s="47">
        <f t="shared" si="320"/>
        <v>35611893.330636717</v>
      </c>
      <c r="G266" s="47">
        <f t="shared" si="320"/>
        <v>35611893.330636717</v>
      </c>
      <c r="H266" s="47">
        <f t="shared" si="320"/>
        <v>35611893.330636717</v>
      </c>
      <c r="I266" s="47">
        <f t="shared" si="320"/>
        <v>35611893.330636717</v>
      </c>
      <c r="J266" s="47">
        <f t="shared" si="320"/>
        <v>35611893.330636717</v>
      </c>
      <c r="K266" s="47">
        <f>SUM(K264:K265)</f>
        <v>35611893.330636717</v>
      </c>
      <c r="L266" s="47">
        <f t="shared" ref="L266:N266" si="321">SUM(L264:L265)</f>
        <v>35611893.330636717</v>
      </c>
      <c r="M266" s="47">
        <f t="shared" si="321"/>
        <v>35611893.330636717</v>
      </c>
      <c r="N266" s="47">
        <f t="shared" si="321"/>
        <v>35611893.330636717</v>
      </c>
      <c r="O266" s="47">
        <f>SUM(C266:N266)</f>
        <v>427342719.9676407</v>
      </c>
    </row>
    <row r="267" spans="1:15" x14ac:dyDescent="0.25">
      <c r="A267" s="82"/>
      <c r="B267" s="52" t="s">
        <v>78</v>
      </c>
      <c r="C267" s="53" t="s">
        <v>173</v>
      </c>
      <c r="D267" s="53" t="s">
        <v>173</v>
      </c>
      <c r="E267" s="53" t="s">
        <v>173</v>
      </c>
      <c r="F267" s="53" t="s">
        <v>173</v>
      </c>
      <c r="G267" s="53" t="s">
        <v>173</v>
      </c>
      <c r="H267" s="53" t="s">
        <v>173</v>
      </c>
      <c r="I267" s="53" t="s">
        <v>173</v>
      </c>
      <c r="J267" s="53" t="s">
        <v>173</v>
      </c>
      <c r="K267" s="53" t="s">
        <v>173</v>
      </c>
      <c r="L267" s="53" t="s">
        <v>173</v>
      </c>
      <c r="M267" s="53" t="s">
        <v>173</v>
      </c>
      <c r="N267" s="53" t="s">
        <v>173</v>
      </c>
      <c r="O267" s="91" t="s">
        <v>173</v>
      </c>
    </row>
    <row r="268" spans="1:15" x14ac:dyDescent="0.25">
      <c r="A268" s="82"/>
      <c r="B268" s="48" t="s">
        <v>79</v>
      </c>
      <c r="C268" s="54" t="s">
        <v>173</v>
      </c>
      <c r="D268" s="54" t="s">
        <v>173</v>
      </c>
      <c r="E268" s="54" t="s">
        <v>173</v>
      </c>
      <c r="F268" s="54" t="s">
        <v>173</v>
      </c>
      <c r="G268" s="54" t="s">
        <v>173</v>
      </c>
      <c r="H268" s="54" t="s">
        <v>173</v>
      </c>
      <c r="I268" s="54" t="s">
        <v>173</v>
      </c>
      <c r="J268" s="54" t="s">
        <v>173</v>
      </c>
      <c r="K268" s="54" t="s">
        <v>173</v>
      </c>
      <c r="L268" s="54" t="s">
        <v>173</v>
      </c>
      <c r="M268" s="54" t="s">
        <v>173</v>
      </c>
      <c r="N268" s="54" t="s">
        <v>173</v>
      </c>
      <c r="O268" s="91" t="s">
        <v>173</v>
      </c>
    </row>
    <row r="269" spans="1:15" x14ac:dyDescent="0.25">
      <c r="A269" s="83"/>
      <c r="B269" s="49" t="s">
        <v>195</v>
      </c>
      <c r="C269" s="50">
        <f>C237*(1+$K$62)</f>
        <v>741379.99033933191</v>
      </c>
      <c r="D269" s="50">
        <v>0</v>
      </c>
      <c r="E269" s="50">
        <v>0</v>
      </c>
      <c r="F269" s="50">
        <v>0</v>
      </c>
      <c r="G269" s="50">
        <v>0</v>
      </c>
      <c r="H269" s="50">
        <v>0</v>
      </c>
      <c r="I269" s="50">
        <v>0</v>
      </c>
      <c r="J269" s="50">
        <v>0</v>
      </c>
      <c r="K269" s="50">
        <v>0</v>
      </c>
      <c r="L269" s="50">
        <v>0</v>
      </c>
      <c r="M269" s="50">
        <v>0</v>
      </c>
      <c r="N269" s="50">
        <v>0</v>
      </c>
      <c r="O269" s="90">
        <f t="shared" ref="O269:O272" si="322">SUM(C269:N269)</f>
        <v>741379.99033933191</v>
      </c>
    </row>
    <row r="270" spans="1:15" x14ac:dyDescent="0.25">
      <c r="A270" s="82"/>
      <c r="B270" s="51" t="s">
        <v>178</v>
      </c>
      <c r="C270" s="50">
        <f>C238*(1+$K$62)</f>
        <v>5616515.0783282733</v>
      </c>
      <c r="D270" s="50">
        <f t="shared" ref="D270:N270" si="323">D238*(1+$K$62)</f>
        <v>5616515.0783282733</v>
      </c>
      <c r="E270" s="50">
        <f t="shared" si="323"/>
        <v>5616515.0783282733</v>
      </c>
      <c r="F270" s="50">
        <f t="shared" si="323"/>
        <v>5616515.0783282733</v>
      </c>
      <c r="G270" s="50">
        <f t="shared" si="323"/>
        <v>5616515.0783282733</v>
      </c>
      <c r="H270" s="50">
        <f t="shared" si="323"/>
        <v>5616515.0783282733</v>
      </c>
      <c r="I270" s="50">
        <f t="shared" si="323"/>
        <v>5616515.0783282733</v>
      </c>
      <c r="J270" s="50">
        <f t="shared" si="323"/>
        <v>5616515.0783282733</v>
      </c>
      <c r="K270" s="50">
        <f t="shared" si="323"/>
        <v>5616515.0783282733</v>
      </c>
      <c r="L270" s="50">
        <f t="shared" si="323"/>
        <v>5616515.0783282733</v>
      </c>
      <c r="M270" s="50">
        <f t="shared" si="323"/>
        <v>5616515.0783282733</v>
      </c>
      <c r="N270" s="50">
        <f t="shared" si="323"/>
        <v>5616515.0783282733</v>
      </c>
      <c r="O270" s="90">
        <f t="shared" si="322"/>
        <v>67398180.939939275</v>
      </c>
    </row>
    <row r="271" spans="1:15" x14ac:dyDescent="0.25">
      <c r="A271" s="84"/>
      <c r="B271" s="51" t="s">
        <v>248</v>
      </c>
      <c r="C271" s="50">
        <f>C239*(1+$K$62)</f>
        <v>673981.80939939281</v>
      </c>
      <c r="D271" s="50">
        <f t="shared" ref="D271:N271" si="324">D239*(1+$K$62)</f>
        <v>673981.80939939281</v>
      </c>
      <c r="E271" s="50">
        <f t="shared" si="324"/>
        <v>673981.80939939281</v>
      </c>
      <c r="F271" s="50">
        <f t="shared" si="324"/>
        <v>673981.80939939281</v>
      </c>
      <c r="G271" s="50">
        <f t="shared" si="324"/>
        <v>673981.80939939281</v>
      </c>
      <c r="H271" s="50">
        <f t="shared" si="324"/>
        <v>673981.80939939281</v>
      </c>
      <c r="I271" s="50">
        <f t="shared" si="324"/>
        <v>673981.80939939281</v>
      </c>
      <c r="J271" s="50">
        <f t="shared" si="324"/>
        <v>673981.80939939281</v>
      </c>
      <c r="K271" s="50">
        <f t="shared" si="324"/>
        <v>673981.80939939281</v>
      </c>
      <c r="L271" s="50">
        <f t="shared" si="324"/>
        <v>673981.80939939281</v>
      </c>
      <c r="M271" s="50">
        <f t="shared" si="324"/>
        <v>673981.80939939281</v>
      </c>
      <c r="N271" s="50">
        <f t="shared" si="324"/>
        <v>673981.80939939281</v>
      </c>
      <c r="O271" s="90">
        <f t="shared" si="322"/>
        <v>8087781.7127927123</v>
      </c>
    </row>
    <row r="272" spans="1:15" x14ac:dyDescent="0.25">
      <c r="A272" s="82"/>
      <c r="B272" s="46" t="s">
        <v>207</v>
      </c>
      <c r="C272" s="47">
        <f t="shared" ref="C272" si="325">SUM(C269:C271)</f>
        <v>7031876.878066998</v>
      </c>
      <c r="D272" s="47">
        <f t="shared" ref="D272" si="326">SUM(D269:D271)</f>
        <v>6290496.8877276657</v>
      </c>
      <c r="E272" s="47">
        <f t="shared" ref="E272" si="327">SUM(E269:E271)</f>
        <v>6290496.8877276657</v>
      </c>
      <c r="F272" s="47">
        <f t="shared" ref="F272" si="328">SUM(F269:F271)</f>
        <v>6290496.8877276657</v>
      </c>
      <c r="G272" s="47">
        <f t="shared" ref="G272" si="329">SUM(G269:G271)</f>
        <v>6290496.8877276657</v>
      </c>
      <c r="H272" s="47">
        <f t="shared" ref="H272" si="330">SUM(H269:H271)</f>
        <v>6290496.8877276657</v>
      </c>
      <c r="I272" s="47">
        <f t="shared" ref="I272" si="331">SUM(I269:I271)</f>
        <v>6290496.8877276657</v>
      </c>
      <c r="J272" s="47">
        <f t="shared" ref="J272" si="332">SUM(J269:J271)</f>
        <v>6290496.8877276657</v>
      </c>
      <c r="K272" s="47">
        <f t="shared" ref="K272" si="333">SUM(K269:K271)</f>
        <v>6290496.8877276657</v>
      </c>
      <c r="L272" s="47">
        <f t="shared" ref="L272" si="334">SUM(L269:L271)</f>
        <v>6290496.8877276657</v>
      </c>
      <c r="M272" s="47">
        <f t="shared" ref="M272" si="335">SUM(M269:M271)</f>
        <v>6290496.8877276657</v>
      </c>
      <c r="N272" s="47">
        <f t="shared" ref="N272" si="336">SUM(N269:N271)</f>
        <v>6290496.8877276657</v>
      </c>
      <c r="O272" s="47">
        <f t="shared" si="322"/>
        <v>76227342.643071309</v>
      </c>
    </row>
    <row r="273" spans="1:25" x14ac:dyDescent="0.25">
      <c r="A273" s="82"/>
      <c r="B273" s="55" t="s">
        <v>83</v>
      </c>
      <c r="C273" s="59" t="s">
        <v>173</v>
      </c>
      <c r="D273" s="59" t="s">
        <v>173</v>
      </c>
      <c r="E273" s="59" t="s">
        <v>173</v>
      </c>
      <c r="F273" s="59" t="s">
        <v>173</v>
      </c>
      <c r="G273" s="59" t="s">
        <v>173</v>
      </c>
      <c r="H273" s="59" t="s">
        <v>173</v>
      </c>
      <c r="I273" s="59" t="s">
        <v>173</v>
      </c>
      <c r="J273" s="59" t="s">
        <v>173</v>
      </c>
      <c r="K273" s="59" t="s">
        <v>173</v>
      </c>
      <c r="L273" s="59" t="s">
        <v>173</v>
      </c>
      <c r="M273" s="59" t="s">
        <v>173</v>
      </c>
      <c r="N273" s="59" t="s">
        <v>173</v>
      </c>
      <c r="O273" s="91" t="s">
        <v>173</v>
      </c>
    </row>
    <row r="274" spans="1:25" x14ac:dyDescent="0.25">
      <c r="A274" s="82"/>
      <c r="B274" s="57" t="s">
        <v>210</v>
      </c>
      <c r="C274" s="89">
        <f t="shared" ref="C274:N274" si="337">C242*(1+$K$95)</f>
        <v>3718132.9818533179</v>
      </c>
      <c r="D274" s="89">
        <f t="shared" si="337"/>
        <v>4481979.032505963</v>
      </c>
      <c r="E274" s="89">
        <f t="shared" si="337"/>
        <v>4133755.0976496069</v>
      </c>
      <c r="F274" s="89">
        <f t="shared" si="337"/>
        <v>3864162.3738898537</v>
      </c>
      <c r="G274" s="89">
        <f t="shared" si="337"/>
        <v>3549637.5295034684</v>
      </c>
      <c r="H274" s="89">
        <f t="shared" si="337"/>
        <v>4448279.9420359936</v>
      </c>
      <c r="I274" s="89">
        <f t="shared" si="337"/>
        <v>5189659.932375324</v>
      </c>
      <c r="J274" s="89">
        <f t="shared" si="337"/>
        <v>4976232.3593988502</v>
      </c>
      <c r="K274" s="89">
        <f t="shared" si="337"/>
        <v>3841696.3135765386</v>
      </c>
      <c r="L274" s="89">
        <f t="shared" si="337"/>
        <v>3942793.5849864488</v>
      </c>
      <c r="M274" s="89">
        <f t="shared" si="337"/>
        <v>3751832.0723232869</v>
      </c>
      <c r="N274" s="89">
        <f t="shared" si="337"/>
        <v>4055123.8865530118</v>
      </c>
      <c r="O274" s="92">
        <f t="shared" ref="O274:O282" si="338">SUM(C274:N274)</f>
        <v>49953285.106651671</v>
      </c>
    </row>
    <row r="275" spans="1:25" x14ac:dyDescent="0.25">
      <c r="A275" s="82"/>
      <c r="B275" s="57" t="s">
        <v>203</v>
      </c>
      <c r="C275" s="89">
        <f t="shared" ref="C275:N275" si="339">C243*(1+$K$95)</f>
        <v>13423471.037204571</v>
      </c>
      <c r="D275" s="89">
        <f t="shared" si="339"/>
        <v>14456909.81161698</v>
      </c>
      <c r="E275" s="89">
        <f t="shared" si="339"/>
        <v>16209262.516055401</v>
      </c>
      <c r="F275" s="89">
        <f t="shared" si="339"/>
        <v>12288934.991382269</v>
      </c>
      <c r="G275" s="89">
        <f t="shared" si="339"/>
        <v>16355291.908091938</v>
      </c>
      <c r="H275" s="89">
        <f t="shared" si="339"/>
        <v>15411717.374932781</v>
      </c>
      <c r="I275" s="89">
        <f t="shared" si="339"/>
        <v>14142384.967230599</v>
      </c>
      <c r="J275" s="89">
        <f t="shared" si="339"/>
        <v>16815846.144514851</v>
      </c>
      <c r="K275" s="89">
        <f t="shared" si="339"/>
        <v>16433923.119188525</v>
      </c>
      <c r="L275" s="89">
        <f t="shared" si="339"/>
        <v>16433923.119188525</v>
      </c>
      <c r="M275" s="89">
        <f t="shared" si="339"/>
        <v>12771955.288118502</v>
      </c>
      <c r="N275" s="89">
        <f t="shared" si="339"/>
        <v>15748708.279632483</v>
      </c>
      <c r="O275" s="92">
        <f t="shared" si="338"/>
        <v>180492328.55715743</v>
      </c>
    </row>
    <row r="276" spans="1:25" x14ac:dyDescent="0.25">
      <c r="A276" s="82"/>
      <c r="B276" s="58" t="s">
        <v>84</v>
      </c>
      <c r="C276" s="89">
        <f t="shared" ref="C276:N276" si="340">C244*(1+$K$95)</f>
        <v>11873312.875585968</v>
      </c>
      <c r="D276" s="89">
        <f t="shared" si="340"/>
        <v>12962916.800781652</v>
      </c>
      <c r="E276" s="89">
        <f t="shared" si="340"/>
        <v>13007848.921408277</v>
      </c>
      <c r="F276" s="89">
        <f t="shared" si="340"/>
        <v>13434704.067361232</v>
      </c>
      <c r="G276" s="89">
        <f t="shared" si="340"/>
        <v>15894737.671669016</v>
      </c>
      <c r="H276" s="89">
        <f t="shared" si="340"/>
        <v>13749228.91174761</v>
      </c>
      <c r="I276" s="89">
        <f t="shared" si="340"/>
        <v>14277181.329110479</v>
      </c>
      <c r="J276" s="89">
        <f t="shared" si="340"/>
        <v>16433923.119188525</v>
      </c>
      <c r="K276" s="89">
        <f t="shared" si="340"/>
        <v>15041027.379763121</v>
      </c>
      <c r="L276" s="89">
        <f t="shared" si="340"/>
        <v>15018561.319449805</v>
      </c>
      <c r="M276" s="89">
        <f t="shared" si="340"/>
        <v>16074466.154175514</v>
      </c>
      <c r="N276" s="89">
        <f t="shared" si="340"/>
        <v>12906751.649998371</v>
      </c>
      <c r="O276" s="92">
        <f t="shared" si="338"/>
        <v>170674660.20023957</v>
      </c>
    </row>
    <row r="277" spans="1:25" x14ac:dyDescent="0.25">
      <c r="A277" s="82"/>
      <c r="B277" s="57" t="s">
        <v>85</v>
      </c>
      <c r="C277" s="89">
        <f t="shared" ref="C277:N277" si="341">C245*(1+$K$95)</f>
        <v>13794161.032374242</v>
      </c>
      <c r="D277" s="89">
        <f t="shared" si="341"/>
        <v>11805914.694646038</v>
      </c>
      <c r="E277" s="89">
        <f t="shared" si="341"/>
        <v>12221536.810442323</v>
      </c>
      <c r="F277" s="89">
        <f t="shared" si="341"/>
        <v>12412498.323105481</v>
      </c>
      <c r="G277" s="89">
        <f t="shared" si="341"/>
        <v>16692282.812791627</v>
      </c>
      <c r="H277" s="89">
        <f t="shared" si="341"/>
        <v>12255235.900912296</v>
      </c>
      <c r="I277" s="89">
        <f t="shared" si="341"/>
        <v>14221016.178327188</v>
      </c>
      <c r="J277" s="89">
        <f t="shared" si="341"/>
        <v>11255496.216969861</v>
      </c>
      <c r="K277" s="89">
        <f t="shared" si="341"/>
        <v>14636638.294123486</v>
      </c>
      <c r="L277" s="89">
        <f t="shared" si="341"/>
        <v>11626186.212139526</v>
      </c>
      <c r="M277" s="89">
        <f t="shared" si="341"/>
        <v>14805133.746473329</v>
      </c>
      <c r="N277" s="89">
        <f t="shared" si="341"/>
        <v>14097452.846603964</v>
      </c>
      <c r="O277" s="92">
        <f t="shared" si="338"/>
        <v>159823553.06890938</v>
      </c>
    </row>
    <row r="278" spans="1:25" x14ac:dyDescent="0.25">
      <c r="A278" s="84"/>
      <c r="B278" s="58" t="s">
        <v>249</v>
      </c>
      <c r="C278" s="89">
        <v>10000000</v>
      </c>
      <c r="D278" s="89">
        <v>10000000</v>
      </c>
      <c r="E278" s="89">
        <v>10000000</v>
      </c>
      <c r="F278" s="89">
        <v>10000000</v>
      </c>
      <c r="G278" s="89">
        <v>10000000</v>
      </c>
      <c r="H278" s="89">
        <v>10000000</v>
      </c>
      <c r="I278" s="89">
        <v>10000000</v>
      </c>
      <c r="J278" s="89">
        <v>10000000</v>
      </c>
      <c r="K278" s="89">
        <v>10000000</v>
      </c>
      <c r="L278" s="89">
        <v>10000000</v>
      </c>
      <c r="M278" s="89">
        <v>10000000</v>
      </c>
      <c r="N278" s="89">
        <v>10000000</v>
      </c>
      <c r="O278" s="92">
        <f t="shared" si="338"/>
        <v>120000000</v>
      </c>
    </row>
    <row r="279" spans="1:25" x14ac:dyDescent="0.25">
      <c r="A279" s="84"/>
      <c r="B279" s="58" t="s">
        <v>180</v>
      </c>
      <c r="C279" s="89">
        <f t="shared" ref="C279:N279" si="342">C247*(1+$K$95)</f>
        <v>11487723.043004343</v>
      </c>
      <c r="D279" s="89">
        <f t="shared" si="342"/>
        <v>9831919.3144931365</v>
      </c>
      <c r="E279" s="89">
        <f t="shared" si="342"/>
        <v>10178047.777515247</v>
      </c>
      <c r="F279" s="89">
        <f t="shared" si="342"/>
        <v>10337079.774038922</v>
      </c>
      <c r="G279" s="89">
        <f t="shared" si="342"/>
        <v>13901267.460834241</v>
      </c>
      <c r="H279" s="89">
        <f t="shared" si="342"/>
        <v>10206112.24749002</v>
      </c>
      <c r="I279" s="89">
        <f t="shared" si="342"/>
        <v>11843206.32935138</v>
      </c>
      <c r="J279" s="89">
        <f t="shared" si="342"/>
        <v>9373532.9715719465</v>
      </c>
      <c r="K279" s="89">
        <f t="shared" si="342"/>
        <v>12189334.792373504</v>
      </c>
      <c r="L279" s="89">
        <f t="shared" si="342"/>
        <v>9682242.1412943788</v>
      </c>
      <c r="M279" s="89">
        <f t="shared" si="342"/>
        <v>12329657.142247332</v>
      </c>
      <c r="N279" s="89">
        <f t="shared" si="342"/>
        <v>11740303.272777237</v>
      </c>
      <c r="O279" s="92">
        <f t="shared" si="338"/>
        <v>133100426.2669917</v>
      </c>
    </row>
    <row r="280" spans="1:25" x14ac:dyDescent="0.25">
      <c r="A280" s="84"/>
      <c r="B280" s="58" t="s">
        <v>86</v>
      </c>
      <c r="C280" s="89">
        <f t="shared" ref="C280:N280" si="343">C248*(1+$K$95)</f>
        <v>10197199.102893615</v>
      </c>
      <c r="D280" s="89">
        <f t="shared" si="343"/>
        <v>10197199.102893615</v>
      </c>
      <c r="E280" s="89">
        <f t="shared" si="343"/>
        <v>10197199.102893615</v>
      </c>
      <c r="F280" s="89">
        <f t="shared" si="343"/>
        <v>10197199.102893615</v>
      </c>
      <c r="G280" s="89">
        <f t="shared" si="343"/>
        <v>10197199.102893615</v>
      </c>
      <c r="H280" s="89">
        <f t="shared" si="343"/>
        <v>10197199.102893615</v>
      </c>
      <c r="I280" s="89">
        <f t="shared" si="343"/>
        <v>10197199.102893615</v>
      </c>
      <c r="J280" s="89">
        <f t="shared" si="343"/>
        <v>10197199.102893615</v>
      </c>
      <c r="K280" s="89">
        <f t="shared" si="343"/>
        <v>10197199.102893615</v>
      </c>
      <c r="L280" s="89">
        <f t="shared" si="343"/>
        <v>10197199.102893615</v>
      </c>
      <c r="M280" s="89">
        <f t="shared" si="343"/>
        <v>10197199.102893615</v>
      </c>
      <c r="N280" s="89">
        <f t="shared" si="343"/>
        <v>10197199.102893615</v>
      </c>
      <c r="O280" s="92">
        <f t="shared" si="338"/>
        <v>122366389.2347234</v>
      </c>
    </row>
    <row r="281" spans="1:25" x14ac:dyDescent="0.25">
      <c r="A281" s="82"/>
      <c r="B281" s="46" t="s">
        <v>208</v>
      </c>
      <c r="C281" s="47">
        <f t="shared" ref="C281:N281" si="344">SUM(C274:C280)</f>
        <v>74494000.072916061</v>
      </c>
      <c r="D281" s="47">
        <f t="shared" si="344"/>
        <v>73736838.756937385</v>
      </c>
      <c r="E281" s="47">
        <f t="shared" si="344"/>
        <v>75947650.225964472</v>
      </c>
      <c r="F281" s="47">
        <f t="shared" si="344"/>
        <v>72534578.632671386</v>
      </c>
      <c r="G281" s="47">
        <f t="shared" si="344"/>
        <v>86590416.485783905</v>
      </c>
      <c r="H281" s="47">
        <f t="shared" si="344"/>
        <v>76267773.480012327</v>
      </c>
      <c r="I281" s="47">
        <f t="shared" si="344"/>
        <v>79870647.839288592</v>
      </c>
      <c r="J281" s="47">
        <f t="shared" si="344"/>
        <v>79052229.914537653</v>
      </c>
      <c r="K281" s="47">
        <f t="shared" si="344"/>
        <v>82339819.001918793</v>
      </c>
      <c r="L281" s="47">
        <f t="shared" si="344"/>
        <v>76900905.479952306</v>
      </c>
      <c r="M281" s="47">
        <f t="shared" si="344"/>
        <v>79930243.506231576</v>
      </c>
      <c r="N281" s="47">
        <f t="shared" si="344"/>
        <v>78745539.038458675</v>
      </c>
      <c r="O281" s="47">
        <f t="shared" si="338"/>
        <v>936410642.43467319</v>
      </c>
    </row>
    <row r="282" spans="1:25" x14ac:dyDescent="0.25">
      <c r="A282" s="82"/>
      <c r="B282" s="60" t="s">
        <v>87</v>
      </c>
      <c r="C282" s="47">
        <f t="shared" ref="C282:N282" si="345">C272+C281</f>
        <v>81525876.950983062</v>
      </c>
      <c r="D282" s="47">
        <f t="shared" si="345"/>
        <v>80027335.644665048</v>
      </c>
      <c r="E282" s="47">
        <f t="shared" si="345"/>
        <v>82238147.113692135</v>
      </c>
      <c r="F282" s="47">
        <f t="shared" si="345"/>
        <v>78825075.520399049</v>
      </c>
      <c r="G282" s="47">
        <f t="shared" si="345"/>
        <v>92880913.373511568</v>
      </c>
      <c r="H282" s="47">
        <f t="shared" si="345"/>
        <v>82558270.36773999</v>
      </c>
      <c r="I282" s="47">
        <f t="shared" si="345"/>
        <v>86161144.727016255</v>
      </c>
      <c r="J282" s="47">
        <f t="shared" si="345"/>
        <v>85342726.802265316</v>
      </c>
      <c r="K282" s="47">
        <f t="shared" si="345"/>
        <v>88630315.889646456</v>
      </c>
      <c r="L282" s="47">
        <f t="shared" si="345"/>
        <v>83191402.367679968</v>
      </c>
      <c r="M282" s="47">
        <f t="shared" si="345"/>
        <v>86220740.393959239</v>
      </c>
      <c r="N282" s="47">
        <f t="shared" si="345"/>
        <v>85036035.926186338</v>
      </c>
      <c r="O282" s="47">
        <f t="shared" si="338"/>
        <v>1012637985.0777444</v>
      </c>
    </row>
    <row r="283" spans="1:25" s="11" customFormat="1" x14ac:dyDescent="0.25">
      <c r="A283" s="82"/>
      <c r="B283" s="108" t="s">
        <v>204</v>
      </c>
      <c r="C283" s="109">
        <f>$O282*(3/12)/12</f>
        <v>21096624.689119674</v>
      </c>
      <c r="D283" s="109">
        <f t="shared" ref="D283" si="346">$O282*(3/12)/12</f>
        <v>21096624.689119674</v>
      </c>
      <c r="E283" s="109">
        <f t="shared" ref="E283" si="347">$O282*(3/12)/12</f>
        <v>21096624.689119674</v>
      </c>
      <c r="F283" s="109">
        <f t="shared" ref="F283" si="348">$O282*(3/12)/12</f>
        <v>21096624.689119674</v>
      </c>
      <c r="G283" s="109">
        <f t="shared" ref="G283" si="349">$O282*(3/12)/12</f>
        <v>21096624.689119674</v>
      </c>
      <c r="H283" s="109">
        <f t="shared" ref="H283" si="350">$O282*(3/12)/12</f>
        <v>21096624.689119674</v>
      </c>
      <c r="I283" s="109">
        <f t="shared" ref="I283" si="351">$O282*(3/12)/12</f>
        <v>21096624.689119674</v>
      </c>
      <c r="J283" s="109">
        <f t="shared" ref="J283" si="352">$O282*(3/12)/12</f>
        <v>21096624.689119674</v>
      </c>
      <c r="K283" s="109">
        <f t="shared" ref="K283" si="353">$O282*(3/12)/12</f>
        <v>21096624.689119674</v>
      </c>
      <c r="L283" s="109">
        <f t="shared" ref="L283" si="354">$O282*(3/12)/12</f>
        <v>21096624.689119674</v>
      </c>
      <c r="M283" s="109">
        <f t="shared" ref="M283" si="355">$O282*(3/12)/12</f>
        <v>21096624.689119674</v>
      </c>
      <c r="N283" s="109">
        <f>$O282*(3/12)/12</f>
        <v>21096624.689119674</v>
      </c>
      <c r="O283" s="109">
        <f t="shared" ref="O283:O285" si="356">SUM(C283:N283)</f>
        <v>253159496.26943603</v>
      </c>
      <c r="P283" s="43"/>
      <c r="Q283" s="43"/>
      <c r="R283" s="40"/>
      <c r="S283" s="40"/>
      <c r="T283" s="40"/>
      <c r="U283" s="40"/>
      <c r="V283" s="40"/>
      <c r="W283" s="40"/>
      <c r="X283" s="40"/>
      <c r="Y283" s="40"/>
    </row>
    <row r="284" spans="1:25" s="11" customFormat="1" x14ac:dyDescent="0.25">
      <c r="A284" s="82"/>
      <c r="B284" s="108" t="s">
        <v>386</v>
      </c>
      <c r="C284" s="109">
        <f>C252*(1+$K$192)</f>
        <v>6155898.83097063</v>
      </c>
      <c r="D284" s="109">
        <v>0</v>
      </c>
      <c r="E284" s="109">
        <v>0</v>
      </c>
      <c r="F284" s="109">
        <v>0</v>
      </c>
      <c r="G284" s="109">
        <v>0</v>
      </c>
      <c r="H284" s="109">
        <v>0</v>
      </c>
      <c r="I284" s="109">
        <v>0</v>
      </c>
      <c r="J284" s="109">
        <v>0</v>
      </c>
      <c r="K284" s="109">
        <v>0</v>
      </c>
      <c r="L284" s="109">
        <v>0</v>
      </c>
      <c r="M284" s="109">
        <v>0</v>
      </c>
      <c r="N284" s="109">
        <v>0</v>
      </c>
      <c r="O284" s="109">
        <f t="shared" si="356"/>
        <v>6155898.83097063</v>
      </c>
      <c r="P284" s="43"/>
      <c r="Q284" s="43"/>
      <c r="R284" s="40"/>
      <c r="S284" s="40"/>
      <c r="T284" s="40"/>
      <c r="U284" s="40"/>
      <c r="V284" s="40"/>
      <c r="W284" s="40"/>
      <c r="X284" s="40"/>
      <c r="Y284" s="40"/>
    </row>
    <row r="285" spans="1:25" s="11" customFormat="1" x14ac:dyDescent="0.25">
      <c r="A285" s="82"/>
      <c r="B285" s="60" t="s">
        <v>206</v>
      </c>
      <c r="C285" s="61">
        <f>C266-C282-C283-C284</f>
        <v>-73166507.140436649</v>
      </c>
      <c r="D285" s="61">
        <f t="shared" ref="D285" si="357">D266-D282-D283-D284</f>
        <v>-65512067.003148004</v>
      </c>
      <c r="E285" s="61">
        <f t="shared" ref="E285" si="358">E266-E282-E283-E284</f>
        <v>-67722878.472175092</v>
      </c>
      <c r="F285" s="61">
        <f t="shared" ref="F285" si="359">F266-F282-F283-F284</f>
        <v>-64309806.878882006</v>
      </c>
      <c r="G285" s="61">
        <f t="shared" ref="G285" si="360">G266-G282-G283-G284</f>
        <v>-78365644.731994525</v>
      </c>
      <c r="H285" s="61">
        <f t="shared" ref="H285" si="361">H266-H282-H283-H284</f>
        <v>-68043001.726222947</v>
      </c>
      <c r="I285" s="61">
        <f t="shared" ref="I285" si="362">I266-I282-I283-I284</f>
        <v>-71645876.085499212</v>
      </c>
      <c r="J285" s="61">
        <f t="shared" ref="J285" si="363">J266-J282-J283-J284</f>
        <v>-70827458.160748273</v>
      </c>
      <c r="K285" s="61">
        <f t="shared" ref="K285" si="364">K266-K282-K283-K284</f>
        <v>-74115047.248129413</v>
      </c>
      <c r="L285" s="61">
        <f t="shared" ref="L285" si="365">L266-L282-L283-L284</f>
        <v>-68676133.726162925</v>
      </c>
      <c r="M285" s="61">
        <f t="shared" ref="M285" si="366">M266-M282-M283-M284</f>
        <v>-71705471.752442196</v>
      </c>
      <c r="N285" s="61">
        <f t="shared" ref="N285" si="367">N266-N282-N283-N284</f>
        <v>-70520767.284669295</v>
      </c>
      <c r="O285" s="47">
        <f t="shared" si="356"/>
        <v>-844610660.21051049</v>
      </c>
      <c r="P285" s="43"/>
      <c r="Q285" s="43"/>
      <c r="R285" s="40"/>
      <c r="S285" s="40"/>
      <c r="T285" s="40"/>
      <c r="U285" s="40"/>
      <c r="V285" s="40"/>
      <c r="W285" s="40"/>
      <c r="X285" s="40"/>
      <c r="Y285" s="40"/>
    </row>
    <row r="286" spans="1:25" x14ac:dyDescent="0.25">
      <c r="A286" s="85"/>
      <c r="B286" s="40"/>
      <c r="C286" s="40"/>
      <c r="D286" s="40"/>
      <c r="E286" s="40"/>
      <c r="F286" s="40"/>
      <c r="G286" s="40"/>
      <c r="H286" s="40"/>
      <c r="I286" s="40"/>
      <c r="J286" s="40"/>
      <c r="K286" s="40"/>
      <c r="L286" s="353" t="s">
        <v>217</v>
      </c>
      <c r="M286" s="354"/>
      <c r="N286" s="350">
        <f>SUM(C285:N285)+N254</f>
        <v>20063186630.431686</v>
      </c>
      <c r="O286" s="40"/>
    </row>
    <row r="287" spans="1:25" x14ac:dyDescent="0.25">
      <c r="A287" s="85"/>
      <c r="B287" s="40"/>
      <c r="C287" s="40"/>
      <c r="D287" s="40"/>
      <c r="E287" s="40"/>
      <c r="F287" s="40"/>
      <c r="G287" s="40"/>
      <c r="H287" s="40"/>
      <c r="I287" s="40"/>
      <c r="J287" s="40"/>
      <c r="K287" s="40"/>
      <c r="L287" s="320"/>
      <c r="M287" s="355"/>
      <c r="N287" s="351"/>
      <c r="O287" s="40"/>
    </row>
    <row r="288" spans="1:25" x14ac:dyDescent="0.25">
      <c r="A288" s="85"/>
      <c r="B288" s="319" t="s">
        <v>632</v>
      </c>
      <c r="C288" s="352" t="s">
        <v>173</v>
      </c>
      <c r="D288" s="352"/>
      <c r="E288" s="352"/>
      <c r="F288" s="352"/>
      <c r="G288" s="352"/>
      <c r="H288" s="352"/>
      <c r="I288" s="40"/>
      <c r="J288" s="358" t="s">
        <v>231</v>
      </c>
      <c r="K288" s="359">
        <v>0.04</v>
      </c>
      <c r="L288" s="40"/>
      <c r="M288" s="40"/>
      <c r="N288" s="40"/>
      <c r="O288" s="361"/>
    </row>
    <row r="289" spans="1:15" x14ac:dyDescent="0.25">
      <c r="A289" s="85"/>
      <c r="B289" s="319"/>
      <c r="C289" s="352"/>
      <c r="D289" s="352"/>
      <c r="E289" s="352"/>
      <c r="F289" s="352"/>
      <c r="G289" s="352"/>
      <c r="H289" s="352"/>
      <c r="I289" s="40"/>
      <c r="J289" s="358"/>
      <c r="K289" s="360"/>
      <c r="L289" s="40"/>
      <c r="M289" s="40"/>
      <c r="N289" s="40"/>
      <c r="O289" s="362"/>
    </row>
    <row r="290" spans="1:15" x14ac:dyDescent="0.25">
      <c r="A290" s="85"/>
      <c r="B290" s="319"/>
      <c r="C290" s="352"/>
      <c r="D290" s="352"/>
      <c r="E290" s="352"/>
      <c r="F290" s="352"/>
      <c r="G290" s="352"/>
      <c r="H290" s="352"/>
      <c r="I290" s="40"/>
      <c r="J290" s="40"/>
      <c r="K290" s="40"/>
      <c r="L290" s="40"/>
      <c r="M290" s="40"/>
      <c r="N290" s="40"/>
      <c r="O290" s="40"/>
    </row>
    <row r="293" spans="1:15" ht="24.6" x14ac:dyDescent="0.25">
      <c r="A293" s="96"/>
      <c r="B293" s="348" t="s">
        <v>287</v>
      </c>
      <c r="C293" s="348"/>
      <c r="D293" s="348"/>
      <c r="E293" s="348"/>
      <c r="F293" s="348"/>
      <c r="G293" s="348"/>
      <c r="H293" s="348"/>
      <c r="I293" s="348"/>
      <c r="J293" s="348"/>
      <c r="K293" s="348"/>
      <c r="L293" s="348"/>
      <c r="M293" s="348"/>
      <c r="N293" s="348"/>
      <c r="O293" s="348"/>
    </row>
    <row r="294" spans="1:15" ht="24.6" x14ac:dyDescent="0.25">
      <c r="A294" s="96"/>
      <c r="B294" s="349"/>
      <c r="C294" s="349"/>
      <c r="D294" s="349"/>
      <c r="E294" s="349"/>
      <c r="F294" s="349"/>
      <c r="G294" s="349"/>
      <c r="H294" s="349"/>
      <c r="I294" s="349"/>
      <c r="J294" s="349"/>
      <c r="K294" s="349"/>
      <c r="L294" s="349"/>
      <c r="M294" s="349"/>
      <c r="N294" s="349"/>
      <c r="O294" s="349"/>
    </row>
    <row r="295" spans="1:15" x14ac:dyDescent="0.25">
      <c r="A295" s="82"/>
      <c r="B295" s="41"/>
      <c r="C295" s="42" t="s">
        <v>66</v>
      </c>
      <c r="D295" s="42" t="s">
        <v>67</v>
      </c>
      <c r="E295" s="42" t="s">
        <v>68</v>
      </c>
      <c r="F295" s="42" t="s">
        <v>69</v>
      </c>
      <c r="G295" s="42" t="s">
        <v>70</v>
      </c>
      <c r="H295" s="42" t="s">
        <v>71</v>
      </c>
      <c r="I295" s="42" t="s">
        <v>72</v>
      </c>
      <c r="J295" s="42" t="s">
        <v>73</v>
      </c>
      <c r="K295" s="42" t="s">
        <v>74</v>
      </c>
      <c r="L295" s="42" t="s">
        <v>75</v>
      </c>
      <c r="M295" s="42" t="s">
        <v>76</v>
      </c>
      <c r="N295" s="42" t="s">
        <v>77</v>
      </c>
      <c r="O295" s="42" t="s">
        <v>236</v>
      </c>
    </row>
    <row r="296" spans="1:15" x14ac:dyDescent="0.25">
      <c r="A296" s="82"/>
      <c r="B296" s="44" t="s">
        <v>381</v>
      </c>
      <c r="C296" s="45">
        <f>'11.My pension value'!$D$7/12</f>
        <v>35611893.330636717</v>
      </c>
      <c r="D296" s="45">
        <f>'11.My pension value'!$D$7/12</f>
        <v>35611893.330636717</v>
      </c>
      <c r="E296" s="45">
        <f>'11.My pension value'!$D$7/12</f>
        <v>35611893.330636717</v>
      </c>
      <c r="F296" s="45">
        <f>'11.My pension value'!$D$7/12</f>
        <v>35611893.330636717</v>
      </c>
      <c r="G296" s="45">
        <f>'11.My pension value'!$D$7/12</f>
        <v>35611893.330636717</v>
      </c>
      <c r="H296" s="45">
        <f>'11.My pension value'!$D$7/12</f>
        <v>35611893.330636717</v>
      </c>
      <c r="I296" s="45">
        <f>'11.My pension value'!$D$7/12</f>
        <v>35611893.330636717</v>
      </c>
      <c r="J296" s="45">
        <f>'11.My pension value'!$D$7/12</f>
        <v>35611893.330636717</v>
      </c>
      <c r="K296" s="45">
        <f>'11.My pension value'!$D$7/12</f>
        <v>35611893.330636717</v>
      </c>
      <c r="L296" s="45">
        <f>'11.My pension value'!$D$7/12</f>
        <v>35611893.330636717</v>
      </c>
      <c r="M296" s="45">
        <f>'11.My pension value'!$D$7/12</f>
        <v>35611893.330636717</v>
      </c>
      <c r="N296" s="45">
        <f>'11.My pension value'!$D$7/12</f>
        <v>35611893.330636717</v>
      </c>
      <c r="O296" s="45" t="s">
        <v>173</v>
      </c>
    </row>
    <row r="297" spans="1:15" x14ac:dyDescent="0.25">
      <c r="A297" s="82"/>
      <c r="B297" s="44" t="s">
        <v>382</v>
      </c>
      <c r="C297" s="45">
        <f>'10.2. Wife''s retirement salary'!$O$10</f>
        <v>30571553.146033701</v>
      </c>
      <c r="D297" s="45">
        <f>'10.2. Wife''s retirement salary'!$O$10</f>
        <v>30571553.146033701</v>
      </c>
      <c r="E297" s="45">
        <f>'10.2. Wife''s retirement salary'!$O$10</f>
        <v>30571553.146033701</v>
      </c>
      <c r="F297" s="45">
        <f>'10.2. Wife''s retirement salary'!$O$10</f>
        <v>30571553.146033701</v>
      </c>
      <c r="G297" s="45">
        <f>'10.2. Wife''s retirement salary'!$O$10</f>
        <v>30571553.146033701</v>
      </c>
      <c r="H297" s="45">
        <f>'10.2. Wife''s retirement salary'!$O$10</f>
        <v>30571553.146033701</v>
      </c>
      <c r="I297" s="45">
        <f>'10.2. Wife''s retirement salary'!$O$10</f>
        <v>30571553.146033701</v>
      </c>
      <c r="J297" s="45">
        <f>'10.2. Wife''s retirement salary'!$O$10</f>
        <v>30571553.146033701</v>
      </c>
      <c r="K297" s="45">
        <f>'10.2. Wife''s retirement salary'!$O$10</f>
        <v>30571553.146033701</v>
      </c>
      <c r="L297" s="45">
        <f>'10.2. Wife''s retirement salary'!$O$10</f>
        <v>30571553.146033701</v>
      </c>
      <c r="M297" s="45">
        <f>'10.2. Wife''s retirement salary'!$O$10</f>
        <v>30571553.146033701</v>
      </c>
      <c r="N297" s="45">
        <f>'10.2. Wife''s retirement salary'!$O$10</f>
        <v>30571553.146033701</v>
      </c>
      <c r="O297" s="45" t="s">
        <v>173</v>
      </c>
    </row>
    <row r="298" spans="1:15" x14ac:dyDescent="0.25">
      <c r="A298" s="82"/>
      <c r="B298" s="46" t="s">
        <v>209</v>
      </c>
      <c r="C298" s="47">
        <f>SUM(C296:C297)</f>
        <v>66183446.476670414</v>
      </c>
      <c r="D298" s="47">
        <f t="shared" ref="D298:J298" si="368">SUM(D296:D297)</f>
        <v>66183446.476670414</v>
      </c>
      <c r="E298" s="47">
        <f t="shared" si="368"/>
        <v>66183446.476670414</v>
      </c>
      <c r="F298" s="47">
        <f t="shared" si="368"/>
        <v>66183446.476670414</v>
      </c>
      <c r="G298" s="47">
        <f t="shared" si="368"/>
        <v>66183446.476670414</v>
      </c>
      <c r="H298" s="47">
        <f t="shared" si="368"/>
        <v>66183446.476670414</v>
      </c>
      <c r="I298" s="47">
        <f t="shared" si="368"/>
        <v>66183446.476670414</v>
      </c>
      <c r="J298" s="47">
        <f t="shared" si="368"/>
        <v>66183446.476670414</v>
      </c>
      <c r="K298" s="47">
        <f>SUM(K296:K297)</f>
        <v>66183446.476670414</v>
      </c>
      <c r="L298" s="47">
        <f t="shared" ref="L298:N298" si="369">SUM(L296:L297)</f>
        <v>66183446.476670414</v>
      </c>
      <c r="M298" s="47">
        <f t="shared" si="369"/>
        <v>66183446.476670414</v>
      </c>
      <c r="N298" s="47">
        <f t="shared" si="369"/>
        <v>66183446.476670414</v>
      </c>
      <c r="O298" s="47">
        <f>SUM(C298:N298)</f>
        <v>794201357.72004473</v>
      </c>
    </row>
    <row r="299" spans="1:15" x14ac:dyDescent="0.25">
      <c r="A299" s="82"/>
      <c r="B299" s="52" t="s">
        <v>78</v>
      </c>
      <c r="C299" s="53" t="s">
        <v>173</v>
      </c>
      <c r="D299" s="53" t="s">
        <v>173</v>
      </c>
      <c r="E299" s="53" t="s">
        <v>173</v>
      </c>
      <c r="F299" s="53" t="s">
        <v>173</v>
      </c>
      <c r="G299" s="53" t="s">
        <v>173</v>
      </c>
      <c r="H299" s="53" t="s">
        <v>173</v>
      </c>
      <c r="I299" s="53" t="s">
        <v>173</v>
      </c>
      <c r="J299" s="53" t="s">
        <v>173</v>
      </c>
      <c r="K299" s="53" t="s">
        <v>173</v>
      </c>
      <c r="L299" s="53" t="s">
        <v>173</v>
      </c>
      <c r="M299" s="53" t="s">
        <v>173</v>
      </c>
      <c r="N299" s="53" t="s">
        <v>173</v>
      </c>
      <c r="O299" s="91" t="s">
        <v>173</v>
      </c>
    </row>
    <row r="300" spans="1:15" x14ac:dyDescent="0.25">
      <c r="A300" s="82"/>
      <c r="B300" s="48" t="s">
        <v>79</v>
      </c>
      <c r="C300" s="54" t="s">
        <v>173</v>
      </c>
      <c r="D300" s="54" t="s">
        <v>173</v>
      </c>
      <c r="E300" s="54" t="s">
        <v>173</v>
      </c>
      <c r="F300" s="54" t="s">
        <v>173</v>
      </c>
      <c r="G300" s="54" t="s">
        <v>173</v>
      </c>
      <c r="H300" s="54" t="s">
        <v>173</v>
      </c>
      <c r="I300" s="54" t="s">
        <v>173</v>
      </c>
      <c r="J300" s="54" t="s">
        <v>173</v>
      </c>
      <c r="K300" s="54" t="s">
        <v>173</v>
      </c>
      <c r="L300" s="54" t="s">
        <v>173</v>
      </c>
      <c r="M300" s="54" t="s">
        <v>173</v>
      </c>
      <c r="N300" s="54" t="s">
        <v>173</v>
      </c>
      <c r="O300" s="91" t="s">
        <v>173</v>
      </c>
    </row>
    <row r="301" spans="1:15" x14ac:dyDescent="0.25">
      <c r="A301" s="83"/>
      <c r="B301" s="49" t="s">
        <v>195</v>
      </c>
      <c r="C301" s="50">
        <f>C269*(1+$K$62)</f>
        <v>771035.18995290517</v>
      </c>
      <c r="D301" s="50">
        <v>0</v>
      </c>
      <c r="E301" s="50">
        <v>0</v>
      </c>
      <c r="F301" s="50">
        <v>0</v>
      </c>
      <c r="G301" s="50">
        <v>0</v>
      </c>
      <c r="H301" s="50">
        <v>0</v>
      </c>
      <c r="I301" s="50">
        <v>0</v>
      </c>
      <c r="J301" s="50">
        <v>0</v>
      </c>
      <c r="K301" s="50">
        <v>0</v>
      </c>
      <c r="L301" s="50">
        <v>0</v>
      </c>
      <c r="M301" s="50">
        <v>0</v>
      </c>
      <c r="N301" s="50">
        <v>0</v>
      </c>
      <c r="O301" s="90">
        <f t="shared" ref="O301:O304" si="370">SUM(C301:N301)</f>
        <v>771035.18995290517</v>
      </c>
    </row>
    <row r="302" spans="1:15" x14ac:dyDescent="0.25">
      <c r="A302" s="82"/>
      <c r="B302" s="51" t="s">
        <v>178</v>
      </c>
      <c r="C302" s="50">
        <f>C270*(1+$K$62)</f>
        <v>5841175.6814614041</v>
      </c>
      <c r="D302" s="50">
        <f t="shared" ref="D302:N302" si="371">D270*(1+$K$62)</f>
        <v>5841175.6814614041</v>
      </c>
      <c r="E302" s="50">
        <f t="shared" si="371"/>
        <v>5841175.6814614041</v>
      </c>
      <c r="F302" s="50">
        <f t="shared" si="371"/>
        <v>5841175.6814614041</v>
      </c>
      <c r="G302" s="50">
        <f t="shared" si="371"/>
        <v>5841175.6814614041</v>
      </c>
      <c r="H302" s="50">
        <f t="shared" si="371"/>
        <v>5841175.6814614041</v>
      </c>
      <c r="I302" s="50">
        <f t="shared" si="371"/>
        <v>5841175.6814614041</v>
      </c>
      <c r="J302" s="50">
        <f t="shared" si="371"/>
        <v>5841175.6814614041</v>
      </c>
      <c r="K302" s="50">
        <f t="shared" si="371"/>
        <v>5841175.6814614041</v>
      </c>
      <c r="L302" s="50">
        <f t="shared" si="371"/>
        <v>5841175.6814614041</v>
      </c>
      <c r="M302" s="50">
        <f t="shared" si="371"/>
        <v>5841175.6814614041</v>
      </c>
      <c r="N302" s="50">
        <f t="shared" si="371"/>
        <v>5841175.6814614041</v>
      </c>
      <c r="O302" s="90">
        <f t="shared" si="370"/>
        <v>70094108.17753683</v>
      </c>
    </row>
    <row r="303" spans="1:15" x14ac:dyDescent="0.25">
      <c r="A303" s="84"/>
      <c r="B303" s="51" t="s">
        <v>248</v>
      </c>
      <c r="C303" s="50">
        <f>C271*(1+$K$62)</f>
        <v>700941.08177536854</v>
      </c>
      <c r="D303" s="50">
        <f t="shared" ref="D303:N303" si="372">D271*(1+$K$62)</f>
        <v>700941.08177536854</v>
      </c>
      <c r="E303" s="50">
        <f t="shared" si="372"/>
        <v>700941.08177536854</v>
      </c>
      <c r="F303" s="50">
        <f t="shared" si="372"/>
        <v>700941.08177536854</v>
      </c>
      <c r="G303" s="50">
        <f t="shared" si="372"/>
        <v>700941.08177536854</v>
      </c>
      <c r="H303" s="50">
        <f t="shared" si="372"/>
        <v>700941.08177536854</v>
      </c>
      <c r="I303" s="50">
        <f t="shared" si="372"/>
        <v>700941.08177536854</v>
      </c>
      <c r="J303" s="50">
        <f t="shared" si="372"/>
        <v>700941.08177536854</v>
      </c>
      <c r="K303" s="50">
        <f t="shared" si="372"/>
        <v>700941.08177536854</v>
      </c>
      <c r="L303" s="50">
        <f t="shared" si="372"/>
        <v>700941.08177536854</v>
      </c>
      <c r="M303" s="50">
        <f t="shared" si="372"/>
        <v>700941.08177536854</v>
      </c>
      <c r="N303" s="50">
        <f t="shared" si="372"/>
        <v>700941.08177536854</v>
      </c>
      <c r="O303" s="90">
        <f t="shared" si="370"/>
        <v>8411292.9813044202</v>
      </c>
    </row>
    <row r="304" spans="1:15" x14ac:dyDescent="0.25">
      <c r="A304" s="82"/>
      <c r="B304" s="46" t="s">
        <v>207</v>
      </c>
      <c r="C304" s="47">
        <f t="shared" ref="C304" si="373">SUM(C301:C303)</f>
        <v>7313151.9531896776</v>
      </c>
      <c r="D304" s="47">
        <f t="shared" ref="D304" si="374">SUM(D301:D303)</f>
        <v>6542116.7632367723</v>
      </c>
      <c r="E304" s="47">
        <f t="shared" ref="E304" si="375">SUM(E301:E303)</f>
        <v>6542116.7632367723</v>
      </c>
      <c r="F304" s="47">
        <f t="shared" ref="F304" si="376">SUM(F301:F303)</f>
        <v>6542116.7632367723</v>
      </c>
      <c r="G304" s="47">
        <f t="shared" ref="G304" si="377">SUM(G301:G303)</f>
        <v>6542116.7632367723</v>
      </c>
      <c r="H304" s="47">
        <f t="shared" ref="H304" si="378">SUM(H301:H303)</f>
        <v>6542116.7632367723</v>
      </c>
      <c r="I304" s="47">
        <f t="shared" ref="I304" si="379">SUM(I301:I303)</f>
        <v>6542116.7632367723</v>
      </c>
      <c r="J304" s="47">
        <f t="shared" ref="J304" si="380">SUM(J301:J303)</f>
        <v>6542116.7632367723</v>
      </c>
      <c r="K304" s="47">
        <f t="shared" ref="K304" si="381">SUM(K301:K303)</f>
        <v>6542116.7632367723</v>
      </c>
      <c r="L304" s="47">
        <f t="shared" ref="L304" si="382">SUM(L301:L303)</f>
        <v>6542116.7632367723</v>
      </c>
      <c r="M304" s="47">
        <f t="shared" ref="M304" si="383">SUM(M301:M303)</f>
        <v>6542116.7632367723</v>
      </c>
      <c r="N304" s="47">
        <f t="shared" ref="N304" si="384">SUM(N301:N303)</f>
        <v>6542116.7632367723</v>
      </c>
      <c r="O304" s="47">
        <f t="shared" si="370"/>
        <v>79276436.348794192</v>
      </c>
    </row>
    <row r="305" spans="1:25" x14ac:dyDescent="0.25">
      <c r="A305" s="82"/>
      <c r="B305" s="55" t="s">
        <v>83</v>
      </c>
      <c r="C305" s="59" t="s">
        <v>173</v>
      </c>
      <c r="D305" s="59" t="s">
        <v>173</v>
      </c>
      <c r="E305" s="59" t="s">
        <v>173</v>
      </c>
      <c r="F305" s="59" t="s">
        <v>173</v>
      </c>
      <c r="G305" s="59" t="s">
        <v>173</v>
      </c>
      <c r="H305" s="59" t="s">
        <v>173</v>
      </c>
      <c r="I305" s="59" t="s">
        <v>173</v>
      </c>
      <c r="J305" s="59" t="s">
        <v>173</v>
      </c>
      <c r="K305" s="59" t="s">
        <v>173</v>
      </c>
      <c r="L305" s="59" t="s">
        <v>173</v>
      </c>
      <c r="M305" s="59" t="s">
        <v>173</v>
      </c>
      <c r="N305" s="59" t="s">
        <v>173</v>
      </c>
      <c r="O305" s="91" t="s">
        <v>173</v>
      </c>
    </row>
    <row r="306" spans="1:25" x14ac:dyDescent="0.25">
      <c r="A306" s="82"/>
      <c r="B306" s="57" t="s">
        <v>210</v>
      </c>
      <c r="C306" s="89">
        <f t="shared" ref="C306:N306" si="385">C274*(1+$K$95)</f>
        <v>3866858.301127451</v>
      </c>
      <c r="D306" s="89">
        <f t="shared" si="385"/>
        <v>4661258.1938062012</v>
      </c>
      <c r="E306" s="89">
        <f t="shared" si="385"/>
        <v>4299105.3015555916</v>
      </c>
      <c r="F306" s="89">
        <f t="shared" si="385"/>
        <v>4018728.8688454479</v>
      </c>
      <c r="G306" s="89">
        <f t="shared" si="385"/>
        <v>3691623.0306836073</v>
      </c>
      <c r="H306" s="89">
        <f t="shared" si="385"/>
        <v>4626211.1397174336</v>
      </c>
      <c r="I306" s="89">
        <f t="shared" si="385"/>
        <v>5397246.329670337</v>
      </c>
      <c r="J306" s="89">
        <f t="shared" si="385"/>
        <v>5175281.6537748044</v>
      </c>
      <c r="K306" s="89">
        <f t="shared" si="385"/>
        <v>3995364.1661196002</v>
      </c>
      <c r="L306" s="89">
        <f t="shared" si="385"/>
        <v>4100505.3283859068</v>
      </c>
      <c r="M306" s="89">
        <f t="shared" si="385"/>
        <v>3901905.3552162186</v>
      </c>
      <c r="N306" s="89">
        <f t="shared" si="385"/>
        <v>4217328.8420151323</v>
      </c>
      <c r="O306" s="92">
        <f t="shared" ref="O306:O314" si="386">SUM(C306:N306)</f>
        <v>51951416.510917723</v>
      </c>
    </row>
    <row r="307" spans="1:25" x14ac:dyDescent="0.25">
      <c r="A307" s="82"/>
      <c r="B307" s="57" t="s">
        <v>203</v>
      </c>
      <c r="C307" s="89">
        <f t="shared" ref="C307:N307" si="387">C275*(1+$K$95)</f>
        <v>13960409.878692754</v>
      </c>
      <c r="D307" s="89">
        <f t="shared" si="387"/>
        <v>15035186.20408166</v>
      </c>
      <c r="E307" s="89">
        <f t="shared" si="387"/>
        <v>16857633.016697619</v>
      </c>
      <c r="F307" s="89">
        <f t="shared" si="387"/>
        <v>12780492.391037561</v>
      </c>
      <c r="G307" s="89">
        <f t="shared" si="387"/>
        <v>17009503.584415615</v>
      </c>
      <c r="H307" s="89">
        <f t="shared" si="387"/>
        <v>16028186.069930093</v>
      </c>
      <c r="I307" s="89">
        <f t="shared" si="387"/>
        <v>14708080.365919825</v>
      </c>
      <c r="J307" s="89">
        <f t="shared" si="387"/>
        <v>17488479.990295447</v>
      </c>
      <c r="K307" s="89">
        <f t="shared" si="387"/>
        <v>17091280.043956067</v>
      </c>
      <c r="L307" s="89">
        <f t="shared" si="387"/>
        <v>17091280.043956067</v>
      </c>
      <c r="M307" s="89">
        <f t="shared" si="387"/>
        <v>13282833.499643242</v>
      </c>
      <c r="N307" s="89">
        <f t="shared" si="387"/>
        <v>16378656.610817783</v>
      </c>
      <c r="O307" s="92">
        <f t="shared" si="386"/>
        <v>187712021.69944376</v>
      </c>
    </row>
    <row r="308" spans="1:25" x14ac:dyDescent="0.25">
      <c r="A308" s="82"/>
      <c r="B308" s="58" t="s">
        <v>84</v>
      </c>
      <c r="C308" s="89">
        <f t="shared" ref="C308:N308" si="388">C276*(1+$K$95)</f>
        <v>12348245.390609406</v>
      </c>
      <c r="D308" s="89">
        <f t="shared" si="388"/>
        <v>13481433.472812919</v>
      </c>
      <c r="E308" s="89">
        <f t="shared" si="388"/>
        <v>13528162.878264608</v>
      </c>
      <c r="F308" s="89">
        <f t="shared" si="388"/>
        <v>13972092.230055682</v>
      </c>
      <c r="G308" s="89">
        <f t="shared" si="388"/>
        <v>16530527.178535776</v>
      </c>
      <c r="H308" s="89">
        <f t="shared" si="388"/>
        <v>14299198.068217516</v>
      </c>
      <c r="I308" s="89">
        <f t="shared" si="388"/>
        <v>14848268.582274899</v>
      </c>
      <c r="J308" s="89">
        <f t="shared" si="388"/>
        <v>17091280.043956067</v>
      </c>
      <c r="K308" s="89">
        <f t="shared" si="388"/>
        <v>15642668.474953646</v>
      </c>
      <c r="L308" s="89">
        <f t="shared" si="388"/>
        <v>15619303.772227798</v>
      </c>
      <c r="M308" s="89">
        <f t="shared" si="388"/>
        <v>16717444.800342536</v>
      </c>
      <c r="N308" s="89">
        <f t="shared" si="388"/>
        <v>13423021.715998305</v>
      </c>
      <c r="O308" s="92">
        <f t="shared" si="386"/>
        <v>177501646.60824916</v>
      </c>
    </row>
    <row r="309" spans="1:25" x14ac:dyDescent="0.25">
      <c r="A309" s="82"/>
      <c r="B309" s="57" t="s">
        <v>85</v>
      </c>
      <c r="C309" s="89">
        <f t="shared" ref="C309:N309" si="389">C277*(1+$K$95)</f>
        <v>14345927.473669212</v>
      </c>
      <c r="D309" s="89">
        <f t="shared" si="389"/>
        <v>12278151.28243188</v>
      </c>
      <c r="E309" s="89">
        <f t="shared" si="389"/>
        <v>12710398.282860016</v>
      </c>
      <c r="F309" s="89">
        <f t="shared" si="389"/>
        <v>12908998.256029701</v>
      </c>
      <c r="G309" s="89">
        <f t="shared" si="389"/>
        <v>17359974.125303291</v>
      </c>
      <c r="H309" s="89">
        <f t="shared" si="389"/>
        <v>12745445.336948788</v>
      </c>
      <c r="I309" s="89">
        <f t="shared" si="389"/>
        <v>14789856.825460276</v>
      </c>
      <c r="J309" s="89">
        <f t="shared" si="389"/>
        <v>11705716.065648656</v>
      </c>
      <c r="K309" s="89">
        <f t="shared" si="389"/>
        <v>15222103.825888425</v>
      </c>
      <c r="L309" s="89">
        <f t="shared" si="389"/>
        <v>12091233.660625108</v>
      </c>
      <c r="M309" s="89">
        <f t="shared" si="389"/>
        <v>15397339.096332263</v>
      </c>
      <c r="N309" s="89">
        <f t="shared" si="389"/>
        <v>14661350.960468123</v>
      </c>
      <c r="O309" s="92">
        <f t="shared" si="386"/>
        <v>166216495.19166571</v>
      </c>
    </row>
    <row r="310" spans="1:25" x14ac:dyDescent="0.25">
      <c r="A310" s="84"/>
      <c r="B310" s="58" t="s">
        <v>249</v>
      </c>
      <c r="C310" s="89">
        <v>10000000</v>
      </c>
      <c r="D310" s="89">
        <v>10000000</v>
      </c>
      <c r="E310" s="89">
        <v>10000000</v>
      </c>
      <c r="F310" s="89">
        <v>10000000</v>
      </c>
      <c r="G310" s="89">
        <v>10000000</v>
      </c>
      <c r="H310" s="89">
        <v>10000000</v>
      </c>
      <c r="I310" s="89">
        <v>10000000</v>
      </c>
      <c r="J310" s="89">
        <v>10000000</v>
      </c>
      <c r="K310" s="89">
        <v>10000000</v>
      </c>
      <c r="L310" s="89">
        <v>10000000</v>
      </c>
      <c r="M310" s="89">
        <v>10000000</v>
      </c>
      <c r="N310" s="89">
        <v>10000000</v>
      </c>
      <c r="O310" s="92">
        <f t="shared" si="386"/>
        <v>120000000</v>
      </c>
    </row>
    <row r="311" spans="1:25" x14ac:dyDescent="0.25">
      <c r="A311" s="84"/>
      <c r="B311" s="58" t="s">
        <v>180</v>
      </c>
      <c r="C311" s="89">
        <f t="shared" ref="C311:N311" si="390">C279*(1+$K$95)</f>
        <v>11947231.964724516</v>
      </c>
      <c r="D311" s="89">
        <f t="shared" si="390"/>
        <v>10225196.087072862</v>
      </c>
      <c r="E311" s="89">
        <f t="shared" si="390"/>
        <v>10585169.688615859</v>
      </c>
      <c r="F311" s="89">
        <f t="shared" si="390"/>
        <v>10750562.965000479</v>
      </c>
      <c r="G311" s="89">
        <f t="shared" si="390"/>
        <v>14457318.15926761</v>
      </c>
      <c r="H311" s="89">
        <f t="shared" si="390"/>
        <v>10614356.737389622</v>
      </c>
      <c r="I311" s="89">
        <f t="shared" si="390"/>
        <v>12316934.582525436</v>
      </c>
      <c r="J311" s="89">
        <f t="shared" si="390"/>
        <v>9748474.2904348243</v>
      </c>
      <c r="K311" s="89">
        <f t="shared" si="390"/>
        <v>12676908.184068445</v>
      </c>
      <c r="L311" s="89">
        <f t="shared" si="390"/>
        <v>10069531.826946154</v>
      </c>
      <c r="M311" s="89">
        <f t="shared" si="390"/>
        <v>12822843.427937226</v>
      </c>
      <c r="N311" s="89">
        <f t="shared" si="390"/>
        <v>12209915.403688326</v>
      </c>
      <c r="O311" s="92">
        <f t="shared" si="386"/>
        <v>138424443.31767136</v>
      </c>
    </row>
    <row r="312" spans="1:25" x14ac:dyDescent="0.25">
      <c r="A312" s="84"/>
      <c r="B312" s="58" t="s">
        <v>86</v>
      </c>
      <c r="C312" s="89">
        <f t="shared" ref="C312:N312" si="391">C280*(1+$K$95)</f>
        <v>10605087.06700936</v>
      </c>
      <c r="D312" s="89">
        <f t="shared" si="391"/>
        <v>10605087.06700936</v>
      </c>
      <c r="E312" s="89">
        <f t="shared" si="391"/>
        <v>10605087.06700936</v>
      </c>
      <c r="F312" s="89">
        <f t="shared" si="391"/>
        <v>10605087.06700936</v>
      </c>
      <c r="G312" s="89">
        <f t="shared" si="391"/>
        <v>10605087.06700936</v>
      </c>
      <c r="H312" s="89">
        <f t="shared" si="391"/>
        <v>10605087.06700936</v>
      </c>
      <c r="I312" s="89">
        <f t="shared" si="391"/>
        <v>10605087.06700936</v>
      </c>
      <c r="J312" s="89">
        <f t="shared" si="391"/>
        <v>10605087.06700936</v>
      </c>
      <c r="K312" s="89">
        <f t="shared" si="391"/>
        <v>10605087.06700936</v>
      </c>
      <c r="L312" s="89">
        <f t="shared" si="391"/>
        <v>10605087.06700936</v>
      </c>
      <c r="M312" s="89">
        <f t="shared" si="391"/>
        <v>10605087.06700936</v>
      </c>
      <c r="N312" s="89">
        <f t="shared" si="391"/>
        <v>10605087.06700936</v>
      </c>
      <c r="O312" s="92">
        <f t="shared" si="386"/>
        <v>127261044.80411232</v>
      </c>
    </row>
    <row r="313" spans="1:25" x14ac:dyDescent="0.25">
      <c r="A313" s="82"/>
      <c r="B313" s="46" t="s">
        <v>208</v>
      </c>
      <c r="C313" s="47">
        <f t="shared" ref="C313:N313" si="392">SUM(C306:C312)</f>
        <v>77073760.075832695</v>
      </c>
      <c r="D313" s="47">
        <f t="shared" si="392"/>
        <v>76286312.307214886</v>
      </c>
      <c r="E313" s="47">
        <f t="shared" si="392"/>
        <v>78585556.235003054</v>
      </c>
      <c r="F313" s="47">
        <f t="shared" si="392"/>
        <v>75035961.777978241</v>
      </c>
      <c r="G313" s="47">
        <f t="shared" si="392"/>
        <v>89654033.145215258</v>
      </c>
      <c r="H313" s="47">
        <f t="shared" si="392"/>
        <v>78918484.419212818</v>
      </c>
      <c r="I313" s="47">
        <f t="shared" si="392"/>
        <v>82665473.752860129</v>
      </c>
      <c r="J313" s="47">
        <f t="shared" si="392"/>
        <v>81814319.111119166</v>
      </c>
      <c r="K313" s="47">
        <f t="shared" si="392"/>
        <v>85233411.761995539</v>
      </c>
      <c r="L313" s="47">
        <f t="shared" si="392"/>
        <v>79576941.699150383</v>
      </c>
      <c r="M313" s="47">
        <f t="shared" si="392"/>
        <v>82727453.246480837</v>
      </c>
      <c r="N313" s="47">
        <f t="shared" si="392"/>
        <v>81495360.599997029</v>
      </c>
      <c r="O313" s="47">
        <f t="shared" si="386"/>
        <v>969067068.13206017</v>
      </c>
    </row>
    <row r="314" spans="1:25" x14ac:dyDescent="0.25">
      <c r="A314" s="82"/>
      <c r="B314" s="60" t="s">
        <v>87</v>
      </c>
      <c r="C314" s="47">
        <f t="shared" ref="C314:N314" si="393">C304+C313</f>
        <v>84386912.029022366</v>
      </c>
      <c r="D314" s="47">
        <f t="shared" si="393"/>
        <v>82828429.070451662</v>
      </c>
      <c r="E314" s="47">
        <f t="shared" si="393"/>
        <v>85127672.99823983</v>
      </c>
      <c r="F314" s="47">
        <f t="shared" si="393"/>
        <v>81578078.541215017</v>
      </c>
      <c r="G314" s="47">
        <f t="shared" si="393"/>
        <v>96196149.908452034</v>
      </c>
      <c r="H314" s="47">
        <f t="shared" si="393"/>
        <v>85460601.182449594</v>
      </c>
      <c r="I314" s="47">
        <f t="shared" si="393"/>
        <v>89207590.516096905</v>
      </c>
      <c r="J314" s="47">
        <f t="shared" si="393"/>
        <v>88356435.874355942</v>
      </c>
      <c r="K314" s="47">
        <f t="shared" si="393"/>
        <v>91775528.525232315</v>
      </c>
      <c r="L314" s="47">
        <f t="shared" si="393"/>
        <v>86119058.462387159</v>
      </c>
      <c r="M314" s="47">
        <f t="shared" si="393"/>
        <v>89269570.009717613</v>
      </c>
      <c r="N314" s="47">
        <f t="shared" si="393"/>
        <v>88037477.363233805</v>
      </c>
      <c r="O314" s="47">
        <f t="shared" si="386"/>
        <v>1048343504.4808542</v>
      </c>
    </row>
    <row r="315" spans="1:25" s="11" customFormat="1" x14ac:dyDescent="0.25">
      <c r="A315" s="82"/>
      <c r="B315" s="108" t="s">
        <v>204</v>
      </c>
      <c r="C315" s="109">
        <f>$O314*(3/12)/12</f>
        <v>21840489.676684462</v>
      </c>
      <c r="D315" s="109">
        <f t="shared" ref="D315" si="394">$O314*(3/12)/12</f>
        <v>21840489.676684462</v>
      </c>
      <c r="E315" s="109">
        <f t="shared" ref="E315" si="395">$O314*(3/12)/12</f>
        <v>21840489.676684462</v>
      </c>
      <c r="F315" s="109">
        <f t="shared" ref="F315" si="396">$O314*(3/12)/12</f>
        <v>21840489.676684462</v>
      </c>
      <c r="G315" s="109">
        <f t="shared" ref="G315" si="397">$O314*(3/12)/12</f>
        <v>21840489.676684462</v>
      </c>
      <c r="H315" s="109">
        <f t="shared" ref="H315" si="398">$O314*(3/12)/12</f>
        <v>21840489.676684462</v>
      </c>
      <c r="I315" s="109">
        <f t="shared" ref="I315" si="399">$O314*(3/12)/12</f>
        <v>21840489.676684462</v>
      </c>
      <c r="J315" s="109">
        <f t="shared" ref="J315" si="400">$O314*(3/12)/12</f>
        <v>21840489.676684462</v>
      </c>
      <c r="K315" s="109">
        <f t="shared" ref="K315" si="401">$O314*(3/12)/12</f>
        <v>21840489.676684462</v>
      </c>
      <c r="L315" s="109">
        <f t="shared" ref="L315" si="402">$O314*(3/12)/12</f>
        <v>21840489.676684462</v>
      </c>
      <c r="M315" s="109">
        <f t="shared" ref="M315" si="403">$O314*(3/12)/12</f>
        <v>21840489.676684462</v>
      </c>
      <c r="N315" s="109">
        <f>$O314*(3/12)/12</f>
        <v>21840489.676684462</v>
      </c>
      <c r="O315" s="109">
        <f t="shared" ref="O315:O317" si="404">SUM(C315:N315)</f>
        <v>262085876.1202136</v>
      </c>
      <c r="P315" s="43"/>
      <c r="Q315" s="43"/>
      <c r="R315" s="40"/>
      <c r="S315" s="40"/>
      <c r="T315" s="40"/>
      <c r="U315" s="40"/>
      <c r="V315" s="40"/>
      <c r="W315" s="40"/>
      <c r="X315" s="40"/>
      <c r="Y315" s="40"/>
    </row>
    <row r="316" spans="1:25" s="11" customFormat="1" x14ac:dyDescent="0.25">
      <c r="A316" s="82"/>
      <c r="B316" s="108" t="s">
        <v>386</v>
      </c>
      <c r="C316" s="109">
        <f>C284*(1+$K$192)</f>
        <v>6402134.7842094554</v>
      </c>
      <c r="D316" s="109">
        <v>0</v>
      </c>
      <c r="E316" s="109">
        <v>0</v>
      </c>
      <c r="F316" s="109">
        <v>0</v>
      </c>
      <c r="G316" s="109">
        <v>0</v>
      </c>
      <c r="H316" s="109">
        <v>0</v>
      </c>
      <c r="I316" s="109">
        <v>0</v>
      </c>
      <c r="J316" s="109">
        <v>0</v>
      </c>
      <c r="K316" s="109">
        <v>0</v>
      </c>
      <c r="L316" s="109">
        <v>0</v>
      </c>
      <c r="M316" s="109">
        <v>0</v>
      </c>
      <c r="N316" s="109">
        <v>0</v>
      </c>
      <c r="O316" s="109">
        <f t="shared" si="404"/>
        <v>6402134.7842094554</v>
      </c>
      <c r="P316" s="43"/>
      <c r="Q316" s="43"/>
      <c r="R316" s="40"/>
      <c r="S316" s="40"/>
      <c r="T316" s="40"/>
      <c r="U316" s="40"/>
      <c r="V316" s="40"/>
      <c r="W316" s="40"/>
      <c r="X316" s="40"/>
      <c r="Y316" s="40"/>
    </row>
    <row r="317" spans="1:25" s="11" customFormat="1" x14ac:dyDescent="0.25">
      <c r="A317" s="82"/>
      <c r="B317" s="60" t="s">
        <v>206</v>
      </c>
      <c r="C317" s="61">
        <f>C298-C314-C315-C316</f>
        <v>-46446090.013245866</v>
      </c>
      <c r="D317" s="61">
        <f t="shared" ref="D317" si="405">D298-D314-D315-D316</f>
        <v>-38485472.270465709</v>
      </c>
      <c r="E317" s="61">
        <f t="shared" ref="E317" si="406">E298-E314-E315-E316</f>
        <v>-40784716.198253877</v>
      </c>
      <c r="F317" s="61">
        <f t="shared" ref="F317" si="407">F298-F314-F315-F316</f>
        <v>-37235121.741229065</v>
      </c>
      <c r="G317" s="61">
        <f t="shared" ref="G317" si="408">G298-G314-G315-G316</f>
        <v>-51853193.108466081</v>
      </c>
      <c r="H317" s="61">
        <f t="shared" ref="H317" si="409">H298-H314-H315-H316</f>
        <v>-41117644.382463641</v>
      </c>
      <c r="I317" s="61">
        <f t="shared" ref="I317" si="410">I298-I314-I315-I316</f>
        <v>-44864633.716110952</v>
      </c>
      <c r="J317" s="61">
        <f t="shared" ref="J317" si="411">J298-J314-J315-J316</f>
        <v>-44013479.074369989</v>
      </c>
      <c r="K317" s="61">
        <f t="shared" ref="K317" si="412">K298-K314-K315-K316</f>
        <v>-47432571.725246362</v>
      </c>
      <c r="L317" s="61">
        <f t="shared" ref="L317" si="413">L298-L314-L315-L316</f>
        <v>-41776101.662401207</v>
      </c>
      <c r="M317" s="61">
        <f t="shared" ref="M317" si="414">M298-M314-M315-M316</f>
        <v>-44926613.209731661</v>
      </c>
      <c r="N317" s="61">
        <f t="shared" ref="N317" si="415">N298-N314-N315-N316</f>
        <v>-43694520.563247852</v>
      </c>
      <c r="O317" s="47">
        <f t="shared" si="404"/>
        <v>-522630157.66523224</v>
      </c>
      <c r="P317" s="43"/>
      <c r="Q317" s="43"/>
      <c r="R317" s="40"/>
      <c r="S317" s="40"/>
      <c r="T317" s="40"/>
      <c r="U317" s="40"/>
      <c r="V317" s="40"/>
      <c r="W317" s="40"/>
      <c r="X317" s="40"/>
      <c r="Y317" s="40"/>
    </row>
    <row r="318" spans="1:25" x14ac:dyDescent="0.25">
      <c r="A318" s="85"/>
      <c r="B318" s="40"/>
      <c r="C318" s="40"/>
      <c r="D318" s="40"/>
      <c r="E318" s="40"/>
      <c r="F318" s="40"/>
      <c r="G318" s="40"/>
      <c r="H318" s="40"/>
      <c r="I318" s="40"/>
      <c r="J318" s="40"/>
      <c r="K318" s="40"/>
      <c r="L318" s="353" t="s">
        <v>217</v>
      </c>
      <c r="M318" s="354"/>
      <c r="N318" s="350">
        <f>SUM(C317:N317)+N286</f>
        <v>19540556472.766453</v>
      </c>
      <c r="O318" s="40"/>
    </row>
    <row r="319" spans="1:25" x14ac:dyDescent="0.25">
      <c r="A319" s="85"/>
      <c r="B319" s="40"/>
      <c r="C319" s="40"/>
      <c r="D319" s="40"/>
      <c r="E319" s="40"/>
      <c r="F319" s="40"/>
      <c r="G319" s="40"/>
      <c r="H319" s="40"/>
      <c r="I319" s="40"/>
      <c r="J319" s="40"/>
      <c r="K319" s="40"/>
      <c r="L319" s="320"/>
      <c r="M319" s="355"/>
      <c r="N319" s="351"/>
      <c r="O319" s="40"/>
    </row>
    <row r="320" spans="1:25" x14ac:dyDescent="0.25">
      <c r="A320" s="85"/>
      <c r="B320" s="319" t="s">
        <v>632</v>
      </c>
      <c r="C320" s="352" t="s">
        <v>173</v>
      </c>
      <c r="D320" s="352"/>
      <c r="E320" s="352"/>
      <c r="F320" s="352"/>
      <c r="G320" s="352"/>
      <c r="H320" s="352"/>
      <c r="I320" s="40"/>
      <c r="J320" s="358" t="s">
        <v>231</v>
      </c>
      <c r="K320" s="359">
        <v>0.04</v>
      </c>
      <c r="L320" s="40"/>
      <c r="M320" s="40"/>
      <c r="N320" s="40"/>
      <c r="O320" s="361"/>
    </row>
    <row r="321" spans="1:15" x14ac:dyDescent="0.25">
      <c r="A321" s="85"/>
      <c r="B321" s="319"/>
      <c r="C321" s="352"/>
      <c r="D321" s="352"/>
      <c r="E321" s="352"/>
      <c r="F321" s="352"/>
      <c r="G321" s="352"/>
      <c r="H321" s="352"/>
      <c r="I321" s="40"/>
      <c r="J321" s="358"/>
      <c r="K321" s="360"/>
      <c r="L321" s="40"/>
      <c r="M321" s="40"/>
      <c r="N321" s="40"/>
      <c r="O321" s="362"/>
    </row>
    <row r="322" spans="1:15" x14ac:dyDescent="0.25">
      <c r="A322" s="85"/>
      <c r="B322" s="319"/>
      <c r="C322" s="352"/>
      <c r="D322" s="352"/>
      <c r="E322" s="352"/>
      <c r="F322" s="352"/>
      <c r="G322" s="352"/>
      <c r="H322" s="352"/>
      <c r="I322" s="40"/>
      <c r="J322" s="40"/>
      <c r="K322" s="40"/>
      <c r="L322" s="40"/>
      <c r="M322" s="40"/>
      <c r="N322" s="40"/>
      <c r="O322" s="40"/>
    </row>
    <row r="325" spans="1:15" ht="24.6" x14ac:dyDescent="0.25">
      <c r="A325" s="96"/>
      <c r="B325" s="348" t="s">
        <v>288</v>
      </c>
      <c r="C325" s="348"/>
      <c r="D325" s="348"/>
      <c r="E325" s="348"/>
      <c r="F325" s="348"/>
      <c r="G325" s="348"/>
      <c r="H325" s="348"/>
      <c r="I325" s="348"/>
      <c r="J325" s="348"/>
      <c r="K325" s="348"/>
      <c r="L325" s="348"/>
      <c r="M325" s="348"/>
      <c r="N325" s="348"/>
      <c r="O325" s="348"/>
    </row>
    <row r="326" spans="1:15" ht="24.6" x14ac:dyDescent="0.25">
      <c r="A326" s="96"/>
      <c r="B326" s="349"/>
      <c r="C326" s="349"/>
      <c r="D326" s="349"/>
      <c r="E326" s="349"/>
      <c r="F326" s="349"/>
      <c r="G326" s="349"/>
      <c r="H326" s="349"/>
      <c r="I326" s="349"/>
      <c r="J326" s="349"/>
      <c r="K326" s="349"/>
      <c r="L326" s="349"/>
      <c r="M326" s="349"/>
      <c r="N326" s="349"/>
      <c r="O326" s="349"/>
    </row>
    <row r="327" spans="1:15" x14ac:dyDescent="0.25">
      <c r="A327" s="82"/>
      <c r="B327" s="41"/>
      <c r="C327" s="42" t="s">
        <v>66</v>
      </c>
      <c r="D327" s="42" t="s">
        <v>67</v>
      </c>
      <c r="E327" s="42" t="s">
        <v>68</v>
      </c>
      <c r="F327" s="42" t="s">
        <v>69</v>
      </c>
      <c r="G327" s="42" t="s">
        <v>70</v>
      </c>
      <c r="H327" s="42" t="s">
        <v>71</v>
      </c>
      <c r="I327" s="42" t="s">
        <v>72</v>
      </c>
      <c r="J327" s="42" t="s">
        <v>73</v>
      </c>
      <c r="K327" s="42" t="s">
        <v>74</v>
      </c>
      <c r="L327" s="42" t="s">
        <v>75</v>
      </c>
      <c r="M327" s="42" t="s">
        <v>76</v>
      </c>
      <c r="N327" s="42" t="s">
        <v>77</v>
      </c>
      <c r="O327" s="42" t="s">
        <v>236</v>
      </c>
    </row>
    <row r="328" spans="1:15" x14ac:dyDescent="0.25">
      <c r="A328" s="82"/>
      <c r="B328" s="44" t="s">
        <v>381</v>
      </c>
      <c r="C328" s="45">
        <f>'11.My pension value'!$D$8/12</f>
        <v>35611893.330636717</v>
      </c>
      <c r="D328" s="45">
        <f>'11.My pension value'!$D$8/12</f>
        <v>35611893.330636717</v>
      </c>
      <c r="E328" s="45">
        <f>'11.My pension value'!$D$8/12</f>
        <v>35611893.330636717</v>
      </c>
      <c r="F328" s="45">
        <f>'11.My pension value'!$D$8/12</f>
        <v>35611893.330636717</v>
      </c>
      <c r="G328" s="45">
        <f>'11.My pension value'!$D$8/12</f>
        <v>35611893.330636717</v>
      </c>
      <c r="H328" s="45">
        <f>'11.My pension value'!$D$8/12</f>
        <v>35611893.330636717</v>
      </c>
      <c r="I328" s="45">
        <f>'11.My pension value'!$D$8/12</f>
        <v>35611893.330636717</v>
      </c>
      <c r="J328" s="45">
        <f>'11.My pension value'!$D$8/12</f>
        <v>35611893.330636717</v>
      </c>
      <c r="K328" s="45">
        <f>'11.My pension value'!$D$8/12</f>
        <v>35611893.330636717</v>
      </c>
      <c r="L328" s="45">
        <f>'11.My pension value'!$D$8/12</f>
        <v>35611893.330636717</v>
      </c>
      <c r="M328" s="45">
        <f>'11.My pension value'!$D$8/12</f>
        <v>35611893.330636717</v>
      </c>
      <c r="N328" s="45">
        <f>'11.My pension value'!$D$8/12</f>
        <v>35611893.330636717</v>
      </c>
      <c r="O328" s="45" t="s">
        <v>173</v>
      </c>
    </row>
    <row r="329" spans="1:15" x14ac:dyDescent="0.25">
      <c r="A329" s="82"/>
      <c r="B329" s="44" t="s">
        <v>382</v>
      </c>
      <c r="C329" s="45">
        <f>'10.2. Wife''s retirement salary'!$O$10</f>
        <v>30571553.146033701</v>
      </c>
      <c r="D329" s="45">
        <f>'10.2. Wife''s retirement salary'!$O$10</f>
        <v>30571553.146033701</v>
      </c>
      <c r="E329" s="45">
        <f>'10.2. Wife''s retirement salary'!$O$10</f>
        <v>30571553.146033701</v>
      </c>
      <c r="F329" s="45">
        <f>'10.2. Wife''s retirement salary'!$O$10</f>
        <v>30571553.146033701</v>
      </c>
      <c r="G329" s="45">
        <f>'10.2. Wife''s retirement salary'!$O$10</f>
        <v>30571553.146033701</v>
      </c>
      <c r="H329" s="45">
        <f>'10.2. Wife''s retirement salary'!$O$10</f>
        <v>30571553.146033701</v>
      </c>
      <c r="I329" s="45">
        <f>'10.2. Wife''s retirement salary'!$O$10</f>
        <v>30571553.146033701</v>
      </c>
      <c r="J329" s="45">
        <f>'10.2. Wife''s retirement salary'!$O$10</f>
        <v>30571553.146033701</v>
      </c>
      <c r="K329" s="45">
        <f>'10.2. Wife''s retirement salary'!$O$10</f>
        <v>30571553.146033701</v>
      </c>
      <c r="L329" s="45">
        <f>'10.2. Wife''s retirement salary'!$O$10</f>
        <v>30571553.146033701</v>
      </c>
      <c r="M329" s="45">
        <f>'10.2. Wife''s retirement salary'!$O$10</f>
        <v>30571553.146033701</v>
      </c>
      <c r="N329" s="45">
        <f>'10.2. Wife''s retirement salary'!$O$10</f>
        <v>30571553.146033701</v>
      </c>
      <c r="O329" s="45" t="s">
        <v>173</v>
      </c>
    </row>
    <row r="330" spans="1:15" x14ac:dyDescent="0.25">
      <c r="A330" s="82"/>
      <c r="B330" s="46" t="s">
        <v>209</v>
      </c>
      <c r="C330" s="47">
        <f>SUM(C328:C329)</f>
        <v>66183446.476670414</v>
      </c>
      <c r="D330" s="47">
        <f t="shared" ref="D330:J330" si="416">SUM(D328:D329)</f>
        <v>66183446.476670414</v>
      </c>
      <c r="E330" s="47">
        <f t="shared" si="416"/>
        <v>66183446.476670414</v>
      </c>
      <c r="F330" s="47">
        <f t="shared" si="416"/>
        <v>66183446.476670414</v>
      </c>
      <c r="G330" s="47">
        <f t="shared" si="416"/>
        <v>66183446.476670414</v>
      </c>
      <c r="H330" s="47">
        <f t="shared" si="416"/>
        <v>66183446.476670414</v>
      </c>
      <c r="I330" s="47">
        <f t="shared" si="416"/>
        <v>66183446.476670414</v>
      </c>
      <c r="J330" s="47">
        <f t="shared" si="416"/>
        <v>66183446.476670414</v>
      </c>
      <c r="K330" s="47">
        <f>SUM(K328:K329)</f>
        <v>66183446.476670414</v>
      </c>
      <c r="L330" s="47">
        <f t="shared" ref="L330:N330" si="417">SUM(L328:L329)</f>
        <v>66183446.476670414</v>
      </c>
      <c r="M330" s="47">
        <f t="shared" si="417"/>
        <v>66183446.476670414</v>
      </c>
      <c r="N330" s="47">
        <f t="shared" si="417"/>
        <v>66183446.476670414</v>
      </c>
      <c r="O330" s="47">
        <f>SUM(C330:N330)</f>
        <v>794201357.72004473</v>
      </c>
    </row>
    <row r="331" spans="1:15" x14ac:dyDescent="0.25">
      <c r="A331" s="82"/>
      <c r="B331" s="52" t="s">
        <v>78</v>
      </c>
      <c r="C331" s="53" t="s">
        <v>173</v>
      </c>
      <c r="D331" s="53" t="s">
        <v>173</v>
      </c>
      <c r="E331" s="53" t="s">
        <v>173</v>
      </c>
      <c r="F331" s="53" t="s">
        <v>173</v>
      </c>
      <c r="G331" s="53" t="s">
        <v>173</v>
      </c>
      <c r="H331" s="53" t="s">
        <v>173</v>
      </c>
      <c r="I331" s="53" t="s">
        <v>173</v>
      </c>
      <c r="J331" s="53" t="s">
        <v>173</v>
      </c>
      <c r="K331" s="53" t="s">
        <v>173</v>
      </c>
      <c r="L331" s="53" t="s">
        <v>173</v>
      </c>
      <c r="M331" s="53" t="s">
        <v>173</v>
      </c>
      <c r="N331" s="53" t="s">
        <v>173</v>
      </c>
      <c r="O331" s="91" t="s">
        <v>173</v>
      </c>
    </row>
    <row r="332" spans="1:15" x14ac:dyDescent="0.25">
      <c r="A332" s="82"/>
      <c r="B332" s="48" t="s">
        <v>79</v>
      </c>
      <c r="C332" s="54" t="s">
        <v>173</v>
      </c>
      <c r="D332" s="54" t="s">
        <v>173</v>
      </c>
      <c r="E332" s="54" t="s">
        <v>173</v>
      </c>
      <c r="F332" s="54" t="s">
        <v>173</v>
      </c>
      <c r="G332" s="54" t="s">
        <v>173</v>
      </c>
      <c r="H332" s="54" t="s">
        <v>173</v>
      </c>
      <c r="I332" s="54" t="s">
        <v>173</v>
      </c>
      <c r="J332" s="54" t="s">
        <v>173</v>
      </c>
      <c r="K332" s="54" t="s">
        <v>173</v>
      </c>
      <c r="L332" s="54" t="s">
        <v>173</v>
      </c>
      <c r="M332" s="54" t="s">
        <v>173</v>
      </c>
      <c r="N332" s="54" t="s">
        <v>173</v>
      </c>
      <c r="O332" s="91" t="s">
        <v>173</v>
      </c>
    </row>
    <row r="333" spans="1:15" x14ac:dyDescent="0.25">
      <c r="A333" s="83"/>
      <c r="B333" s="49" t="s">
        <v>195</v>
      </c>
      <c r="C333" s="50">
        <f>C301*(1+$K$62)</f>
        <v>801876.59755102138</v>
      </c>
      <c r="D333" s="50">
        <v>0</v>
      </c>
      <c r="E333" s="50">
        <v>0</v>
      </c>
      <c r="F333" s="50">
        <v>0</v>
      </c>
      <c r="G333" s="50">
        <v>0</v>
      </c>
      <c r="H333" s="50">
        <v>0</v>
      </c>
      <c r="I333" s="50">
        <v>0</v>
      </c>
      <c r="J333" s="50">
        <v>0</v>
      </c>
      <c r="K333" s="50">
        <v>0</v>
      </c>
      <c r="L333" s="50">
        <v>0</v>
      </c>
      <c r="M333" s="50">
        <v>0</v>
      </c>
      <c r="N333" s="50">
        <v>0</v>
      </c>
      <c r="O333" s="90">
        <f t="shared" ref="O333:O336" si="418">SUM(C333:N333)</f>
        <v>801876.59755102138</v>
      </c>
    </row>
    <row r="334" spans="1:15" x14ac:dyDescent="0.25">
      <c r="A334" s="82"/>
      <c r="B334" s="51" t="s">
        <v>178</v>
      </c>
      <c r="C334" s="50">
        <f>C302*(1+$K$62)</f>
        <v>6074822.7087198608</v>
      </c>
      <c r="D334" s="50">
        <f t="shared" ref="D334:N334" si="419">D302*(1+$K$62)</f>
        <v>6074822.7087198608</v>
      </c>
      <c r="E334" s="50">
        <f t="shared" si="419"/>
        <v>6074822.7087198608</v>
      </c>
      <c r="F334" s="50">
        <f t="shared" si="419"/>
        <v>6074822.7087198608</v>
      </c>
      <c r="G334" s="50">
        <f t="shared" si="419"/>
        <v>6074822.7087198608</v>
      </c>
      <c r="H334" s="50">
        <f t="shared" si="419"/>
        <v>6074822.7087198608</v>
      </c>
      <c r="I334" s="50">
        <f t="shared" si="419"/>
        <v>6074822.7087198608</v>
      </c>
      <c r="J334" s="50">
        <f t="shared" si="419"/>
        <v>6074822.7087198608</v>
      </c>
      <c r="K334" s="50">
        <f t="shared" si="419"/>
        <v>6074822.7087198608</v>
      </c>
      <c r="L334" s="50">
        <f t="shared" si="419"/>
        <v>6074822.7087198608</v>
      </c>
      <c r="M334" s="50">
        <f t="shared" si="419"/>
        <v>6074822.7087198608</v>
      </c>
      <c r="N334" s="50">
        <f t="shared" si="419"/>
        <v>6074822.7087198608</v>
      </c>
      <c r="O334" s="90">
        <f t="shared" si="418"/>
        <v>72897872.504638344</v>
      </c>
    </row>
    <row r="335" spans="1:15" x14ac:dyDescent="0.25">
      <c r="A335" s="84"/>
      <c r="B335" s="51" t="s">
        <v>248</v>
      </c>
      <c r="C335" s="50">
        <f>C303*(1+$K$62)</f>
        <v>728978.72504638333</v>
      </c>
      <c r="D335" s="50">
        <f t="shared" ref="D335:N335" si="420">D303*(1+$K$62)</f>
        <v>728978.72504638333</v>
      </c>
      <c r="E335" s="50">
        <f t="shared" si="420"/>
        <v>728978.72504638333</v>
      </c>
      <c r="F335" s="50">
        <f t="shared" si="420"/>
        <v>728978.72504638333</v>
      </c>
      <c r="G335" s="50">
        <f t="shared" si="420"/>
        <v>728978.72504638333</v>
      </c>
      <c r="H335" s="50">
        <f t="shared" si="420"/>
        <v>728978.72504638333</v>
      </c>
      <c r="I335" s="50">
        <f t="shared" si="420"/>
        <v>728978.72504638333</v>
      </c>
      <c r="J335" s="50">
        <f t="shared" si="420"/>
        <v>728978.72504638333</v>
      </c>
      <c r="K335" s="50">
        <f t="shared" si="420"/>
        <v>728978.72504638333</v>
      </c>
      <c r="L335" s="50">
        <f t="shared" si="420"/>
        <v>728978.72504638333</v>
      </c>
      <c r="M335" s="50">
        <f t="shared" si="420"/>
        <v>728978.72504638333</v>
      </c>
      <c r="N335" s="50">
        <f t="shared" si="420"/>
        <v>728978.72504638333</v>
      </c>
      <c r="O335" s="90">
        <f t="shared" si="418"/>
        <v>8747744.7005566005</v>
      </c>
    </row>
    <row r="336" spans="1:15" x14ac:dyDescent="0.25">
      <c r="A336" s="82"/>
      <c r="B336" s="46" t="s">
        <v>207</v>
      </c>
      <c r="C336" s="47">
        <f t="shared" ref="C336" si="421">SUM(C333:C335)</f>
        <v>7605678.0313172657</v>
      </c>
      <c r="D336" s="47">
        <f t="shared" ref="D336" si="422">SUM(D333:D335)</f>
        <v>6803801.433766244</v>
      </c>
      <c r="E336" s="47">
        <f t="shared" ref="E336" si="423">SUM(E333:E335)</f>
        <v>6803801.433766244</v>
      </c>
      <c r="F336" s="47">
        <f t="shared" ref="F336" si="424">SUM(F333:F335)</f>
        <v>6803801.433766244</v>
      </c>
      <c r="G336" s="47">
        <f t="shared" ref="G336" si="425">SUM(G333:G335)</f>
        <v>6803801.433766244</v>
      </c>
      <c r="H336" s="47">
        <f t="shared" ref="H336" si="426">SUM(H333:H335)</f>
        <v>6803801.433766244</v>
      </c>
      <c r="I336" s="47">
        <f t="shared" ref="I336" si="427">SUM(I333:I335)</f>
        <v>6803801.433766244</v>
      </c>
      <c r="J336" s="47">
        <f t="shared" ref="J336" si="428">SUM(J333:J335)</f>
        <v>6803801.433766244</v>
      </c>
      <c r="K336" s="47">
        <f t="shared" ref="K336" si="429">SUM(K333:K335)</f>
        <v>6803801.433766244</v>
      </c>
      <c r="L336" s="47">
        <f t="shared" ref="L336" si="430">SUM(L333:L335)</f>
        <v>6803801.433766244</v>
      </c>
      <c r="M336" s="47">
        <f t="shared" ref="M336" si="431">SUM(M333:M335)</f>
        <v>6803801.433766244</v>
      </c>
      <c r="N336" s="47">
        <f t="shared" ref="N336" si="432">SUM(N333:N335)</f>
        <v>6803801.433766244</v>
      </c>
      <c r="O336" s="47">
        <f t="shared" si="418"/>
        <v>82447493.802745968</v>
      </c>
    </row>
    <row r="337" spans="1:25" x14ac:dyDescent="0.25">
      <c r="A337" s="82"/>
      <c r="B337" s="55" t="s">
        <v>83</v>
      </c>
      <c r="C337" s="59" t="s">
        <v>173</v>
      </c>
      <c r="D337" s="59" t="s">
        <v>173</v>
      </c>
      <c r="E337" s="59" t="s">
        <v>173</v>
      </c>
      <c r="F337" s="59" t="s">
        <v>173</v>
      </c>
      <c r="G337" s="59" t="s">
        <v>173</v>
      </c>
      <c r="H337" s="59" t="s">
        <v>173</v>
      </c>
      <c r="I337" s="59" t="s">
        <v>173</v>
      </c>
      <c r="J337" s="59" t="s">
        <v>173</v>
      </c>
      <c r="K337" s="59" t="s">
        <v>173</v>
      </c>
      <c r="L337" s="59" t="s">
        <v>173</v>
      </c>
      <c r="M337" s="59" t="s">
        <v>173</v>
      </c>
      <c r="N337" s="59" t="s">
        <v>173</v>
      </c>
      <c r="O337" s="91" t="s">
        <v>173</v>
      </c>
    </row>
    <row r="338" spans="1:25" x14ac:dyDescent="0.25">
      <c r="A338" s="82"/>
      <c r="B338" s="57" t="s">
        <v>210</v>
      </c>
      <c r="C338" s="89">
        <f t="shared" ref="C338:N338" si="433">C306*(1+$K$95)</f>
        <v>4021532.6331725493</v>
      </c>
      <c r="D338" s="89">
        <f t="shared" si="433"/>
        <v>4847708.5215584496</v>
      </c>
      <c r="E338" s="89">
        <f t="shared" si="433"/>
        <v>4471069.5136178154</v>
      </c>
      <c r="F338" s="89">
        <f t="shared" si="433"/>
        <v>4179478.0235992661</v>
      </c>
      <c r="G338" s="89">
        <f t="shared" si="433"/>
        <v>3839287.9519109516</v>
      </c>
      <c r="H338" s="89">
        <f t="shared" si="433"/>
        <v>4811259.5853061313</v>
      </c>
      <c r="I338" s="89">
        <f t="shared" si="433"/>
        <v>5613136.1828571511</v>
      </c>
      <c r="J338" s="89">
        <f t="shared" si="433"/>
        <v>5382292.9199257968</v>
      </c>
      <c r="K338" s="89">
        <f t="shared" si="433"/>
        <v>4155178.7327643842</v>
      </c>
      <c r="L338" s="89">
        <f t="shared" si="433"/>
        <v>4264525.5415213434</v>
      </c>
      <c r="M338" s="89">
        <f t="shared" si="433"/>
        <v>4057981.5694248676</v>
      </c>
      <c r="N338" s="89">
        <f t="shared" si="433"/>
        <v>4386021.9956957381</v>
      </c>
      <c r="O338" s="92">
        <f t="shared" ref="O338:O346" si="434">SUM(C338:N338)</f>
        <v>54029473.171354443</v>
      </c>
    </row>
    <row r="339" spans="1:25" x14ac:dyDescent="0.25">
      <c r="A339" s="82"/>
      <c r="B339" s="57" t="s">
        <v>203</v>
      </c>
      <c r="C339" s="89">
        <f t="shared" ref="C339:N339" si="435">C307*(1+$K$95)</f>
        <v>14518826.273840465</v>
      </c>
      <c r="D339" s="89">
        <f t="shared" si="435"/>
        <v>15636593.652244927</v>
      </c>
      <c r="E339" s="89">
        <f t="shared" si="435"/>
        <v>17531938.337365523</v>
      </c>
      <c r="F339" s="89">
        <f t="shared" si="435"/>
        <v>13291712.086679064</v>
      </c>
      <c r="G339" s="89">
        <f t="shared" si="435"/>
        <v>17689883.727792241</v>
      </c>
      <c r="H339" s="89">
        <f t="shared" si="435"/>
        <v>16669313.512727298</v>
      </c>
      <c r="I339" s="89">
        <f t="shared" si="435"/>
        <v>15296403.580556618</v>
      </c>
      <c r="J339" s="89">
        <f t="shared" si="435"/>
        <v>18188019.189907268</v>
      </c>
      <c r="K339" s="89">
        <f t="shared" si="435"/>
        <v>17774931.245714311</v>
      </c>
      <c r="L339" s="89">
        <f t="shared" si="435"/>
        <v>17774931.245714311</v>
      </c>
      <c r="M339" s="89">
        <f t="shared" si="435"/>
        <v>13814146.839628972</v>
      </c>
      <c r="N339" s="89">
        <f t="shared" si="435"/>
        <v>17033802.875250496</v>
      </c>
      <c r="O339" s="92">
        <f t="shared" si="434"/>
        <v>195220502.56742147</v>
      </c>
    </row>
    <row r="340" spans="1:25" x14ac:dyDescent="0.25">
      <c r="A340" s="82"/>
      <c r="B340" s="58" t="s">
        <v>84</v>
      </c>
      <c r="C340" s="89">
        <f t="shared" ref="C340:N340" si="436">C308*(1+$K$95)</f>
        <v>12842175.206233783</v>
      </c>
      <c r="D340" s="89">
        <f t="shared" si="436"/>
        <v>14020690.811725436</v>
      </c>
      <c r="E340" s="89">
        <f t="shared" si="436"/>
        <v>14069289.393395193</v>
      </c>
      <c r="F340" s="89">
        <f t="shared" si="436"/>
        <v>14530975.919257911</v>
      </c>
      <c r="G340" s="89">
        <f t="shared" si="436"/>
        <v>17191748.265677206</v>
      </c>
      <c r="H340" s="89">
        <f t="shared" si="436"/>
        <v>14871165.990946217</v>
      </c>
      <c r="I340" s="89">
        <f t="shared" si="436"/>
        <v>15442199.325565895</v>
      </c>
      <c r="J340" s="89">
        <f t="shared" si="436"/>
        <v>17774931.245714311</v>
      </c>
      <c r="K340" s="89">
        <f t="shared" si="436"/>
        <v>16268375.213951793</v>
      </c>
      <c r="L340" s="89">
        <f t="shared" si="436"/>
        <v>16244075.923116909</v>
      </c>
      <c r="M340" s="89">
        <f t="shared" si="436"/>
        <v>17386142.592356239</v>
      </c>
      <c r="N340" s="89">
        <f t="shared" si="436"/>
        <v>13959942.584638238</v>
      </c>
      <c r="O340" s="92">
        <f t="shared" si="434"/>
        <v>184601712.47257912</v>
      </c>
    </row>
    <row r="341" spans="1:25" x14ac:dyDescent="0.25">
      <c r="A341" s="82"/>
      <c r="B341" s="57" t="s">
        <v>85</v>
      </c>
      <c r="C341" s="89">
        <f t="shared" ref="C341:N341" si="437">C309*(1+$K$95)</f>
        <v>14919764.572615981</v>
      </c>
      <c r="D341" s="89">
        <f t="shared" si="437"/>
        <v>12769277.333729155</v>
      </c>
      <c r="E341" s="89">
        <f t="shared" si="437"/>
        <v>13218814.214174418</v>
      </c>
      <c r="F341" s="89">
        <f t="shared" si="437"/>
        <v>13425358.186270889</v>
      </c>
      <c r="G341" s="89">
        <f t="shared" si="437"/>
        <v>18054373.090315424</v>
      </c>
      <c r="H341" s="89">
        <f t="shared" si="437"/>
        <v>13255263.15042674</v>
      </c>
      <c r="I341" s="89">
        <f t="shared" si="437"/>
        <v>15381451.098478688</v>
      </c>
      <c r="J341" s="89">
        <f t="shared" si="437"/>
        <v>12173944.708274603</v>
      </c>
      <c r="K341" s="89">
        <f t="shared" si="437"/>
        <v>15830987.978923963</v>
      </c>
      <c r="L341" s="89">
        <f t="shared" si="437"/>
        <v>12574883.007050112</v>
      </c>
      <c r="M341" s="89">
        <f t="shared" si="437"/>
        <v>16013232.660185555</v>
      </c>
      <c r="N341" s="89">
        <f t="shared" si="437"/>
        <v>15247804.998886848</v>
      </c>
      <c r="O341" s="92">
        <f t="shared" si="434"/>
        <v>172865154.99933237</v>
      </c>
    </row>
    <row r="342" spans="1:25" x14ac:dyDescent="0.25">
      <c r="A342" s="84"/>
      <c r="B342" s="58" t="s">
        <v>249</v>
      </c>
      <c r="C342" s="89">
        <v>10000000</v>
      </c>
      <c r="D342" s="89">
        <v>10000000</v>
      </c>
      <c r="E342" s="89">
        <v>10000000</v>
      </c>
      <c r="F342" s="89">
        <v>10000000</v>
      </c>
      <c r="G342" s="89">
        <v>10000000</v>
      </c>
      <c r="H342" s="89">
        <v>10000000</v>
      </c>
      <c r="I342" s="89">
        <v>10000000</v>
      </c>
      <c r="J342" s="89">
        <v>10000000</v>
      </c>
      <c r="K342" s="89">
        <v>10000000</v>
      </c>
      <c r="L342" s="89">
        <v>10000000</v>
      </c>
      <c r="M342" s="89">
        <v>10000000</v>
      </c>
      <c r="N342" s="89">
        <v>10000000</v>
      </c>
      <c r="O342" s="92">
        <f t="shared" si="434"/>
        <v>120000000</v>
      </c>
    </row>
    <row r="343" spans="1:25" x14ac:dyDescent="0.25">
      <c r="A343" s="84"/>
      <c r="B343" s="58" t="s">
        <v>180</v>
      </c>
      <c r="C343" s="89">
        <f t="shared" ref="C343:N343" si="438">C311*(1+$K$95)</f>
        <v>12425121.243313497</v>
      </c>
      <c r="D343" s="89">
        <f t="shared" si="438"/>
        <v>10634203.930555778</v>
      </c>
      <c r="E343" s="89">
        <f t="shared" si="438"/>
        <v>11008576.476160493</v>
      </c>
      <c r="F343" s="89">
        <f t="shared" si="438"/>
        <v>11180585.483600497</v>
      </c>
      <c r="G343" s="89">
        <f t="shared" si="438"/>
        <v>15035610.885638315</v>
      </c>
      <c r="H343" s="89">
        <f t="shared" si="438"/>
        <v>11038931.006885208</v>
      </c>
      <c r="I343" s="89">
        <f t="shared" si="438"/>
        <v>12809611.965826454</v>
      </c>
      <c r="J343" s="89">
        <f t="shared" si="438"/>
        <v>10138413.262052217</v>
      </c>
      <c r="K343" s="89">
        <f t="shared" si="438"/>
        <v>13183984.511431184</v>
      </c>
      <c r="L343" s="89">
        <f t="shared" si="438"/>
        <v>10472313.100024002</v>
      </c>
      <c r="M343" s="89">
        <f t="shared" si="438"/>
        <v>13335757.165054716</v>
      </c>
      <c r="N343" s="89">
        <f t="shared" si="438"/>
        <v>12698312.01983586</v>
      </c>
      <c r="O343" s="92">
        <f t="shared" si="434"/>
        <v>143961421.0503782</v>
      </c>
    </row>
    <row r="344" spans="1:25" x14ac:dyDescent="0.25">
      <c r="A344" s="84"/>
      <c r="B344" s="58" t="s">
        <v>86</v>
      </c>
      <c r="C344" s="89">
        <f t="shared" ref="C344:N344" si="439">C312*(1+$K$95)</f>
        <v>11029290.549689734</v>
      </c>
      <c r="D344" s="89">
        <f t="shared" si="439"/>
        <v>11029290.549689734</v>
      </c>
      <c r="E344" s="89">
        <f t="shared" si="439"/>
        <v>11029290.549689734</v>
      </c>
      <c r="F344" s="89">
        <f t="shared" si="439"/>
        <v>11029290.549689734</v>
      </c>
      <c r="G344" s="89">
        <f t="shared" si="439"/>
        <v>11029290.549689734</v>
      </c>
      <c r="H344" s="89">
        <f t="shared" si="439"/>
        <v>11029290.549689734</v>
      </c>
      <c r="I344" s="89">
        <f t="shared" si="439"/>
        <v>11029290.549689734</v>
      </c>
      <c r="J344" s="89">
        <f t="shared" si="439"/>
        <v>11029290.549689734</v>
      </c>
      <c r="K344" s="89">
        <f t="shared" si="439"/>
        <v>11029290.549689734</v>
      </c>
      <c r="L344" s="89">
        <f t="shared" si="439"/>
        <v>11029290.549689734</v>
      </c>
      <c r="M344" s="89">
        <f t="shared" si="439"/>
        <v>11029290.549689734</v>
      </c>
      <c r="N344" s="89">
        <f t="shared" si="439"/>
        <v>11029290.549689734</v>
      </c>
      <c r="O344" s="92">
        <f t="shared" si="434"/>
        <v>132351486.59627683</v>
      </c>
    </row>
    <row r="345" spans="1:25" x14ac:dyDescent="0.25">
      <c r="A345" s="82"/>
      <c r="B345" s="46" t="s">
        <v>208</v>
      </c>
      <c r="C345" s="47">
        <f t="shared" ref="C345:N345" si="440">SUM(C338:C344)</f>
        <v>79756710.478866011</v>
      </c>
      <c r="D345" s="47">
        <f t="shared" si="440"/>
        <v>78937764.79950349</v>
      </c>
      <c r="E345" s="47">
        <f t="shared" si="440"/>
        <v>81328978.484403178</v>
      </c>
      <c r="F345" s="47">
        <f t="shared" si="440"/>
        <v>77637400.249097362</v>
      </c>
      <c r="G345" s="47">
        <f t="shared" si="440"/>
        <v>92840194.471023872</v>
      </c>
      <c r="H345" s="47">
        <f t="shared" si="440"/>
        <v>81675223.795981333</v>
      </c>
      <c r="I345" s="47">
        <f t="shared" si="440"/>
        <v>85572092.702974543</v>
      </c>
      <c r="J345" s="47">
        <f t="shared" si="440"/>
        <v>84686891.875563934</v>
      </c>
      <c r="K345" s="47">
        <f t="shared" si="440"/>
        <v>88242748.23247537</v>
      </c>
      <c r="L345" s="47">
        <f t="shared" si="440"/>
        <v>82360019.367116421</v>
      </c>
      <c r="M345" s="47">
        <f t="shared" si="440"/>
        <v>85636551.376340091</v>
      </c>
      <c r="N345" s="47">
        <f t="shared" si="440"/>
        <v>84355175.023996919</v>
      </c>
      <c r="O345" s="47">
        <f t="shared" si="434"/>
        <v>1003029750.8573426</v>
      </c>
    </row>
    <row r="346" spans="1:25" x14ac:dyDescent="0.25">
      <c r="A346" s="82"/>
      <c r="B346" s="60" t="s">
        <v>87</v>
      </c>
      <c r="C346" s="47">
        <f t="shared" ref="C346:N346" si="441">C336+C345</f>
        <v>87362388.510183275</v>
      </c>
      <c r="D346" s="47">
        <f t="shared" si="441"/>
        <v>85741566.233269736</v>
      </c>
      <c r="E346" s="47">
        <f t="shared" si="441"/>
        <v>88132779.918169424</v>
      </c>
      <c r="F346" s="47">
        <f t="shared" si="441"/>
        <v>84441201.682863608</v>
      </c>
      <c r="G346" s="47">
        <f t="shared" si="441"/>
        <v>99643995.904790118</v>
      </c>
      <c r="H346" s="47">
        <f t="shared" si="441"/>
        <v>88479025.229747579</v>
      </c>
      <c r="I346" s="47">
        <f t="shared" si="441"/>
        <v>92375894.136740789</v>
      </c>
      <c r="J346" s="47">
        <f t="shared" si="441"/>
        <v>91490693.30933018</v>
      </c>
      <c r="K346" s="47">
        <f t="shared" si="441"/>
        <v>95046549.666241616</v>
      </c>
      <c r="L346" s="47">
        <f t="shared" si="441"/>
        <v>89163820.800882667</v>
      </c>
      <c r="M346" s="47">
        <f t="shared" si="441"/>
        <v>92440352.810106337</v>
      </c>
      <c r="N346" s="47">
        <f t="shared" si="441"/>
        <v>91158976.457763165</v>
      </c>
      <c r="O346" s="47">
        <f t="shared" si="434"/>
        <v>1085477244.6600885</v>
      </c>
    </row>
    <row r="347" spans="1:25" s="11" customFormat="1" x14ac:dyDescent="0.25">
      <c r="A347" s="82"/>
      <c r="B347" s="108" t="s">
        <v>204</v>
      </c>
      <c r="C347" s="109">
        <f>$O346*(3/12)/12</f>
        <v>22614109.263751846</v>
      </c>
      <c r="D347" s="109">
        <f t="shared" ref="D347" si="442">$O346*(3/12)/12</f>
        <v>22614109.263751846</v>
      </c>
      <c r="E347" s="109">
        <f t="shared" ref="E347" si="443">$O346*(3/12)/12</f>
        <v>22614109.263751846</v>
      </c>
      <c r="F347" s="109">
        <f t="shared" ref="F347" si="444">$O346*(3/12)/12</f>
        <v>22614109.263751846</v>
      </c>
      <c r="G347" s="109">
        <f t="shared" ref="G347" si="445">$O346*(3/12)/12</f>
        <v>22614109.263751846</v>
      </c>
      <c r="H347" s="109">
        <f t="shared" ref="H347" si="446">$O346*(3/12)/12</f>
        <v>22614109.263751846</v>
      </c>
      <c r="I347" s="109">
        <f t="shared" ref="I347" si="447">$O346*(3/12)/12</f>
        <v>22614109.263751846</v>
      </c>
      <c r="J347" s="109">
        <f t="shared" ref="J347" si="448">$O346*(3/12)/12</f>
        <v>22614109.263751846</v>
      </c>
      <c r="K347" s="109">
        <f t="shared" ref="K347" si="449">$O346*(3/12)/12</f>
        <v>22614109.263751846</v>
      </c>
      <c r="L347" s="109">
        <f t="shared" ref="L347" si="450">$O346*(3/12)/12</f>
        <v>22614109.263751846</v>
      </c>
      <c r="M347" s="109">
        <f t="shared" ref="M347" si="451">$O346*(3/12)/12</f>
        <v>22614109.263751846</v>
      </c>
      <c r="N347" s="109">
        <f>$O346*(3/12)/12</f>
        <v>22614109.263751846</v>
      </c>
      <c r="O347" s="109">
        <f t="shared" ref="O347:O349" si="452">SUM(C347:N347)</f>
        <v>271369311.16502208</v>
      </c>
      <c r="P347" s="43"/>
      <c r="Q347" s="43"/>
      <c r="R347" s="40"/>
      <c r="S347" s="40"/>
      <c r="T347" s="40"/>
      <c r="U347" s="40"/>
      <c r="V347" s="40"/>
      <c r="W347" s="40"/>
      <c r="X347" s="40"/>
      <c r="Y347" s="40"/>
    </row>
    <row r="348" spans="1:25" s="11" customFormat="1" x14ac:dyDescent="0.25">
      <c r="A348" s="82"/>
      <c r="B348" s="108" t="s">
        <v>386</v>
      </c>
      <c r="C348" s="109">
        <f>C316*(1+$K$192)</f>
        <v>6658220.1755778342</v>
      </c>
      <c r="D348" s="109">
        <v>0</v>
      </c>
      <c r="E348" s="109">
        <v>0</v>
      </c>
      <c r="F348" s="109">
        <v>0</v>
      </c>
      <c r="G348" s="109">
        <v>0</v>
      </c>
      <c r="H348" s="109">
        <v>0</v>
      </c>
      <c r="I348" s="109">
        <v>0</v>
      </c>
      <c r="J348" s="109">
        <v>0</v>
      </c>
      <c r="K348" s="109">
        <v>0</v>
      </c>
      <c r="L348" s="109">
        <v>0</v>
      </c>
      <c r="M348" s="109">
        <v>0</v>
      </c>
      <c r="N348" s="109">
        <v>0</v>
      </c>
      <c r="O348" s="109">
        <f t="shared" si="452"/>
        <v>6658220.1755778342</v>
      </c>
      <c r="P348" s="43"/>
      <c r="Q348" s="43"/>
      <c r="R348" s="40"/>
      <c r="S348" s="40"/>
      <c r="T348" s="40"/>
      <c r="U348" s="40"/>
      <c r="V348" s="40"/>
      <c r="W348" s="40"/>
      <c r="X348" s="40"/>
      <c r="Y348" s="40"/>
    </row>
    <row r="349" spans="1:25" s="11" customFormat="1" x14ac:dyDescent="0.25">
      <c r="A349" s="82"/>
      <c r="B349" s="60" t="s">
        <v>206</v>
      </c>
      <c r="C349" s="61">
        <f>C330-C346-C347-C348</f>
        <v>-50451271.472842544</v>
      </c>
      <c r="D349" s="61">
        <f t="shared" ref="D349" si="453">D330-D346-D347-D348</f>
        <v>-42172229.020351171</v>
      </c>
      <c r="E349" s="61">
        <f t="shared" ref="E349" si="454">E330-E346-E347-E348</f>
        <v>-44563442.705250859</v>
      </c>
      <c r="F349" s="61">
        <f t="shared" ref="F349" si="455">F330-F346-F347-F348</f>
        <v>-40871864.469945043</v>
      </c>
      <c r="G349" s="61">
        <f t="shared" ref="G349" si="456">G330-G346-G347-G348</f>
        <v>-56074658.691871554</v>
      </c>
      <c r="H349" s="61">
        <f t="shared" ref="H349" si="457">H330-H346-H347-H348</f>
        <v>-44909688.016829014</v>
      </c>
      <c r="I349" s="61">
        <f t="shared" ref="I349" si="458">I330-I346-I347-I348</f>
        <v>-48806556.923822224</v>
      </c>
      <c r="J349" s="61">
        <f t="shared" ref="J349" si="459">J330-J346-J347-J348</f>
        <v>-47921356.096411616</v>
      </c>
      <c r="K349" s="61">
        <f t="shared" ref="K349" si="460">K330-K346-K347-K348</f>
        <v>-51477212.453323051</v>
      </c>
      <c r="L349" s="61">
        <f t="shared" ref="L349" si="461">L330-L346-L347-L348</f>
        <v>-45594483.587964103</v>
      </c>
      <c r="M349" s="61">
        <f t="shared" ref="M349" si="462">M330-M346-M347-M348</f>
        <v>-48871015.597187772</v>
      </c>
      <c r="N349" s="61">
        <f t="shared" ref="N349" si="463">N330-N346-N347-N348</f>
        <v>-47589639.244844601</v>
      </c>
      <c r="O349" s="47">
        <f t="shared" si="452"/>
        <v>-569303418.28064358</v>
      </c>
      <c r="P349" s="43"/>
      <c r="Q349" s="43"/>
      <c r="R349" s="40"/>
      <c r="S349" s="40"/>
      <c r="T349" s="40"/>
      <c r="U349" s="40"/>
      <c r="V349" s="40"/>
      <c r="W349" s="40"/>
      <c r="X349" s="40"/>
      <c r="Y349" s="40"/>
    </row>
    <row r="350" spans="1:25" x14ac:dyDescent="0.25">
      <c r="A350" s="85"/>
      <c r="B350" s="40"/>
      <c r="C350" s="40"/>
      <c r="D350" s="40"/>
      <c r="E350" s="40"/>
      <c r="F350" s="40"/>
      <c r="G350" s="40"/>
      <c r="H350" s="40"/>
      <c r="I350" s="40"/>
      <c r="J350" s="40"/>
      <c r="K350" s="40"/>
      <c r="L350" s="353" t="s">
        <v>217</v>
      </c>
      <c r="M350" s="354"/>
      <c r="N350" s="350">
        <f>SUM(C349:N349)+N318</f>
        <v>18971253054.485809</v>
      </c>
      <c r="O350" s="40"/>
    </row>
    <row r="351" spans="1:25" x14ac:dyDescent="0.25">
      <c r="A351" s="85"/>
      <c r="B351" s="40"/>
      <c r="C351" s="40"/>
      <c r="D351" s="40"/>
      <c r="E351" s="40"/>
      <c r="F351" s="40"/>
      <c r="G351" s="40"/>
      <c r="H351" s="40"/>
      <c r="I351" s="40"/>
      <c r="J351" s="40"/>
      <c r="K351" s="40"/>
      <c r="L351" s="320"/>
      <c r="M351" s="355"/>
      <c r="N351" s="351"/>
      <c r="O351" s="40"/>
    </row>
    <row r="352" spans="1:25" x14ac:dyDescent="0.25">
      <c r="A352" s="85"/>
      <c r="B352" s="319" t="s">
        <v>632</v>
      </c>
      <c r="C352" s="352" t="s">
        <v>173</v>
      </c>
      <c r="D352" s="352"/>
      <c r="E352" s="352"/>
      <c r="F352" s="352"/>
      <c r="G352" s="352"/>
      <c r="H352" s="352"/>
      <c r="I352" s="40"/>
      <c r="J352" s="358" t="s">
        <v>231</v>
      </c>
      <c r="K352" s="359">
        <v>0.04</v>
      </c>
      <c r="L352" s="40"/>
      <c r="M352" s="40"/>
      <c r="N352" s="40"/>
      <c r="O352" s="361"/>
    </row>
    <row r="353" spans="1:15" x14ac:dyDescent="0.25">
      <c r="A353" s="85"/>
      <c r="B353" s="319"/>
      <c r="C353" s="352"/>
      <c r="D353" s="352"/>
      <c r="E353" s="352"/>
      <c r="F353" s="352"/>
      <c r="G353" s="352"/>
      <c r="H353" s="352"/>
      <c r="I353" s="40"/>
      <c r="J353" s="358"/>
      <c r="K353" s="360"/>
      <c r="L353" s="40"/>
      <c r="M353" s="40"/>
      <c r="N353" s="40"/>
      <c r="O353" s="362"/>
    </row>
    <row r="354" spans="1:15" x14ac:dyDescent="0.25">
      <c r="A354" s="85"/>
      <c r="B354" s="319"/>
      <c r="C354" s="352"/>
      <c r="D354" s="352"/>
      <c r="E354" s="352"/>
      <c r="F354" s="352"/>
      <c r="G354" s="352"/>
      <c r="H354" s="352"/>
      <c r="I354" s="40"/>
      <c r="J354" s="40"/>
      <c r="K354" s="40"/>
      <c r="L354" s="40"/>
      <c r="M354" s="40"/>
      <c r="N354" s="40"/>
      <c r="O354" s="40"/>
    </row>
    <row r="357" spans="1:15" ht="24.6" x14ac:dyDescent="0.25">
      <c r="A357" s="96"/>
      <c r="B357" s="348" t="s">
        <v>289</v>
      </c>
      <c r="C357" s="348"/>
      <c r="D357" s="348"/>
      <c r="E357" s="348"/>
      <c r="F357" s="348"/>
      <c r="G357" s="348"/>
      <c r="H357" s="348"/>
      <c r="I357" s="348"/>
      <c r="J357" s="348"/>
      <c r="K357" s="348"/>
      <c r="L357" s="348"/>
      <c r="M357" s="348"/>
      <c r="N357" s="348"/>
      <c r="O357" s="348"/>
    </row>
    <row r="358" spans="1:15" ht="24.6" x14ac:dyDescent="0.25">
      <c r="A358" s="96"/>
      <c r="B358" s="349"/>
      <c r="C358" s="349"/>
      <c r="D358" s="349"/>
      <c r="E358" s="349"/>
      <c r="F358" s="349"/>
      <c r="G358" s="349"/>
      <c r="H358" s="349"/>
      <c r="I358" s="349"/>
      <c r="J358" s="349"/>
      <c r="K358" s="349"/>
      <c r="L358" s="349"/>
      <c r="M358" s="349"/>
      <c r="N358" s="349"/>
      <c r="O358" s="349"/>
    </row>
    <row r="359" spans="1:15" x14ac:dyDescent="0.25">
      <c r="A359" s="82"/>
      <c r="B359" s="41"/>
      <c r="C359" s="42" t="s">
        <v>66</v>
      </c>
      <c r="D359" s="42" t="s">
        <v>67</v>
      </c>
      <c r="E359" s="42" t="s">
        <v>68</v>
      </c>
      <c r="F359" s="42" t="s">
        <v>69</v>
      </c>
      <c r="G359" s="42" t="s">
        <v>70</v>
      </c>
      <c r="H359" s="42" t="s">
        <v>71</v>
      </c>
      <c r="I359" s="42" t="s">
        <v>72</v>
      </c>
      <c r="J359" s="42" t="s">
        <v>73</v>
      </c>
      <c r="K359" s="42" t="s">
        <v>74</v>
      </c>
      <c r="L359" s="42" t="s">
        <v>75</v>
      </c>
      <c r="M359" s="42" t="s">
        <v>76</v>
      </c>
      <c r="N359" s="42" t="s">
        <v>77</v>
      </c>
      <c r="O359" s="42" t="s">
        <v>236</v>
      </c>
    </row>
    <row r="360" spans="1:15" x14ac:dyDescent="0.25">
      <c r="A360" s="82"/>
      <c r="B360" s="44" t="s">
        <v>381</v>
      </c>
      <c r="C360" s="45">
        <f>'11.My pension value'!$D$9/12</f>
        <v>35611893.330636717</v>
      </c>
      <c r="D360" s="45">
        <f>'11.My pension value'!$D$9/12</f>
        <v>35611893.330636717</v>
      </c>
      <c r="E360" s="45">
        <f>'11.My pension value'!$D$9/12</f>
        <v>35611893.330636717</v>
      </c>
      <c r="F360" s="45">
        <f>'11.My pension value'!$D$9/12</f>
        <v>35611893.330636717</v>
      </c>
      <c r="G360" s="45">
        <f>'11.My pension value'!$D$9/12</f>
        <v>35611893.330636717</v>
      </c>
      <c r="H360" s="45">
        <f>'11.My pension value'!$D$9/12</f>
        <v>35611893.330636717</v>
      </c>
      <c r="I360" s="45">
        <f>'11.My pension value'!$D$9/12</f>
        <v>35611893.330636717</v>
      </c>
      <c r="J360" s="45">
        <f>'11.My pension value'!$D$9/12</f>
        <v>35611893.330636717</v>
      </c>
      <c r="K360" s="45">
        <f>'11.My pension value'!$D$9/12</f>
        <v>35611893.330636717</v>
      </c>
      <c r="L360" s="45">
        <f>'11.My pension value'!$D$9/12</f>
        <v>35611893.330636717</v>
      </c>
      <c r="M360" s="45">
        <f>'11.My pension value'!$D$9/12</f>
        <v>35611893.330636717</v>
      </c>
      <c r="N360" s="45">
        <f>'11.My pension value'!$D$9/12</f>
        <v>35611893.330636717</v>
      </c>
      <c r="O360" s="45" t="s">
        <v>173</v>
      </c>
    </row>
    <row r="361" spans="1:15" x14ac:dyDescent="0.25">
      <c r="A361" s="82"/>
      <c r="B361" s="44" t="s">
        <v>382</v>
      </c>
      <c r="C361" s="45">
        <f>'10.2. Wife''s retirement salary'!$O$10</f>
        <v>30571553.146033701</v>
      </c>
      <c r="D361" s="45">
        <f>'10.2. Wife''s retirement salary'!$O$10</f>
        <v>30571553.146033701</v>
      </c>
      <c r="E361" s="45">
        <f>'10.2. Wife''s retirement salary'!$O$10</f>
        <v>30571553.146033701</v>
      </c>
      <c r="F361" s="45">
        <f>'10.2. Wife''s retirement salary'!$O$10</f>
        <v>30571553.146033701</v>
      </c>
      <c r="G361" s="45">
        <f>'10.2. Wife''s retirement salary'!$O$10</f>
        <v>30571553.146033701</v>
      </c>
      <c r="H361" s="45">
        <f>'10.2. Wife''s retirement salary'!$O$10</f>
        <v>30571553.146033701</v>
      </c>
      <c r="I361" s="45">
        <f>'10.2. Wife''s retirement salary'!$O$10</f>
        <v>30571553.146033701</v>
      </c>
      <c r="J361" s="45">
        <f>'10.2. Wife''s retirement salary'!$O$10</f>
        <v>30571553.146033701</v>
      </c>
      <c r="K361" s="45">
        <f>'10.2. Wife''s retirement salary'!$O$10</f>
        <v>30571553.146033701</v>
      </c>
      <c r="L361" s="45">
        <f>'10.2. Wife''s retirement salary'!$O$10</f>
        <v>30571553.146033701</v>
      </c>
      <c r="M361" s="45">
        <f>'10.2. Wife''s retirement salary'!$O$10</f>
        <v>30571553.146033701</v>
      </c>
      <c r="N361" s="45">
        <f>'10.2. Wife''s retirement salary'!$O$10</f>
        <v>30571553.146033701</v>
      </c>
      <c r="O361" s="45" t="s">
        <v>173</v>
      </c>
    </row>
    <row r="362" spans="1:15" x14ac:dyDescent="0.25">
      <c r="A362" s="82"/>
      <c r="B362" s="46" t="s">
        <v>209</v>
      </c>
      <c r="C362" s="47">
        <f>SUM(C360:C361)</f>
        <v>66183446.476670414</v>
      </c>
      <c r="D362" s="47">
        <f t="shared" ref="D362:J362" si="464">SUM(D360:D361)</f>
        <v>66183446.476670414</v>
      </c>
      <c r="E362" s="47">
        <f t="shared" si="464"/>
        <v>66183446.476670414</v>
      </c>
      <c r="F362" s="47">
        <f t="shared" si="464"/>
        <v>66183446.476670414</v>
      </c>
      <c r="G362" s="47">
        <f t="shared" si="464"/>
        <v>66183446.476670414</v>
      </c>
      <c r="H362" s="47">
        <f t="shared" si="464"/>
        <v>66183446.476670414</v>
      </c>
      <c r="I362" s="47">
        <f t="shared" si="464"/>
        <v>66183446.476670414</v>
      </c>
      <c r="J362" s="47">
        <f t="shared" si="464"/>
        <v>66183446.476670414</v>
      </c>
      <c r="K362" s="47">
        <f>SUM(K360:K361)</f>
        <v>66183446.476670414</v>
      </c>
      <c r="L362" s="47">
        <f t="shared" ref="L362:N362" si="465">SUM(L360:L361)</f>
        <v>66183446.476670414</v>
      </c>
      <c r="M362" s="47">
        <f t="shared" si="465"/>
        <v>66183446.476670414</v>
      </c>
      <c r="N362" s="47">
        <f t="shared" si="465"/>
        <v>66183446.476670414</v>
      </c>
      <c r="O362" s="47">
        <f>SUM(C362:N362)</f>
        <v>794201357.72004473</v>
      </c>
    </row>
    <row r="363" spans="1:15" x14ac:dyDescent="0.25">
      <c r="A363" s="82"/>
      <c r="B363" s="52" t="s">
        <v>78</v>
      </c>
      <c r="C363" s="53" t="s">
        <v>173</v>
      </c>
      <c r="D363" s="53" t="s">
        <v>173</v>
      </c>
      <c r="E363" s="53" t="s">
        <v>173</v>
      </c>
      <c r="F363" s="53" t="s">
        <v>173</v>
      </c>
      <c r="G363" s="53" t="s">
        <v>173</v>
      </c>
      <c r="H363" s="53" t="s">
        <v>173</v>
      </c>
      <c r="I363" s="53" t="s">
        <v>173</v>
      </c>
      <c r="J363" s="53" t="s">
        <v>173</v>
      </c>
      <c r="K363" s="53" t="s">
        <v>173</v>
      </c>
      <c r="L363" s="53" t="s">
        <v>173</v>
      </c>
      <c r="M363" s="53" t="s">
        <v>173</v>
      </c>
      <c r="N363" s="53" t="s">
        <v>173</v>
      </c>
      <c r="O363" s="91" t="s">
        <v>173</v>
      </c>
    </row>
    <row r="364" spans="1:15" x14ac:dyDescent="0.25">
      <c r="A364" s="82"/>
      <c r="B364" s="48" t="s">
        <v>79</v>
      </c>
      <c r="C364" s="54" t="s">
        <v>173</v>
      </c>
      <c r="D364" s="54" t="s">
        <v>173</v>
      </c>
      <c r="E364" s="54" t="s">
        <v>173</v>
      </c>
      <c r="F364" s="54" t="s">
        <v>173</v>
      </c>
      <c r="G364" s="54" t="s">
        <v>173</v>
      </c>
      <c r="H364" s="54" t="s">
        <v>173</v>
      </c>
      <c r="I364" s="54" t="s">
        <v>173</v>
      </c>
      <c r="J364" s="54" t="s">
        <v>173</v>
      </c>
      <c r="K364" s="54" t="s">
        <v>173</v>
      </c>
      <c r="L364" s="54" t="s">
        <v>173</v>
      </c>
      <c r="M364" s="54" t="s">
        <v>173</v>
      </c>
      <c r="N364" s="54" t="s">
        <v>173</v>
      </c>
      <c r="O364" s="91" t="s">
        <v>173</v>
      </c>
    </row>
    <row r="365" spans="1:15" x14ac:dyDescent="0.25">
      <c r="A365" s="83"/>
      <c r="B365" s="49" t="s">
        <v>195</v>
      </c>
      <c r="C365" s="50">
        <f>C333*(1+$K$62)</f>
        <v>833951.6614530622</v>
      </c>
      <c r="D365" s="50">
        <v>0</v>
      </c>
      <c r="E365" s="50">
        <v>0</v>
      </c>
      <c r="F365" s="50">
        <v>0</v>
      </c>
      <c r="G365" s="50">
        <v>0</v>
      </c>
      <c r="H365" s="50">
        <v>0</v>
      </c>
      <c r="I365" s="50">
        <v>0</v>
      </c>
      <c r="J365" s="50">
        <v>0</v>
      </c>
      <c r="K365" s="50">
        <v>0</v>
      </c>
      <c r="L365" s="50">
        <v>0</v>
      </c>
      <c r="M365" s="50">
        <v>0</v>
      </c>
      <c r="N365" s="50">
        <v>0</v>
      </c>
      <c r="O365" s="90">
        <f t="shared" ref="O365:O368" si="466">SUM(C365:N365)</f>
        <v>833951.6614530622</v>
      </c>
    </row>
    <row r="366" spans="1:15" x14ac:dyDescent="0.25">
      <c r="A366" s="82"/>
      <c r="B366" s="51" t="s">
        <v>178</v>
      </c>
      <c r="C366" s="50">
        <f>C334*(1+$K$62)</f>
        <v>6317815.6170686558</v>
      </c>
      <c r="D366" s="50">
        <f t="shared" ref="D366:N366" si="467">D334*(1+$K$62)</f>
        <v>6317815.6170686558</v>
      </c>
      <c r="E366" s="50">
        <f t="shared" si="467"/>
        <v>6317815.6170686558</v>
      </c>
      <c r="F366" s="50">
        <f t="shared" si="467"/>
        <v>6317815.6170686558</v>
      </c>
      <c r="G366" s="50">
        <f t="shared" si="467"/>
        <v>6317815.6170686558</v>
      </c>
      <c r="H366" s="50">
        <f t="shared" si="467"/>
        <v>6317815.6170686558</v>
      </c>
      <c r="I366" s="50">
        <f t="shared" si="467"/>
        <v>6317815.6170686558</v>
      </c>
      <c r="J366" s="50">
        <f t="shared" si="467"/>
        <v>6317815.6170686558</v>
      </c>
      <c r="K366" s="50">
        <f t="shared" si="467"/>
        <v>6317815.6170686558</v>
      </c>
      <c r="L366" s="50">
        <f t="shared" si="467"/>
        <v>6317815.6170686558</v>
      </c>
      <c r="M366" s="50">
        <f t="shared" si="467"/>
        <v>6317815.6170686558</v>
      </c>
      <c r="N366" s="50">
        <f t="shared" si="467"/>
        <v>6317815.6170686558</v>
      </c>
      <c r="O366" s="90">
        <f t="shared" si="466"/>
        <v>75813787.404823869</v>
      </c>
    </row>
    <row r="367" spans="1:15" x14ac:dyDescent="0.25">
      <c r="A367" s="84"/>
      <c r="B367" s="51" t="s">
        <v>248</v>
      </c>
      <c r="C367" s="50">
        <f>C335*(1+$K$62)</f>
        <v>758137.87404823874</v>
      </c>
      <c r="D367" s="50">
        <f t="shared" ref="D367:N367" si="468">D335*(1+$K$62)</f>
        <v>758137.87404823874</v>
      </c>
      <c r="E367" s="50">
        <f t="shared" si="468"/>
        <v>758137.87404823874</v>
      </c>
      <c r="F367" s="50">
        <f t="shared" si="468"/>
        <v>758137.87404823874</v>
      </c>
      <c r="G367" s="50">
        <f t="shared" si="468"/>
        <v>758137.87404823874</v>
      </c>
      <c r="H367" s="50">
        <f t="shared" si="468"/>
        <v>758137.87404823874</v>
      </c>
      <c r="I367" s="50">
        <f t="shared" si="468"/>
        <v>758137.87404823874</v>
      </c>
      <c r="J367" s="50">
        <f t="shared" si="468"/>
        <v>758137.87404823874</v>
      </c>
      <c r="K367" s="50">
        <f t="shared" si="468"/>
        <v>758137.87404823874</v>
      </c>
      <c r="L367" s="50">
        <f t="shared" si="468"/>
        <v>758137.87404823874</v>
      </c>
      <c r="M367" s="50">
        <f t="shared" si="468"/>
        <v>758137.87404823874</v>
      </c>
      <c r="N367" s="50">
        <f t="shared" si="468"/>
        <v>758137.87404823874</v>
      </c>
      <c r="O367" s="90">
        <f t="shared" si="466"/>
        <v>9097654.4885788653</v>
      </c>
    </row>
    <row r="368" spans="1:15" x14ac:dyDescent="0.25">
      <c r="A368" s="82"/>
      <c r="B368" s="46" t="s">
        <v>207</v>
      </c>
      <c r="C368" s="47">
        <f t="shared" ref="C368" si="469">SUM(C365:C367)</f>
        <v>7909905.1525699571</v>
      </c>
      <c r="D368" s="47">
        <f t="shared" ref="D368" si="470">SUM(D365:D367)</f>
        <v>7075953.4911168944</v>
      </c>
      <c r="E368" s="47">
        <f t="shared" ref="E368" si="471">SUM(E365:E367)</f>
        <v>7075953.4911168944</v>
      </c>
      <c r="F368" s="47">
        <f t="shared" ref="F368" si="472">SUM(F365:F367)</f>
        <v>7075953.4911168944</v>
      </c>
      <c r="G368" s="47">
        <f t="shared" ref="G368" si="473">SUM(G365:G367)</f>
        <v>7075953.4911168944</v>
      </c>
      <c r="H368" s="47">
        <f t="shared" ref="H368" si="474">SUM(H365:H367)</f>
        <v>7075953.4911168944</v>
      </c>
      <c r="I368" s="47">
        <f t="shared" ref="I368" si="475">SUM(I365:I367)</f>
        <v>7075953.4911168944</v>
      </c>
      <c r="J368" s="47">
        <f t="shared" ref="J368" si="476">SUM(J365:J367)</f>
        <v>7075953.4911168944</v>
      </c>
      <c r="K368" s="47">
        <f t="shared" ref="K368" si="477">SUM(K365:K367)</f>
        <v>7075953.4911168944</v>
      </c>
      <c r="L368" s="47">
        <f t="shared" ref="L368" si="478">SUM(L365:L367)</f>
        <v>7075953.4911168944</v>
      </c>
      <c r="M368" s="47">
        <f t="shared" ref="M368" si="479">SUM(M365:M367)</f>
        <v>7075953.4911168944</v>
      </c>
      <c r="N368" s="47">
        <f t="shared" ref="N368" si="480">SUM(N365:N367)</f>
        <v>7075953.4911168944</v>
      </c>
      <c r="O368" s="47">
        <f t="shared" si="466"/>
        <v>85745393.554855809</v>
      </c>
    </row>
    <row r="369" spans="1:25" x14ac:dyDescent="0.25">
      <c r="A369" s="82"/>
      <c r="B369" s="55" t="s">
        <v>83</v>
      </c>
      <c r="C369" s="59" t="s">
        <v>173</v>
      </c>
      <c r="D369" s="59" t="s">
        <v>173</v>
      </c>
      <c r="E369" s="59" t="s">
        <v>173</v>
      </c>
      <c r="F369" s="59" t="s">
        <v>173</v>
      </c>
      <c r="G369" s="59" t="s">
        <v>173</v>
      </c>
      <c r="H369" s="59" t="s">
        <v>173</v>
      </c>
      <c r="I369" s="59" t="s">
        <v>173</v>
      </c>
      <c r="J369" s="59" t="s">
        <v>173</v>
      </c>
      <c r="K369" s="59" t="s">
        <v>173</v>
      </c>
      <c r="L369" s="59" t="s">
        <v>173</v>
      </c>
      <c r="M369" s="59" t="s">
        <v>173</v>
      </c>
      <c r="N369" s="59" t="s">
        <v>173</v>
      </c>
      <c r="O369" s="91" t="s">
        <v>173</v>
      </c>
    </row>
    <row r="370" spans="1:25" x14ac:dyDescent="0.25">
      <c r="A370" s="82"/>
      <c r="B370" s="57" t="s">
        <v>210</v>
      </c>
      <c r="C370" s="89">
        <f t="shared" ref="C370:N370" si="481">C338*(1+$K$95)</f>
        <v>4182393.9384994516</v>
      </c>
      <c r="D370" s="89">
        <f t="shared" si="481"/>
        <v>5041616.862420788</v>
      </c>
      <c r="E370" s="89">
        <f t="shared" si="481"/>
        <v>4649912.2941625286</v>
      </c>
      <c r="F370" s="89">
        <f t="shared" si="481"/>
        <v>4346657.1445432371</v>
      </c>
      <c r="G370" s="89">
        <f t="shared" si="481"/>
        <v>3992859.4699873896</v>
      </c>
      <c r="H370" s="89">
        <f t="shared" si="481"/>
        <v>5003709.9687183769</v>
      </c>
      <c r="I370" s="89">
        <f t="shared" si="481"/>
        <v>5837661.6301714377</v>
      </c>
      <c r="J370" s="89">
        <f t="shared" si="481"/>
        <v>5597584.6367228292</v>
      </c>
      <c r="K370" s="89">
        <f t="shared" si="481"/>
        <v>4321385.8820749596</v>
      </c>
      <c r="L370" s="89">
        <f t="shared" si="481"/>
        <v>4435106.5631821975</v>
      </c>
      <c r="M370" s="89">
        <f t="shared" si="481"/>
        <v>4220300.8322018627</v>
      </c>
      <c r="N370" s="89">
        <f t="shared" si="481"/>
        <v>4561462.8755235681</v>
      </c>
      <c r="O370" s="92">
        <f t="shared" ref="O370:O378" si="482">SUM(C370:N370)</f>
        <v>56190652.098208621</v>
      </c>
    </row>
    <row r="371" spans="1:25" x14ac:dyDescent="0.25">
      <c r="A371" s="82"/>
      <c r="B371" s="57" t="s">
        <v>203</v>
      </c>
      <c r="C371" s="89">
        <f t="shared" ref="C371:N371" si="483">C339*(1+$K$95)</f>
        <v>15099579.324794084</v>
      </c>
      <c r="D371" s="89">
        <f t="shared" si="483"/>
        <v>16262057.398334725</v>
      </c>
      <c r="E371" s="89">
        <f t="shared" si="483"/>
        <v>18233215.870860144</v>
      </c>
      <c r="F371" s="89">
        <f t="shared" si="483"/>
        <v>13823380.570146227</v>
      </c>
      <c r="G371" s="89">
        <f t="shared" si="483"/>
        <v>18397479.076903932</v>
      </c>
      <c r="H371" s="89">
        <f t="shared" si="483"/>
        <v>17336086.053236391</v>
      </c>
      <c r="I371" s="89">
        <f t="shared" si="483"/>
        <v>15908259.723778883</v>
      </c>
      <c r="J371" s="89">
        <f t="shared" si="483"/>
        <v>18915539.957503557</v>
      </c>
      <c r="K371" s="89">
        <f t="shared" si="483"/>
        <v>18485928.495542884</v>
      </c>
      <c r="L371" s="89">
        <f t="shared" si="483"/>
        <v>18485928.495542884</v>
      </c>
      <c r="M371" s="89">
        <f t="shared" si="483"/>
        <v>14366712.713214131</v>
      </c>
      <c r="N371" s="89">
        <f t="shared" si="483"/>
        <v>17715154.990260515</v>
      </c>
      <c r="O371" s="92">
        <f t="shared" si="482"/>
        <v>203029322.67011836</v>
      </c>
    </row>
    <row r="372" spans="1:25" x14ac:dyDescent="0.25">
      <c r="A372" s="82"/>
      <c r="B372" s="58" t="s">
        <v>84</v>
      </c>
      <c r="C372" s="89">
        <f t="shared" ref="C372:N372" si="484">C340*(1+$K$95)</f>
        <v>13355862.214483134</v>
      </c>
      <c r="D372" s="89">
        <f t="shared" si="484"/>
        <v>14581518.444194453</v>
      </c>
      <c r="E372" s="89">
        <f t="shared" si="484"/>
        <v>14632060.969131</v>
      </c>
      <c r="F372" s="89">
        <f t="shared" si="484"/>
        <v>15112214.956028229</v>
      </c>
      <c r="G372" s="89">
        <f t="shared" si="484"/>
        <v>17879418.196304295</v>
      </c>
      <c r="H372" s="89">
        <f t="shared" si="484"/>
        <v>15466012.630584065</v>
      </c>
      <c r="I372" s="89">
        <f t="shared" si="484"/>
        <v>16059887.298588531</v>
      </c>
      <c r="J372" s="89">
        <f t="shared" si="484"/>
        <v>18485928.495542884</v>
      </c>
      <c r="K372" s="89">
        <f t="shared" si="484"/>
        <v>16919110.222509865</v>
      </c>
      <c r="L372" s="89">
        <f t="shared" si="484"/>
        <v>16893838.960041586</v>
      </c>
      <c r="M372" s="89">
        <f t="shared" si="484"/>
        <v>18081588.296050489</v>
      </c>
      <c r="N372" s="89">
        <f t="shared" si="484"/>
        <v>14518340.288023768</v>
      </c>
      <c r="O372" s="92">
        <f t="shared" si="482"/>
        <v>191985780.97148231</v>
      </c>
    </row>
    <row r="373" spans="1:25" x14ac:dyDescent="0.25">
      <c r="A373" s="82"/>
      <c r="B373" s="57" t="s">
        <v>85</v>
      </c>
      <c r="C373" s="89">
        <f t="shared" ref="C373:N373" si="485">C341*(1+$K$95)</f>
        <v>15516555.155520622</v>
      </c>
      <c r="D373" s="89">
        <f t="shared" si="485"/>
        <v>13280048.427078322</v>
      </c>
      <c r="E373" s="89">
        <f t="shared" si="485"/>
        <v>13747566.782741396</v>
      </c>
      <c r="F373" s="89">
        <f t="shared" si="485"/>
        <v>13962372.513721725</v>
      </c>
      <c r="G373" s="89">
        <f t="shared" si="485"/>
        <v>18776548.013928041</v>
      </c>
      <c r="H373" s="89">
        <f t="shared" si="485"/>
        <v>13785473.67644381</v>
      </c>
      <c r="I373" s="89">
        <f t="shared" si="485"/>
        <v>15996709.142417835</v>
      </c>
      <c r="J373" s="89">
        <f t="shared" si="485"/>
        <v>12660902.496605588</v>
      </c>
      <c r="K373" s="89">
        <f t="shared" si="485"/>
        <v>16464227.498080922</v>
      </c>
      <c r="L373" s="89">
        <f t="shared" si="485"/>
        <v>13077878.327332117</v>
      </c>
      <c r="M373" s="89">
        <f t="shared" si="485"/>
        <v>16653761.966592979</v>
      </c>
      <c r="N373" s="89">
        <f t="shared" si="485"/>
        <v>15857717.198842322</v>
      </c>
      <c r="O373" s="92">
        <f t="shared" si="482"/>
        <v>179779761.19930568</v>
      </c>
    </row>
    <row r="374" spans="1:25" x14ac:dyDescent="0.25">
      <c r="A374" s="84"/>
      <c r="B374" s="58" t="s">
        <v>249</v>
      </c>
      <c r="C374" s="89">
        <v>10000000</v>
      </c>
      <c r="D374" s="89">
        <v>10000000</v>
      </c>
      <c r="E374" s="89">
        <v>10000000</v>
      </c>
      <c r="F374" s="89">
        <v>10000000</v>
      </c>
      <c r="G374" s="89">
        <v>10000000</v>
      </c>
      <c r="H374" s="89">
        <v>10000000</v>
      </c>
      <c r="I374" s="89">
        <v>10000000</v>
      </c>
      <c r="J374" s="89">
        <v>10000000</v>
      </c>
      <c r="K374" s="89">
        <v>10000000</v>
      </c>
      <c r="L374" s="89">
        <v>10000000</v>
      </c>
      <c r="M374" s="89">
        <v>10000000</v>
      </c>
      <c r="N374" s="89">
        <v>10000000</v>
      </c>
      <c r="O374" s="92">
        <f t="shared" si="482"/>
        <v>120000000</v>
      </c>
    </row>
    <row r="375" spans="1:25" x14ac:dyDescent="0.25">
      <c r="A375" s="84"/>
      <c r="B375" s="58" t="s">
        <v>180</v>
      </c>
      <c r="C375" s="89">
        <f t="shared" ref="C375:N375" si="486">C343*(1+$K$95)</f>
        <v>12922126.093046037</v>
      </c>
      <c r="D375" s="89">
        <f t="shared" si="486"/>
        <v>11059572.087778009</v>
      </c>
      <c r="E375" s="89">
        <f t="shared" si="486"/>
        <v>11448919.535206912</v>
      </c>
      <c r="F375" s="89">
        <f t="shared" si="486"/>
        <v>11627808.902944518</v>
      </c>
      <c r="G375" s="89">
        <f t="shared" si="486"/>
        <v>15637035.321063848</v>
      </c>
      <c r="H375" s="89">
        <f t="shared" si="486"/>
        <v>11480488.247160617</v>
      </c>
      <c r="I375" s="89">
        <f t="shared" si="486"/>
        <v>13321996.444459513</v>
      </c>
      <c r="J375" s="89">
        <f t="shared" si="486"/>
        <v>10543949.792534307</v>
      </c>
      <c r="K375" s="89">
        <f t="shared" si="486"/>
        <v>13711343.891888432</v>
      </c>
      <c r="L375" s="89">
        <f t="shared" si="486"/>
        <v>10891205.624024963</v>
      </c>
      <c r="M375" s="89">
        <f t="shared" si="486"/>
        <v>13869187.451656906</v>
      </c>
      <c r="N375" s="89">
        <f t="shared" si="486"/>
        <v>13206244.500629295</v>
      </c>
      <c r="O375" s="92">
        <f t="shared" si="482"/>
        <v>149719877.89239338</v>
      </c>
    </row>
    <row r="376" spans="1:25" x14ac:dyDescent="0.25">
      <c r="A376" s="84"/>
      <c r="B376" s="58" t="s">
        <v>86</v>
      </c>
      <c r="C376" s="89">
        <f t="shared" ref="C376:N376" si="487">C344*(1+$K$95)</f>
        <v>11470462.171677325</v>
      </c>
      <c r="D376" s="89">
        <f t="shared" si="487"/>
        <v>11470462.171677325</v>
      </c>
      <c r="E376" s="89">
        <f t="shared" si="487"/>
        <v>11470462.171677325</v>
      </c>
      <c r="F376" s="89">
        <f t="shared" si="487"/>
        <v>11470462.171677325</v>
      </c>
      <c r="G376" s="89">
        <f t="shared" si="487"/>
        <v>11470462.171677325</v>
      </c>
      <c r="H376" s="89">
        <f t="shared" si="487"/>
        <v>11470462.171677325</v>
      </c>
      <c r="I376" s="89">
        <f t="shared" si="487"/>
        <v>11470462.171677325</v>
      </c>
      <c r="J376" s="89">
        <f t="shared" si="487"/>
        <v>11470462.171677325</v>
      </c>
      <c r="K376" s="89">
        <f t="shared" si="487"/>
        <v>11470462.171677325</v>
      </c>
      <c r="L376" s="89">
        <f t="shared" si="487"/>
        <v>11470462.171677325</v>
      </c>
      <c r="M376" s="89">
        <f t="shared" si="487"/>
        <v>11470462.171677325</v>
      </c>
      <c r="N376" s="89">
        <f t="shared" si="487"/>
        <v>11470462.171677325</v>
      </c>
      <c r="O376" s="92">
        <f t="shared" si="482"/>
        <v>137645546.06012788</v>
      </c>
    </row>
    <row r="377" spans="1:25" x14ac:dyDescent="0.25">
      <c r="A377" s="82"/>
      <c r="B377" s="46" t="s">
        <v>208</v>
      </c>
      <c r="C377" s="47">
        <f t="shared" ref="C377:N377" si="488">SUM(C370:C376)</f>
        <v>82546978.898020655</v>
      </c>
      <c r="D377" s="47">
        <f t="shared" si="488"/>
        <v>81695275.39148362</v>
      </c>
      <c r="E377" s="47">
        <f t="shared" si="488"/>
        <v>84182137.623779297</v>
      </c>
      <c r="F377" s="47">
        <f t="shared" si="488"/>
        <v>80342896.259061262</v>
      </c>
      <c r="G377" s="47">
        <f t="shared" si="488"/>
        <v>96153802.249864817</v>
      </c>
      <c r="H377" s="47">
        <f t="shared" si="488"/>
        <v>84542232.747820586</v>
      </c>
      <c r="I377" s="47">
        <f t="shared" si="488"/>
        <v>88594976.411093518</v>
      </c>
      <c r="J377" s="47">
        <f t="shared" si="488"/>
        <v>87674367.550586492</v>
      </c>
      <c r="K377" s="47">
        <f t="shared" si="488"/>
        <v>91372458.161774397</v>
      </c>
      <c r="L377" s="47">
        <f t="shared" si="488"/>
        <v>85254420.141801074</v>
      </c>
      <c r="M377" s="47">
        <f t="shared" si="488"/>
        <v>88662013.431393698</v>
      </c>
      <c r="N377" s="47">
        <f t="shared" si="488"/>
        <v>87329382.024956793</v>
      </c>
      <c r="O377" s="47">
        <f t="shared" si="482"/>
        <v>1038350940.8916363</v>
      </c>
    </row>
    <row r="378" spans="1:25" x14ac:dyDescent="0.25">
      <c r="A378" s="82"/>
      <c r="B378" s="60" t="s">
        <v>87</v>
      </c>
      <c r="C378" s="47">
        <f t="shared" ref="C378:N378" si="489">C368+C377</f>
        <v>90456884.050590605</v>
      </c>
      <c r="D378" s="47">
        <f t="shared" si="489"/>
        <v>88771228.882600516</v>
      </c>
      <c r="E378" s="47">
        <f t="shared" si="489"/>
        <v>91258091.114896193</v>
      </c>
      <c r="F378" s="47">
        <f t="shared" si="489"/>
        <v>87418849.750178158</v>
      </c>
      <c r="G378" s="47">
        <f t="shared" si="489"/>
        <v>103229755.74098171</v>
      </c>
      <c r="H378" s="47">
        <f t="shared" si="489"/>
        <v>91618186.238937482</v>
      </c>
      <c r="I378" s="47">
        <f t="shared" si="489"/>
        <v>95670929.902210414</v>
      </c>
      <c r="J378" s="47">
        <f t="shared" si="489"/>
        <v>94750321.041703388</v>
      </c>
      <c r="K378" s="47">
        <f t="shared" si="489"/>
        <v>98448411.652891293</v>
      </c>
      <c r="L378" s="47">
        <f t="shared" si="489"/>
        <v>92330373.63291797</v>
      </c>
      <c r="M378" s="47">
        <f t="shared" si="489"/>
        <v>95737966.922510594</v>
      </c>
      <c r="N378" s="47">
        <f t="shared" si="489"/>
        <v>94405335.516073689</v>
      </c>
      <c r="O378" s="47">
        <f t="shared" si="482"/>
        <v>1124096334.446492</v>
      </c>
    </row>
    <row r="379" spans="1:25" s="11" customFormat="1" x14ac:dyDescent="0.25">
      <c r="A379" s="82"/>
      <c r="B379" s="108" t="s">
        <v>204</v>
      </c>
      <c r="C379" s="109">
        <f>$O378*(3/12)/12</f>
        <v>23418673.634301916</v>
      </c>
      <c r="D379" s="109">
        <f t="shared" ref="D379" si="490">$O378*(3/12)/12</f>
        <v>23418673.634301916</v>
      </c>
      <c r="E379" s="109">
        <f t="shared" ref="E379" si="491">$O378*(3/12)/12</f>
        <v>23418673.634301916</v>
      </c>
      <c r="F379" s="109">
        <f t="shared" ref="F379" si="492">$O378*(3/12)/12</f>
        <v>23418673.634301916</v>
      </c>
      <c r="G379" s="109">
        <f t="shared" ref="G379" si="493">$O378*(3/12)/12</f>
        <v>23418673.634301916</v>
      </c>
      <c r="H379" s="109">
        <f t="shared" ref="H379" si="494">$O378*(3/12)/12</f>
        <v>23418673.634301916</v>
      </c>
      <c r="I379" s="109">
        <f t="shared" ref="I379" si="495">$O378*(3/12)/12</f>
        <v>23418673.634301916</v>
      </c>
      <c r="J379" s="109">
        <f t="shared" ref="J379" si="496">$O378*(3/12)/12</f>
        <v>23418673.634301916</v>
      </c>
      <c r="K379" s="109">
        <f t="shared" ref="K379" si="497">$O378*(3/12)/12</f>
        <v>23418673.634301916</v>
      </c>
      <c r="L379" s="109">
        <f t="shared" ref="L379" si="498">$O378*(3/12)/12</f>
        <v>23418673.634301916</v>
      </c>
      <c r="M379" s="109">
        <f t="shared" ref="M379" si="499">$O378*(3/12)/12</f>
        <v>23418673.634301916</v>
      </c>
      <c r="N379" s="109">
        <f>$O378*(3/12)/12</f>
        <v>23418673.634301916</v>
      </c>
      <c r="O379" s="109">
        <f t="shared" ref="O379:O381" si="500">SUM(C379:N379)</f>
        <v>281024083.61162293</v>
      </c>
      <c r="P379" s="43"/>
      <c r="Q379" s="43"/>
      <c r="R379" s="40"/>
      <c r="S379" s="40"/>
      <c r="T379" s="40"/>
      <c r="U379" s="40"/>
      <c r="V379" s="40"/>
      <c r="W379" s="40"/>
      <c r="X379" s="40"/>
      <c r="Y379" s="40"/>
    </row>
    <row r="380" spans="1:25" s="11" customFormat="1" x14ac:dyDescent="0.25">
      <c r="A380" s="82"/>
      <c r="B380" s="108" t="s">
        <v>386</v>
      </c>
      <c r="C380" s="109">
        <f>C348*(1+$K$192)</f>
        <v>6924548.9826009478</v>
      </c>
      <c r="D380" s="109">
        <v>0</v>
      </c>
      <c r="E380" s="109">
        <v>0</v>
      </c>
      <c r="F380" s="109">
        <v>0</v>
      </c>
      <c r="G380" s="109">
        <v>0</v>
      </c>
      <c r="H380" s="109">
        <v>0</v>
      </c>
      <c r="I380" s="109">
        <v>0</v>
      </c>
      <c r="J380" s="109">
        <v>0</v>
      </c>
      <c r="K380" s="109">
        <v>0</v>
      </c>
      <c r="L380" s="109">
        <v>0</v>
      </c>
      <c r="M380" s="109">
        <v>0</v>
      </c>
      <c r="N380" s="109">
        <v>0</v>
      </c>
      <c r="O380" s="109">
        <f t="shared" si="500"/>
        <v>6924548.9826009478</v>
      </c>
      <c r="P380" s="43"/>
      <c r="Q380" s="43"/>
      <c r="R380" s="40"/>
      <c r="S380" s="40"/>
      <c r="T380" s="40"/>
      <c r="U380" s="40"/>
      <c r="V380" s="40"/>
      <c r="W380" s="40"/>
      <c r="X380" s="40"/>
      <c r="Y380" s="40"/>
    </row>
    <row r="381" spans="1:25" s="11" customFormat="1" x14ac:dyDescent="0.25">
      <c r="A381" s="82"/>
      <c r="B381" s="60" t="s">
        <v>206</v>
      </c>
      <c r="C381" s="61">
        <f>C362-C378-C379-C380</f>
        <v>-54616660.190823056</v>
      </c>
      <c r="D381" s="61">
        <f t="shared" ref="D381" si="501">D362-D378-D379-D380</f>
        <v>-46006456.040232018</v>
      </c>
      <c r="E381" s="61">
        <f t="shared" ref="E381" si="502">E362-E378-E379-E380</f>
        <v>-48493318.272527695</v>
      </c>
      <c r="F381" s="61">
        <f t="shared" ref="F381" si="503">F362-F378-F379-F380</f>
        <v>-44654076.90780966</v>
      </c>
      <c r="G381" s="61">
        <f t="shared" ref="G381" si="504">G362-G378-G379-G380</f>
        <v>-60464982.898613214</v>
      </c>
      <c r="H381" s="61">
        <f t="shared" ref="H381" si="505">H362-H378-H379-H380</f>
        <v>-48853413.396568984</v>
      </c>
      <c r="I381" s="61">
        <f t="shared" ref="I381" si="506">I362-I378-I379-I380</f>
        <v>-52906157.059841916</v>
      </c>
      <c r="J381" s="61">
        <f t="shared" ref="J381" si="507">J362-J378-J379-J380</f>
        <v>-51985548.19933489</v>
      </c>
      <c r="K381" s="61">
        <f t="shared" ref="K381" si="508">K362-K378-K379-K380</f>
        <v>-55683638.810522795</v>
      </c>
      <c r="L381" s="61">
        <f t="shared" ref="L381" si="509">L362-L378-L379-L380</f>
        <v>-49565600.790549472</v>
      </c>
      <c r="M381" s="61">
        <f t="shared" ref="M381" si="510">M362-M378-M379-M380</f>
        <v>-52973194.080142096</v>
      </c>
      <c r="N381" s="61">
        <f t="shared" ref="N381" si="511">N362-N378-N379-N380</f>
        <v>-51640562.67370519</v>
      </c>
      <c r="O381" s="47">
        <f t="shared" si="500"/>
        <v>-617843609.32067108</v>
      </c>
      <c r="P381" s="43"/>
      <c r="Q381" s="43"/>
      <c r="R381" s="40"/>
      <c r="S381" s="40"/>
      <c r="T381" s="40"/>
      <c r="U381" s="40"/>
      <c r="V381" s="40"/>
      <c r="W381" s="40"/>
      <c r="X381" s="40"/>
      <c r="Y381" s="40"/>
    </row>
    <row r="382" spans="1:25" x14ac:dyDescent="0.25">
      <c r="A382" s="85"/>
      <c r="B382" s="40"/>
      <c r="C382" s="40"/>
      <c r="D382" s="40"/>
      <c r="E382" s="40"/>
      <c r="F382" s="40"/>
      <c r="G382" s="40"/>
      <c r="H382" s="40"/>
      <c r="I382" s="40"/>
      <c r="J382" s="40"/>
      <c r="K382" s="40"/>
      <c r="L382" s="353" t="s">
        <v>217</v>
      </c>
      <c r="M382" s="354"/>
      <c r="N382" s="350">
        <f>SUM(C381:N381)+N350</f>
        <v>18353409445.165138</v>
      </c>
      <c r="O382" s="40"/>
    </row>
    <row r="383" spans="1:25" x14ac:dyDescent="0.25">
      <c r="A383" s="85"/>
      <c r="B383" s="40"/>
      <c r="C383" s="40"/>
      <c r="D383" s="40"/>
      <c r="E383" s="40"/>
      <c r="F383" s="40"/>
      <c r="G383" s="40"/>
      <c r="H383" s="40"/>
      <c r="I383" s="40"/>
      <c r="J383" s="40"/>
      <c r="K383" s="40"/>
      <c r="L383" s="320"/>
      <c r="M383" s="355"/>
      <c r="N383" s="351"/>
      <c r="O383" s="40"/>
    </row>
    <row r="384" spans="1:25" x14ac:dyDescent="0.25">
      <c r="A384" s="85"/>
      <c r="B384" s="319" t="s">
        <v>632</v>
      </c>
      <c r="C384" s="352" t="s">
        <v>173</v>
      </c>
      <c r="D384" s="352"/>
      <c r="E384" s="352"/>
      <c r="F384" s="352"/>
      <c r="G384" s="352"/>
      <c r="H384" s="352"/>
      <c r="I384" s="40"/>
      <c r="J384" s="358" t="s">
        <v>231</v>
      </c>
      <c r="K384" s="359">
        <v>0.04</v>
      </c>
      <c r="L384" s="40"/>
      <c r="M384" s="40"/>
      <c r="N384" s="40"/>
      <c r="O384" s="361"/>
    </row>
    <row r="385" spans="1:15" x14ac:dyDescent="0.25">
      <c r="A385" s="85"/>
      <c r="B385" s="319"/>
      <c r="C385" s="352"/>
      <c r="D385" s="352"/>
      <c r="E385" s="352"/>
      <c r="F385" s="352"/>
      <c r="G385" s="352"/>
      <c r="H385" s="352"/>
      <c r="I385" s="40"/>
      <c r="J385" s="358"/>
      <c r="K385" s="360"/>
      <c r="L385" s="40"/>
      <c r="M385" s="40"/>
      <c r="N385" s="40"/>
      <c r="O385" s="362"/>
    </row>
    <row r="386" spans="1:15" x14ac:dyDescent="0.25">
      <c r="A386" s="85"/>
      <c r="B386" s="319"/>
      <c r="C386" s="352"/>
      <c r="D386" s="352"/>
      <c r="E386" s="352"/>
      <c r="F386" s="352"/>
      <c r="G386" s="352"/>
      <c r="H386" s="352"/>
      <c r="I386" s="40"/>
      <c r="J386" s="40"/>
      <c r="K386" s="40"/>
      <c r="L386" s="40"/>
      <c r="M386" s="40"/>
      <c r="N386" s="40"/>
      <c r="O386" s="40"/>
    </row>
    <row r="389" spans="1:15" ht="24.6" x14ac:dyDescent="0.25">
      <c r="A389" s="96"/>
      <c r="B389" s="348" t="s">
        <v>290</v>
      </c>
      <c r="C389" s="348"/>
      <c r="D389" s="348"/>
      <c r="E389" s="348"/>
      <c r="F389" s="348"/>
      <c r="G389" s="348"/>
      <c r="H389" s="348"/>
      <c r="I389" s="348"/>
      <c r="J389" s="348"/>
      <c r="K389" s="348"/>
      <c r="L389" s="348"/>
      <c r="M389" s="348"/>
      <c r="N389" s="348"/>
      <c r="O389" s="348"/>
    </row>
    <row r="390" spans="1:15" ht="24.6" x14ac:dyDescent="0.25">
      <c r="A390" s="96"/>
      <c r="B390" s="349"/>
      <c r="C390" s="349"/>
      <c r="D390" s="349"/>
      <c r="E390" s="349"/>
      <c r="F390" s="349"/>
      <c r="G390" s="349"/>
      <c r="H390" s="349"/>
      <c r="I390" s="349"/>
      <c r="J390" s="349"/>
      <c r="K390" s="349"/>
      <c r="L390" s="349"/>
      <c r="M390" s="349"/>
      <c r="N390" s="349"/>
      <c r="O390" s="349"/>
    </row>
    <row r="391" spans="1:15" x14ac:dyDescent="0.25">
      <c r="A391" s="82"/>
      <c r="B391" s="41"/>
      <c r="C391" s="42" t="s">
        <v>66</v>
      </c>
      <c r="D391" s="42" t="s">
        <v>67</v>
      </c>
      <c r="E391" s="42" t="s">
        <v>68</v>
      </c>
      <c r="F391" s="42" t="s">
        <v>69</v>
      </c>
      <c r="G391" s="42" t="s">
        <v>70</v>
      </c>
      <c r="H391" s="42" t="s">
        <v>71</v>
      </c>
      <c r="I391" s="42" t="s">
        <v>72</v>
      </c>
      <c r="J391" s="42" t="s">
        <v>73</v>
      </c>
      <c r="K391" s="42" t="s">
        <v>74</v>
      </c>
      <c r="L391" s="42" t="s">
        <v>75</v>
      </c>
      <c r="M391" s="42" t="s">
        <v>76</v>
      </c>
      <c r="N391" s="42" t="s">
        <v>77</v>
      </c>
      <c r="O391" s="42" t="s">
        <v>236</v>
      </c>
    </row>
    <row r="392" spans="1:15" x14ac:dyDescent="0.25">
      <c r="A392" s="82"/>
      <c r="B392" s="44" t="s">
        <v>381</v>
      </c>
      <c r="C392" s="45">
        <f>'11.My pension value'!$D$10/12</f>
        <v>35611893.330636717</v>
      </c>
      <c r="D392" s="45">
        <f>'11.My pension value'!$D$10/12</f>
        <v>35611893.330636717</v>
      </c>
      <c r="E392" s="45">
        <f>'11.My pension value'!$D$10/12</f>
        <v>35611893.330636717</v>
      </c>
      <c r="F392" s="45">
        <f>'11.My pension value'!$D$10/12</f>
        <v>35611893.330636717</v>
      </c>
      <c r="G392" s="45">
        <f>'11.My pension value'!$D$10/12</f>
        <v>35611893.330636717</v>
      </c>
      <c r="H392" s="45">
        <f>'11.My pension value'!$D$10/12</f>
        <v>35611893.330636717</v>
      </c>
      <c r="I392" s="45">
        <f>'11.My pension value'!$D$10/12</f>
        <v>35611893.330636717</v>
      </c>
      <c r="J392" s="45">
        <f>'11.My pension value'!$D$10/12</f>
        <v>35611893.330636717</v>
      </c>
      <c r="K392" s="45">
        <f>'11.My pension value'!$D$10/12</f>
        <v>35611893.330636717</v>
      </c>
      <c r="L392" s="45">
        <f>'11.My pension value'!$D$10/12</f>
        <v>35611893.330636717</v>
      </c>
      <c r="M392" s="45">
        <f>'11.My pension value'!$D$10/12</f>
        <v>35611893.330636717</v>
      </c>
      <c r="N392" s="45">
        <f>'11.My pension value'!$D$10/12</f>
        <v>35611893.330636717</v>
      </c>
      <c r="O392" s="45" t="s">
        <v>173</v>
      </c>
    </row>
    <row r="393" spans="1:15" x14ac:dyDescent="0.25">
      <c r="A393" s="82"/>
      <c r="B393" s="44" t="s">
        <v>382</v>
      </c>
      <c r="C393" s="45">
        <f>'10.2. Wife''s retirement salary'!$O$10</f>
        <v>30571553.146033701</v>
      </c>
      <c r="D393" s="45">
        <f>'10.2. Wife''s retirement salary'!$O$10</f>
        <v>30571553.146033701</v>
      </c>
      <c r="E393" s="45">
        <f>'10.2. Wife''s retirement salary'!$O$10</f>
        <v>30571553.146033701</v>
      </c>
      <c r="F393" s="45">
        <f>'10.2. Wife''s retirement salary'!$O$10</f>
        <v>30571553.146033701</v>
      </c>
      <c r="G393" s="45">
        <f>'10.2. Wife''s retirement salary'!$O$10</f>
        <v>30571553.146033701</v>
      </c>
      <c r="H393" s="45">
        <f>'10.2. Wife''s retirement salary'!$O$10</f>
        <v>30571553.146033701</v>
      </c>
      <c r="I393" s="45">
        <f>'10.2. Wife''s retirement salary'!$O$10</f>
        <v>30571553.146033701</v>
      </c>
      <c r="J393" s="45">
        <f>'10.2. Wife''s retirement salary'!$O$10</f>
        <v>30571553.146033701</v>
      </c>
      <c r="K393" s="45">
        <f>'10.2. Wife''s retirement salary'!$O$10</f>
        <v>30571553.146033701</v>
      </c>
      <c r="L393" s="45">
        <f>'10.2. Wife''s retirement salary'!$O$10</f>
        <v>30571553.146033701</v>
      </c>
      <c r="M393" s="45">
        <f>'10.2. Wife''s retirement salary'!$O$10</f>
        <v>30571553.146033701</v>
      </c>
      <c r="N393" s="45">
        <f>'10.2. Wife''s retirement salary'!$O$10</f>
        <v>30571553.146033701</v>
      </c>
      <c r="O393" s="45" t="s">
        <v>173</v>
      </c>
    </row>
    <row r="394" spans="1:15" x14ac:dyDescent="0.25">
      <c r="A394" s="82"/>
      <c r="B394" s="46" t="s">
        <v>209</v>
      </c>
      <c r="C394" s="47">
        <f>SUM(C392:C393)</f>
        <v>66183446.476670414</v>
      </c>
      <c r="D394" s="47">
        <f t="shared" ref="D394:J394" si="512">SUM(D392:D393)</f>
        <v>66183446.476670414</v>
      </c>
      <c r="E394" s="47">
        <f t="shared" si="512"/>
        <v>66183446.476670414</v>
      </c>
      <c r="F394" s="47">
        <f t="shared" si="512"/>
        <v>66183446.476670414</v>
      </c>
      <c r="G394" s="47">
        <f t="shared" si="512"/>
        <v>66183446.476670414</v>
      </c>
      <c r="H394" s="47">
        <f t="shared" si="512"/>
        <v>66183446.476670414</v>
      </c>
      <c r="I394" s="47">
        <f t="shared" si="512"/>
        <v>66183446.476670414</v>
      </c>
      <c r="J394" s="47">
        <f t="shared" si="512"/>
        <v>66183446.476670414</v>
      </c>
      <c r="K394" s="47">
        <f>SUM(K392:K393)</f>
        <v>66183446.476670414</v>
      </c>
      <c r="L394" s="47">
        <f t="shared" ref="L394:N394" si="513">SUM(L392:L393)</f>
        <v>66183446.476670414</v>
      </c>
      <c r="M394" s="47">
        <f t="shared" si="513"/>
        <v>66183446.476670414</v>
      </c>
      <c r="N394" s="47">
        <f t="shared" si="513"/>
        <v>66183446.476670414</v>
      </c>
      <c r="O394" s="47">
        <f>SUM(C394:N394)</f>
        <v>794201357.72004473</v>
      </c>
    </row>
    <row r="395" spans="1:15" x14ac:dyDescent="0.25">
      <c r="A395" s="82"/>
      <c r="B395" s="52" t="s">
        <v>78</v>
      </c>
      <c r="C395" s="53" t="s">
        <v>173</v>
      </c>
      <c r="D395" s="53" t="s">
        <v>173</v>
      </c>
      <c r="E395" s="53" t="s">
        <v>173</v>
      </c>
      <c r="F395" s="53" t="s">
        <v>173</v>
      </c>
      <c r="G395" s="53" t="s">
        <v>173</v>
      </c>
      <c r="H395" s="53" t="s">
        <v>173</v>
      </c>
      <c r="I395" s="53" t="s">
        <v>173</v>
      </c>
      <c r="J395" s="53" t="s">
        <v>173</v>
      </c>
      <c r="K395" s="53" t="s">
        <v>173</v>
      </c>
      <c r="L395" s="53" t="s">
        <v>173</v>
      </c>
      <c r="M395" s="53" t="s">
        <v>173</v>
      </c>
      <c r="N395" s="53" t="s">
        <v>173</v>
      </c>
      <c r="O395" s="91" t="s">
        <v>173</v>
      </c>
    </row>
    <row r="396" spans="1:15" x14ac:dyDescent="0.25">
      <c r="A396" s="82"/>
      <c r="B396" s="48" t="s">
        <v>79</v>
      </c>
      <c r="C396" s="54" t="s">
        <v>173</v>
      </c>
      <c r="D396" s="54" t="s">
        <v>173</v>
      </c>
      <c r="E396" s="54" t="s">
        <v>173</v>
      </c>
      <c r="F396" s="54" t="s">
        <v>173</v>
      </c>
      <c r="G396" s="54" t="s">
        <v>173</v>
      </c>
      <c r="H396" s="54" t="s">
        <v>173</v>
      </c>
      <c r="I396" s="54" t="s">
        <v>173</v>
      </c>
      <c r="J396" s="54" t="s">
        <v>173</v>
      </c>
      <c r="K396" s="54" t="s">
        <v>173</v>
      </c>
      <c r="L396" s="54" t="s">
        <v>173</v>
      </c>
      <c r="M396" s="54" t="s">
        <v>173</v>
      </c>
      <c r="N396" s="54" t="s">
        <v>173</v>
      </c>
      <c r="O396" s="91" t="s">
        <v>173</v>
      </c>
    </row>
    <row r="397" spans="1:15" x14ac:dyDescent="0.25">
      <c r="A397" s="83"/>
      <c r="B397" s="49" t="s">
        <v>195</v>
      </c>
      <c r="C397" s="50">
        <f>C365*(1+$K$62)</f>
        <v>867309.72791118477</v>
      </c>
      <c r="D397" s="50">
        <v>0</v>
      </c>
      <c r="E397" s="50">
        <v>0</v>
      </c>
      <c r="F397" s="50">
        <v>0</v>
      </c>
      <c r="G397" s="50">
        <v>0</v>
      </c>
      <c r="H397" s="50">
        <v>0</v>
      </c>
      <c r="I397" s="50">
        <v>0</v>
      </c>
      <c r="J397" s="50">
        <v>0</v>
      </c>
      <c r="K397" s="50">
        <v>0</v>
      </c>
      <c r="L397" s="50">
        <v>0</v>
      </c>
      <c r="M397" s="50">
        <v>0</v>
      </c>
      <c r="N397" s="50">
        <v>0</v>
      </c>
      <c r="O397" s="90">
        <f t="shared" ref="O397:O400" si="514">SUM(C397:N397)</f>
        <v>867309.72791118477</v>
      </c>
    </row>
    <row r="398" spans="1:15" x14ac:dyDescent="0.25">
      <c r="A398" s="82"/>
      <c r="B398" s="51" t="s">
        <v>178</v>
      </c>
      <c r="C398" s="50">
        <f>C366*(1+$K$62)</f>
        <v>6570528.2417514026</v>
      </c>
      <c r="D398" s="50">
        <f t="shared" ref="D398:N398" si="515">D366*(1+$K$62)</f>
        <v>6570528.2417514026</v>
      </c>
      <c r="E398" s="50">
        <f t="shared" si="515"/>
        <v>6570528.2417514026</v>
      </c>
      <c r="F398" s="50">
        <f t="shared" si="515"/>
        <v>6570528.2417514026</v>
      </c>
      <c r="G398" s="50">
        <f t="shared" si="515"/>
        <v>6570528.2417514026</v>
      </c>
      <c r="H398" s="50">
        <f t="shared" si="515"/>
        <v>6570528.2417514026</v>
      </c>
      <c r="I398" s="50">
        <f t="shared" si="515"/>
        <v>6570528.2417514026</v>
      </c>
      <c r="J398" s="50">
        <f t="shared" si="515"/>
        <v>6570528.2417514026</v>
      </c>
      <c r="K398" s="50">
        <f t="shared" si="515"/>
        <v>6570528.2417514026</v>
      </c>
      <c r="L398" s="50">
        <f t="shared" si="515"/>
        <v>6570528.2417514026</v>
      </c>
      <c r="M398" s="50">
        <f t="shared" si="515"/>
        <v>6570528.2417514026</v>
      </c>
      <c r="N398" s="50">
        <f t="shared" si="515"/>
        <v>6570528.2417514026</v>
      </c>
      <c r="O398" s="90">
        <f t="shared" si="514"/>
        <v>78846338.901016831</v>
      </c>
    </row>
    <row r="399" spans="1:15" x14ac:dyDescent="0.25">
      <c r="A399" s="84"/>
      <c r="B399" s="51" t="s">
        <v>248</v>
      </c>
      <c r="C399" s="50">
        <f>C367*(1+$K$62)</f>
        <v>788463.38901016826</v>
      </c>
      <c r="D399" s="50">
        <f t="shared" ref="D399:N399" si="516">D367*(1+$K$62)</f>
        <v>788463.38901016826</v>
      </c>
      <c r="E399" s="50">
        <f t="shared" si="516"/>
        <v>788463.38901016826</v>
      </c>
      <c r="F399" s="50">
        <f t="shared" si="516"/>
        <v>788463.38901016826</v>
      </c>
      <c r="G399" s="50">
        <f t="shared" si="516"/>
        <v>788463.38901016826</v>
      </c>
      <c r="H399" s="50">
        <f t="shared" si="516"/>
        <v>788463.38901016826</v>
      </c>
      <c r="I399" s="50">
        <f t="shared" si="516"/>
        <v>788463.38901016826</v>
      </c>
      <c r="J399" s="50">
        <f t="shared" si="516"/>
        <v>788463.38901016826</v>
      </c>
      <c r="K399" s="50">
        <f t="shared" si="516"/>
        <v>788463.38901016826</v>
      </c>
      <c r="L399" s="50">
        <f t="shared" si="516"/>
        <v>788463.38901016826</v>
      </c>
      <c r="M399" s="50">
        <f t="shared" si="516"/>
        <v>788463.38901016826</v>
      </c>
      <c r="N399" s="50">
        <f t="shared" si="516"/>
        <v>788463.38901016826</v>
      </c>
      <c r="O399" s="90">
        <f t="shared" si="514"/>
        <v>9461560.6681220215</v>
      </c>
    </row>
    <row r="400" spans="1:15" x14ac:dyDescent="0.25">
      <c r="A400" s="82"/>
      <c r="B400" s="46" t="s">
        <v>207</v>
      </c>
      <c r="C400" s="47">
        <f t="shared" ref="C400" si="517">SUM(C397:C399)</f>
        <v>8226301.3586727558</v>
      </c>
      <c r="D400" s="47">
        <f t="shared" ref="D400" si="518">SUM(D397:D399)</f>
        <v>7358991.6307615712</v>
      </c>
      <c r="E400" s="47">
        <f t="shared" ref="E400" si="519">SUM(E397:E399)</f>
        <v>7358991.6307615712</v>
      </c>
      <c r="F400" s="47">
        <f t="shared" ref="F400" si="520">SUM(F397:F399)</f>
        <v>7358991.6307615712</v>
      </c>
      <c r="G400" s="47">
        <f t="shared" ref="G400" si="521">SUM(G397:G399)</f>
        <v>7358991.6307615712</v>
      </c>
      <c r="H400" s="47">
        <f t="shared" ref="H400" si="522">SUM(H397:H399)</f>
        <v>7358991.6307615712</v>
      </c>
      <c r="I400" s="47">
        <f t="shared" ref="I400" si="523">SUM(I397:I399)</f>
        <v>7358991.6307615712</v>
      </c>
      <c r="J400" s="47">
        <f t="shared" ref="J400" si="524">SUM(J397:J399)</f>
        <v>7358991.6307615712</v>
      </c>
      <c r="K400" s="47">
        <f t="shared" ref="K400" si="525">SUM(K397:K399)</f>
        <v>7358991.6307615712</v>
      </c>
      <c r="L400" s="47">
        <f t="shared" ref="L400" si="526">SUM(L397:L399)</f>
        <v>7358991.6307615712</v>
      </c>
      <c r="M400" s="47">
        <f t="shared" ref="M400" si="527">SUM(M397:M399)</f>
        <v>7358991.6307615712</v>
      </c>
      <c r="N400" s="47">
        <f t="shared" ref="N400" si="528">SUM(N397:N399)</f>
        <v>7358991.6307615712</v>
      </c>
      <c r="O400" s="47">
        <f t="shared" si="514"/>
        <v>89175209.297050029</v>
      </c>
    </row>
    <row r="401" spans="1:25" x14ac:dyDescent="0.25">
      <c r="A401" s="82"/>
      <c r="B401" s="55" t="s">
        <v>83</v>
      </c>
      <c r="C401" s="59" t="s">
        <v>173</v>
      </c>
      <c r="D401" s="59" t="s">
        <v>173</v>
      </c>
      <c r="E401" s="59" t="s">
        <v>173</v>
      </c>
      <c r="F401" s="59" t="s">
        <v>173</v>
      </c>
      <c r="G401" s="59" t="s">
        <v>173</v>
      </c>
      <c r="H401" s="59" t="s">
        <v>173</v>
      </c>
      <c r="I401" s="59" t="s">
        <v>173</v>
      </c>
      <c r="J401" s="59" t="s">
        <v>173</v>
      </c>
      <c r="K401" s="59" t="s">
        <v>173</v>
      </c>
      <c r="L401" s="59" t="s">
        <v>173</v>
      </c>
      <c r="M401" s="59" t="s">
        <v>173</v>
      </c>
      <c r="N401" s="59" t="s">
        <v>173</v>
      </c>
      <c r="O401" s="91" t="s">
        <v>173</v>
      </c>
    </row>
    <row r="402" spans="1:25" x14ac:dyDescent="0.25">
      <c r="A402" s="82"/>
      <c r="B402" s="57" t="s">
        <v>210</v>
      </c>
      <c r="C402" s="89">
        <f t="shared" ref="C402:N402" si="529">C370*(1+$K$95)</f>
        <v>4349689.6960394299</v>
      </c>
      <c r="D402" s="89">
        <f t="shared" si="529"/>
        <v>5243281.5369176194</v>
      </c>
      <c r="E402" s="89">
        <f t="shared" si="529"/>
        <v>4835908.7859290298</v>
      </c>
      <c r="F402" s="89">
        <f t="shared" si="529"/>
        <v>4520523.430324967</v>
      </c>
      <c r="G402" s="89">
        <f t="shared" si="529"/>
        <v>4152573.8487868854</v>
      </c>
      <c r="H402" s="89">
        <f t="shared" si="529"/>
        <v>5203858.3674671119</v>
      </c>
      <c r="I402" s="89">
        <f t="shared" si="529"/>
        <v>6071168.0953782955</v>
      </c>
      <c r="J402" s="89">
        <f t="shared" si="529"/>
        <v>5821488.0221917424</v>
      </c>
      <c r="K402" s="89">
        <f t="shared" si="529"/>
        <v>4494241.3173579583</v>
      </c>
      <c r="L402" s="89">
        <f t="shared" si="529"/>
        <v>4612510.8257094854</v>
      </c>
      <c r="M402" s="89">
        <f t="shared" si="529"/>
        <v>4389112.8654899374</v>
      </c>
      <c r="N402" s="89">
        <f t="shared" si="529"/>
        <v>4743921.3905445114</v>
      </c>
      <c r="O402" s="92">
        <f t="shared" ref="O402:O410" si="530">SUM(C402:N402)</f>
        <v>58438278.182136975</v>
      </c>
    </row>
    <row r="403" spans="1:25" x14ac:dyDescent="0.25">
      <c r="A403" s="82"/>
      <c r="B403" s="57" t="s">
        <v>203</v>
      </c>
      <c r="C403" s="89">
        <f t="shared" ref="C403:N403" si="531">C371*(1+$K$95)</f>
        <v>15703562.497785848</v>
      </c>
      <c r="D403" s="89">
        <f t="shared" si="531"/>
        <v>16912539.694268115</v>
      </c>
      <c r="E403" s="89">
        <f t="shared" si="531"/>
        <v>18962544.50569455</v>
      </c>
      <c r="F403" s="89">
        <f t="shared" si="531"/>
        <v>14376315.792952077</v>
      </c>
      <c r="G403" s="89">
        <f t="shared" si="531"/>
        <v>19133378.23998009</v>
      </c>
      <c r="H403" s="89">
        <f t="shared" si="531"/>
        <v>18029529.495365847</v>
      </c>
      <c r="I403" s="89">
        <f t="shared" si="531"/>
        <v>16544590.112730039</v>
      </c>
      <c r="J403" s="89">
        <f t="shared" si="531"/>
        <v>19672161.555803701</v>
      </c>
      <c r="K403" s="89">
        <f t="shared" si="531"/>
        <v>19225365.6353646</v>
      </c>
      <c r="L403" s="89">
        <f t="shared" si="531"/>
        <v>19225365.6353646</v>
      </c>
      <c r="M403" s="89">
        <f t="shared" si="531"/>
        <v>14941381.221742697</v>
      </c>
      <c r="N403" s="89">
        <f t="shared" si="531"/>
        <v>18423761.189870935</v>
      </c>
      <c r="O403" s="92">
        <f t="shared" si="530"/>
        <v>211150495.57692304</v>
      </c>
    </row>
    <row r="404" spans="1:25" x14ac:dyDescent="0.25">
      <c r="A404" s="82"/>
      <c r="B404" s="58" t="s">
        <v>84</v>
      </c>
      <c r="C404" s="89">
        <f t="shared" ref="C404:N404" si="532">C372*(1+$K$95)</f>
        <v>13890096.70306246</v>
      </c>
      <c r="D404" s="89">
        <f t="shared" si="532"/>
        <v>15164779.181962231</v>
      </c>
      <c r="E404" s="89">
        <f t="shared" si="532"/>
        <v>15217343.407896241</v>
      </c>
      <c r="F404" s="89">
        <f t="shared" si="532"/>
        <v>15716703.554269359</v>
      </c>
      <c r="G404" s="89">
        <f t="shared" si="532"/>
        <v>18594594.924156468</v>
      </c>
      <c r="H404" s="89">
        <f t="shared" si="532"/>
        <v>16084653.135807429</v>
      </c>
      <c r="I404" s="89">
        <f t="shared" si="532"/>
        <v>16702282.790532073</v>
      </c>
      <c r="J404" s="89">
        <f t="shared" si="532"/>
        <v>19225365.6353646</v>
      </c>
      <c r="K404" s="89">
        <f t="shared" si="532"/>
        <v>17595874.63141026</v>
      </c>
      <c r="L404" s="89">
        <f t="shared" si="532"/>
        <v>17569592.518443249</v>
      </c>
      <c r="M404" s="89">
        <f t="shared" si="532"/>
        <v>18804851.827892508</v>
      </c>
      <c r="N404" s="89">
        <f t="shared" si="532"/>
        <v>15099073.89954472</v>
      </c>
      <c r="O404" s="92">
        <f t="shared" si="530"/>
        <v>199665212.2103416</v>
      </c>
    </row>
    <row r="405" spans="1:25" x14ac:dyDescent="0.25">
      <c r="A405" s="82"/>
      <c r="B405" s="57" t="s">
        <v>85</v>
      </c>
      <c r="C405" s="89">
        <f t="shared" ref="C405:N405" si="533">C373*(1+$K$95)</f>
        <v>16137217.361741448</v>
      </c>
      <c r="D405" s="89">
        <f t="shared" si="533"/>
        <v>13811250.364161454</v>
      </c>
      <c r="E405" s="89">
        <f t="shared" si="533"/>
        <v>14297469.454051051</v>
      </c>
      <c r="F405" s="89">
        <f t="shared" si="533"/>
        <v>14520867.414270595</v>
      </c>
      <c r="G405" s="89">
        <f t="shared" si="533"/>
        <v>19527609.934485164</v>
      </c>
      <c r="H405" s="89">
        <f t="shared" si="533"/>
        <v>14336892.623501563</v>
      </c>
      <c r="I405" s="89">
        <f t="shared" si="533"/>
        <v>16636577.508114548</v>
      </c>
      <c r="J405" s="89">
        <f t="shared" si="533"/>
        <v>13167338.596469812</v>
      </c>
      <c r="K405" s="89">
        <f t="shared" si="533"/>
        <v>17122796.598004159</v>
      </c>
      <c r="L405" s="89">
        <f t="shared" si="533"/>
        <v>13600993.460425401</v>
      </c>
      <c r="M405" s="89">
        <f t="shared" si="533"/>
        <v>17319912.445256699</v>
      </c>
      <c r="N405" s="89">
        <f t="shared" si="533"/>
        <v>16492025.886796016</v>
      </c>
      <c r="O405" s="92">
        <f t="shared" si="530"/>
        <v>186970951.64727795</v>
      </c>
    </row>
    <row r="406" spans="1:25" x14ac:dyDescent="0.25">
      <c r="A406" s="84"/>
      <c r="B406" s="58" t="s">
        <v>249</v>
      </c>
      <c r="C406" s="89">
        <v>10000000</v>
      </c>
      <c r="D406" s="89">
        <v>10000000</v>
      </c>
      <c r="E406" s="89">
        <v>10000000</v>
      </c>
      <c r="F406" s="89">
        <v>10000000</v>
      </c>
      <c r="G406" s="89">
        <v>10000000</v>
      </c>
      <c r="H406" s="89">
        <v>10000000</v>
      </c>
      <c r="I406" s="89">
        <v>10000000</v>
      </c>
      <c r="J406" s="89">
        <v>10000000</v>
      </c>
      <c r="K406" s="89">
        <v>10000000</v>
      </c>
      <c r="L406" s="89">
        <v>10000000</v>
      </c>
      <c r="M406" s="89">
        <v>10000000</v>
      </c>
      <c r="N406" s="89">
        <v>10000000</v>
      </c>
      <c r="O406" s="92">
        <f t="shared" si="530"/>
        <v>120000000</v>
      </c>
    </row>
    <row r="407" spans="1:25" x14ac:dyDescent="0.25">
      <c r="A407" s="84"/>
      <c r="B407" s="58" t="s">
        <v>180</v>
      </c>
      <c r="C407" s="89">
        <f t="shared" ref="C407:N407" si="534">C375*(1+$K$95)</f>
        <v>13439011.136767879</v>
      </c>
      <c r="D407" s="89">
        <f t="shared" si="534"/>
        <v>11501954.97128913</v>
      </c>
      <c r="E407" s="89">
        <f t="shared" si="534"/>
        <v>11906876.316615188</v>
      </c>
      <c r="F407" s="89">
        <f t="shared" si="534"/>
        <v>12092921.2590623</v>
      </c>
      <c r="G407" s="89">
        <f t="shared" si="534"/>
        <v>16262516.733906403</v>
      </c>
      <c r="H407" s="89">
        <f t="shared" si="534"/>
        <v>11939707.777047042</v>
      </c>
      <c r="I407" s="89">
        <f t="shared" si="534"/>
        <v>13854876.302237894</v>
      </c>
      <c r="J407" s="89">
        <f t="shared" si="534"/>
        <v>10965707.784235679</v>
      </c>
      <c r="K407" s="89">
        <f t="shared" si="534"/>
        <v>14259797.64756397</v>
      </c>
      <c r="L407" s="89">
        <f t="shared" si="534"/>
        <v>11326853.848985963</v>
      </c>
      <c r="M407" s="89">
        <f t="shared" si="534"/>
        <v>14423954.949723182</v>
      </c>
      <c r="N407" s="89">
        <f t="shared" si="534"/>
        <v>13734494.280654468</v>
      </c>
      <c r="O407" s="92">
        <f t="shared" si="530"/>
        <v>155708673.0080891</v>
      </c>
    </row>
    <row r="408" spans="1:25" x14ac:dyDescent="0.25">
      <c r="A408" s="84"/>
      <c r="B408" s="58" t="s">
        <v>86</v>
      </c>
      <c r="C408" s="89">
        <f t="shared" ref="C408:N408" si="535">C376*(1+$K$95)</f>
        <v>11929280.658544417</v>
      </c>
      <c r="D408" s="89">
        <f t="shared" si="535"/>
        <v>11929280.658544417</v>
      </c>
      <c r="E408" s="89">
        <f t="shared" si="535"/>
        <v>11929280.658544417</v>
      </c>
      <c r="F408" s="89">
        <f t="shared" si="535"/>
        <v>11929280.658544417</v>
      </c>
      <c r="G408" s="89">
        <f t="shared" si="535"/>
        <v>11929280.658544417</v>
      </c>
      <c r="H408" s="89">
        <f t="shared" si="535"/>
        <v>11929280.658544417</v>
      </c>
      <c r="I408" s="89">
        <f t="shared" si="535"/>
        <v>11929280.658544417</v>
      </c>
      <c r="J408" s="89">
        <f t="shared" si="535"/>
        <v>11929280.658544417</v>
      </c>
      <c r="K408" s="89">
        <f t="shared" si="535"/>
        <v>11929280.658544417</v>
      </c>
      <c r="L408" s="89">
        <f t="shared" si="535"/>
        <v>11929280.658544417</v>
      </c>
      <c r="M408" s="89">
        <f t="shared" si="535"/>
        <v>11929280.658544417</v>
      </c>
      <c r="N408" s="89">
        <f t="shared" si="535"/>
        <v>11929280.658544417</v>
      </c>
      <c r="O408" s="92">
        <f t="shared" si="530"/>
        <v>143151367.90253302</v>
      </c>
    </row>
    <row r="409" spans="1:25" x14ac:dyDescent="0.25">
      <c r="A409" s="82"/>
      <c r="B409" s="46" t="s">
        <v>208</v>
      </c>
      <c r="C409" s="47">
        <f t="shared" ref="C409:N409" si="536">SUM(C402:C408)</f>
        <v>85448858.053941488</v>
      </c>
      <c r="D409" s="47">
        <f t="shared" si="536"/>
        <v>84563086.407142967</v>
      </c>
      <c r="E409" s="47">
        <f t="shared" si="536"/>
        <v>87149423.128730491</v>
      </c>
      <c r="F409" s="47">
        <f t="shared" si="536"/>
        <v>83156612.109423727</v>
      </c>
      <c r="G409" s="47">
        <f t="shared" si="536"/>
        <v>99599954.339859441</v>
      </c>
      <c r="H409" s="47">
        <f t="shared" si="536"/>
        <v>87523922.057733417</v>
      </c>
      <c r="I409" s="47">
        <f t="shared" si="536"/>
        <v>91738775.467537269</v>
      </c>
      <c r="J409" s="47">
        <f t="shared" si="536"/>
        <v>90781342.252609968</v>
      </c>
      <c r="K409" s="47">
        <f t="shared" si="536"/>
        <v>94627356.488245368</v>
      </c>
      <c r="L409" s="47">
        <f t="shared" si="536"/>
        <v>88264596.947473109</v>
      </c>
      <c r="M409" s="47">
        <f t="shared" si="536"/>
        <v>91808493.968649447</v>
      </c>
      <c r="N409" s="47">
        <f t="shared" si="536"/>
        <v>90422557.305955082</v>
      </c>
      <c r="O409" s="47">
        <f t="shared" si="530"/>
        <v>1075084978.5273018</v>
      </c>
    </row>
    <row r="410" spans="1:25" x14ac:dyDescent="0.25">
      <c r="A410" s="82"/>
      <c r="B410" s="60" t="s">
        <v>87</v>
      </c>
      <c r="C410" s="47">
        <f t="shared" ref="C410:N410" si="537">C400+C409</f>
        <v>93675159.412614241</v>
      </c>
      <c r="D410" s="47">
        <f t="shared" si="537"/>
        <v>91922078.037904531</v>
      </c>
      <c r="E410" s="47">
        <f t="shared" si="537"/>
        <v>94508414.759492069</v>
      </c>
      <c r="F410" s="47">
        <f t="shared" si="537"/>
        <v>90515603.740185291</v>
      </c>
      <c r="G410" s="47">
        <f t="shared" si="537"/>
        <v>106958945.97062102</v>
      </c>
      <c r="H410" s="47">
        <f t="shared" si="537"/>
        <v>94882913.68849498</v>
      </c>
      <c r="I410" s="47">
        <f t="shared" si="537"/>
        <v>99097767.098298848</v>
      </c>
      <c r="J410" s="47">
        <f t="shared" si="537"/>
        <v>98140333.883371532</v>
      </c>
      <c r="K410" s="47">
        <f t="shared" si="537"/>
        <v>101986348.11900693</v>
      </c>
      <c r="L410" s="47">
        <f t="shared" si="537"/>
        <v>95623588.578234673</v>
      </c>
      <c r="M410" s="47">
        <f t="shared" si="537"/>
        <v>99167485.599411011</v>
      </c>
      <c r="N410" s="47">
        <f t="shared" si="537"/>
        <v>97781548.936716646</v>
      </c>
      <c r="O410" s="47">
        <f t="shared" si="530"/>
        <v>1164260187.8243515</v>
      </c>
    </row>
    <row r="411" spans="1:25" s="11" customFormat="1" x14ac:dyDescent="0.25">
      <c r="A411" s="82"/>
      <c r="B411" s="108" t="s">
        <v>204</v>
      </c>
      <c r="C411" s="109">
        <f>$O410*(3/12)/12</f>
        <v>24255420.579673991</v>
      </c>
      <c r="D411" s="109">
        <f t="shared" ref="D411" si="538">$O410*(3/12)/12</f>
        <v>24255420.579673991</v>
      </c>
      <c r="E411" s="109">
        <f t="shared" ref="E411" si="539">$O410*(3/12)/12</f>
        <v>24255420.579673991</v>
      </c>
      <c r="F411" s="109">
        <f t="shared" ref="F411" si="540">$O410*(3/12)/12</f>
        <v>24255420.579673991</v>
      </c>
      <c r="G411" s="109">
        <f t="shared" ref="G411" si="541">$O410*(3/12)/12</f>
        <v>24255420.579673991</v>
      </c>
      <c r="H411" s="109">
        <f t="shared" ref="H411" si="542">$O410*(3/12)/12</f>
        <v>24255420.579673991</v>
      </c>
      <c r="I411" s="109">
        <f t="shared" ref="I411" si="543">$O410*(3/12)/12</f>
        <v>24255420.579673991</v>
      </c>
      <c r="J411" s="109">
        <f t="shared" ref="J411" si="544">$O410*(3/12)/12</f>
        <v>24255420.579673991</v>
      </c>
      <c r="K411" s="109">
        <f t="shared" ref="K411" si="545">$O410*(3/12)/12</f>
        <v>24255420.579673991</v>
      </c>
      <c r="L411" s="109">
        <f t="shared" ref="L411" si="546">$O410*(3/12)/12</f>
        <v>24255420.579673991</v>
      </c>
      <c r="M411" s="109">
        <f t="shared" ref="M411" si="547">$O410*(3/12)/12</f>
        <v>24255420.579673991</v>
      </c>
      <c r="N411" s="109">
        <f>$O410*(3/12)/12</f>
        <v>24255420.579673991</v>
      </c>
      <c r="O411" s="109">
        <f t="shared" ref="O411:O413" si="548">SUM(C411:N411)</f>
        <v>291065046.95608795</v>
      </c>
      <c r="P411" s="43"/>
      <c r="Q411" s="43"/>
      <c r="R411" s="40"/>
      <c r="S411" s="40"/>
      <c r="T411" s="40"/>
      <c r="U411" s="40"/>
      <c r="V411" s="40"/>
      <c r="W411" s="40"/>
      <c r="X411" s="40"/>
      <c r="Y411" s="40"/>
    </row>
    <row r="412" spans="1:25" s="11" customFormat="1" x14ac:dyDescent="0.25">
      <c r="A412" s="82"/>
      <c r="B412" s="108" t="s">
        <v>386</v>
      </c>
      <c r="C412" s="109">
        <f>C380*(1+$K$192)</f>
        <v>7201530.9419049863</v>
      </c>
      <c r="D412" s="109">
        <v>0</v>
      </c>
      <c r="E412" s="109">
        <v>0</v>
      </c>
      <c r="F412" s="109">
        <v>0</v>
      </c>
      <c r="G412" s="109">
        <v>0</v>
      </c>
      <c r="H412" s="109">
        <v>0</v>
      </c>
      <c r="I412" s="109">
        <v>0</v>
      </c>
      <c r="J412" s="109">
        <v>0</v>
      </c>
      <c r="K412" s="109">
        <v>0</v>
      </c>
      <c r="L412" s="109">
        <v>0</v>
      </c>
      <c r="M412" s="109">
        <v>0</v>
      </c>
      <c r="N412" s="109">
        <v>0</v>
      </c>
      <c r="O412" s="109">
        <f t="shared" si="548"/>
        <v>7201530.9419049863</v>
      </c>
      <c r="P412" s="43"/>
      <c r="Q412" s="43"/>
      <c r="R412" s="40"/>
      <c r="S412" s="40"/>
      <c r="T412" s="40"/>
      <c r="U412" s="40"/>
      <c r="V412" s="40"/>
      <c r="W412" s="40"/>
      <c r="X412" s="40"/>
      <c r="Y412" s="40"/>
    </row>
    <row r="413" spans="1:25" s="11" customFormat="1" x14ac:dyDescent="0.25">
      <c r="A413" s="82"/>
      <c r="B413" s="60" t="s">
        <v>206</v>
      </c>
      <c r="C413" s="61">
        <f>C394-C410-C411-C412</f>
        <v>-58948664.457522802</v>
      </c>
      <c r="D413" s="61">
        <f t="shared" ref="D413" si="549">D394-D410-D411-D412</f>
        <v>-49994052.140908107</v>
      </c>
      <c r="E413" s="61">
        <f t="shared" ref="E413" si="550">E394-E410-E411-E412</f>
        <v>-52580388.862495646</v>
      </c>
      <c r="F413" s="61">
        <f t="shared" ref="F413" si="551">F394-F410-F411-F412</f>
        <v>-48587577.843188867</v>
      </c>
      <c r="G413" s="61">
        <f t="shared" ref="G413" si="552">G394-G410-G411-G412</f>
        <v>-65030920.073624596</v>
      </c>
      <c r="H413" s="61">
        <f t="shared" ref="H413" si="553">H394-H410-H411-H412</f>
        <v>-52954887.791498557</v>
      </c>
      <c r="I413" s="61">
        <f t="shared" ref="I413" si="554">I394-I410-I411-I412</f>
        <v>-57169741.201302424</v>
      </c>
      <c r="J413" s="61">
        <f t="shared" ref="J413" si="555">J394-J410-J411-J412</f>
        <v>-56212307.986375108</v>
      </c>
      <c r="K413" s="61">
        <f t="shared" ref="K413" si="556">K394-K410-K411-K412</f>
        <v>-60058322.222010508</v>
      </c>
      <c r="L413" s="61">
        <f t="shared" ref="L413" si="557">L394-L410-L411-L412</f>
        <v>-53695562.681238249</v>
      </c>
      <c r="M413" s="61">
        <f t="shared" ref="M413" si="558">M394-M410-M411-M412</f>
        <v>-57239459.702414587</v>
      </c>
      <c r="N413" s="61">
        <f t="shared" ref="N413" si="559">N394-N410-N411-N412</f>
        <v>-55853523.039720222</v>
      </c>
      <c r="O413" s="47">
        <f t="shared" si="548"/>
        <v>-668325408.00229967</v>
      </c>
      <c r="P413" s="43"/>
      <c r="Q413" s="43"/>
      <c r="R413" s="40"/>
      <c r="S413" s="40"/>
      <c r="T413" s="40"/>
      <c r="U413" s="40"/>
      <c r="V413" s="40"/>
      <c r="W413" s="40"/>
      <c r="X413" s="40"/>
      <c r="Y413" s="40"/>
    </row>
    <row r="414" spans="1:25" x14ac:dyDescent="0.25">
      <c r="A414" s="85"/>
      <c r="B414" s="40"/>
      <c r="C414" s="40"/>
      <c r="D414" s="40"/>
      <c r="E414" s="40"/>
      <c r="F414" s="40"/>
      <c r="G414" s="40"/>
      <c r="H414" s="40"/>
      <c r="I414" s="40"/>
      <c r="J414" s="40"/>
      <c r="K414" s="40"/>
      <c r="L414" s="353" t="s">
        <v>217</v>
      </c>
      <c r="M414" s="354"/>
      <c r="N414" s="350">
        <f>SUM(C413:N413)+N382</f>
        <v>17685084037.162838</v>
      </c>
      <c r="O414" s="40"/>
    </row>
    <row r="415" spans="1:25" x14ac:dyDescent="0.25">
      <c r="A415" s="85"/>
      <c r="B415" s="40"/>
      <c r="C415" s="40"/>
      <c r="D415" s="40"/>
      <c r="E415" s="40"/>
      <c r="F415" s="40"/>
      <c r="G415" s="40"/>
      <c r="H415" s="40"/>
      <c r="I415" s="40"/>
      <c r="J415" s="40"/>
      <c r="K415" s="40"/>
      <c r="L415" s="320"/>
      <c r="M415" s="355"/>
      <c r="N415" s="351"/>
      <c r="O415" s="40"/>
    </row>
    <row r="416" spans="1:25" x14ac:dyDescent="0.25">
      <c r="A416" s="85"/>
      <c r="B416" s="319" t="s">
        <v>632</v>
      </c>
      <c r="C416" s="352" t="s">
        <v>173</v>
      </c>
      <c r="D416" s="352"/>
      <c r="E416" s="352"/>
      <c r="F416" s="352"/>
      <c r="G416" s="352"/>
      <c r="H416" s="352"/>
      <c r="I416" s="40"/>
      <c r="J416" s="358" t="s">
        <v>231</v>
      </c>
      <c r="K416" s="359">
        <v>0.04</v>
      </c>
      <c r="L416" s="40"/>
      <c r="M416" s="40"/>
      <c r="N416" s="40"/>
      <c r="O416" s="361"/>
    </row>
    <row r="417" spans="1:15" x14ac:dyDescent="0.25">
      <c r="A417" s="85"/>
      <c r="B417" s="319"/>
      <c r="C417" s="352"/>
      <c r="D417" s="352"/>
      <c r="E417" s="352"/>
      <c r="F417" s="352"/>
      <c r="G417" s="352"/>
      <c r="H417" s="352"/>
      <c r="I417" s="40"/>
      <c r="J417" s="358"/>
      <c r="K417" s="360"/>
      <c r="L417" s="40"/>
      <c r="M417" s="40"/>
      <c r="N417" s="40"/>
      <c r="O417" s="362"/>
    </row>
    <row r="418" spans="1:15" x14ac:dyDescent="0.25">
      <c r="A418" s="85"/>
      <c r="B418" s="319"/>
      <c r="C418" s="352"/>
      <c r="D418" s="352"/>
      <c r="E418" s="352"/>
      <c r="F418" s="352"/>
      <c r="G418" s="352"/>
      <c r="H418" s="352"/>
      <c r="I418" s="40"/>
      <c r="J418" s="40"/>
      <c r="K418" s="40"/>
      <c r="L418" s="40"/>
      <c r="M418" s="40"/>
      <c r="N418" s="40"/>
      <c r="O418" s="40"/>
    </row>
    <row r="421" spans="1:15" ht="24.6" x14ac:dyDescent="0.25">
      <c r="A421" s="96"/>
      <c r="B421" s="348" t="s">
        <v>291</v>
      </c>
      <c r="C421" s="348"/>
      <c r="D421" s="348"/>
      <c r="E421" s="348"/>
      <c r="F421" s="348"/>
      <c r="G421" s="348"/>
      <c r="H421" s="348"/>
      <c r="I421" s="348"/>
      <c r="J421" s="348"/>
      <c r="K421" s="348"/>
      <c r="L421" s="348"/>
      <c r="M421" s="348"/>
      <c r="N421" s="348"/>
      <c r="O421" s="348"/>
    </row>
    <row r="422" spans="1:15" ht="24.6" x14ac:dyDescent="0.25">
      <c r="A422" s="96"/>
      <c r="B422" s="349"/>
      <c r="C422" s="349"/>
      <c r="D422" s="349"/>
      <c r="E422" s="349"/>
      <c r="F422" s="349"/>
      <c r="G422" s="349"/>
      <c r="H422" s="349"/>
      <c r="I422" s="349"/>
      <c r="J422" s="349"/>
      <c r="K422" s="349"/>
      <c r="L422" s="349"/>
      <c r="M422" s="349"/>
      <c r="N422" s="349"/>
      <c r="O422" s="349"/>
    </row>
    <row r="423" spans="1:15" x14ac:dyDescent="0.25">
      <c r="A423" s="82"/>
      <c r="B423" s="41"/>
      <c r="C423" s="42" t="s">
        <v>66</v>
      </c>
      <c r="D423" s="42" t="s">
        <v>67</v>
      </c>
      <c r="E423" s="42" t="s">
        <v>68</v>
      </c>
      <c r="F423" s="42" t="s">
        <v>69</v>
      </c>
      <c r="G423" s="42" t="s">
        <v>70</v>
      </c>
      <c r="H423" s="42" t="s">
        <v>71</v>
      </c>
      <c r="I423" s="42" t="s">
        <v>72</v>
      </c>
      <c r="J423" s="42" t="s">
        <v>73</v>
      </c>
      <c r="K423" s="42" t="s">
        <v>74</v>
      </c>
      <c r="L423" s="42" t="s">
        <v>75</v>
      </c>
      <c r="M423" s="42" t="s">
        <v>76</v>
      </c>
      <c r="N423" s="42" t="s">
        <v>77</v>
      </c>
      <c r="O423" s="42" t="s">
        <v>236</v>
      </c>
    </row>
    <row r="424" spans="1:15" x14ac:dyDescent="0.25">
      <c r="A424" s="82"/>
      <c r="B424" s="44" t="s">
        <v>381</v>
      </c>
      <c r="C424" s="45">
        <f>'11.My pension value'!$D$11/12</f>
        <v>35611893.330636717</v>
      </c>
      <c r="D424" s="45">
        <f>'11.My pension value'!$D$11/12</f>
        <v>35611893.330636717</v>
      </c>
      <c r="E424" s="45">
        <f>'11.My pension value'!$D$11/12</f>
        <v>35611893.330636717</v>
      </c>
      <c r="F424" s="45">
        <f>'11.My pension value'!$D$11/12</f>
        <v>35611893.330636717</v>
      </c>
      <c r="G424" s="45">
        <f>'11.My pension value'!$D$11/12</f>
        <v>35611893.330636717</v>
      </c>
      <c r="H424" s="45">
        <f>'11.My pension value'!$D$11/12</f>
        <v>35611893.330636717</v>
      </c>
      <c r="I424" s="45">
        <f>'11.My pension value'!$D$11/12</f>
        <v>35611893.330636717</v>
      </c>
      <c r="J424" s="45">
        <f>'11.My pension value'!$D$11/12</f>
        <v>35611893.330636717</v>
      </c>
      <c r="K424" s="45">
        <f>'11.My pension value'!$D$11/12</f>
        <v>35611893.330636717</v>
      </c>
      <c r="L424" s="45">
        <f>'11.My pension value'!$D$11/12</f>
        <v>35611893.330636717</v>
      </c>
      <c r="M424" s="45">
        <f>'11.My pension value'!$D$11/12</f>
        <v>35611893.330636717</v>
      </c>
      <c r="N424" s="45">
        <f>'11.My pension value'!$D$11/12</f>
        <v>35611893.330636717</v>
      </c>
      <c r="O424" s="45" t="s">
        <v>173</v>
      </c>
    </row>
    <row r="425" spans="1:15" x14ac:dyDescent="0.25">
      <c r="A425" s="82"/>
      <c r="B425" s="44" t="s">
        <v>382</v>
      </c>
      <c r="C425" s="45">
        <f>'10.2. Wife''s retirement salary'!$O$10</f>
        <v>30571553.146033701</v>
      </c>
      <c r="D425" s="45">
        <f>'10.2. Wife''s retirement salary'!$O$10</f>
        <v>30571553.146033701</v>
      </c>
      <c r="E425" s="45">
        <f>'10.2. Wife''s retirement salary'!$O$10</f>
        <v>30571553.146033701</v>
      </c>
      <c r="F425" s="45">
        <f>'10.2. Wife''s retirement salary'!$O$10</f>
        <v>30571553.146033701</v>
      </c>
      <c r="G425" s="45">
        <f>'10.2. Wife''s retirement salary'!$O$10</f>
        <v>30571553.146033701</v>
      </c>
      <c r="H425" s="45">
        <f>'10.2. Wife''s retirement salary'!$O$10</f>
        <v>30571553.146033701</v>
      </c>
      <c r="I425" s="45">
        <f>'10.2. Wife''s retirement salary'!$O$10</f>
        <v>30571553.146033701</v>
      </c>
      <c r="J425" s="45">
        <f>'10.2. Wife''s retirement salary'!$O$10</f>
        <v>30571553.146033701</v>
      </c>
      <c r="K425" s="45">
        <f>'10.2. Wife''s retirement salary'!$O$10</f>
        <v>30571553.146033701</v>
      </c>
      <c r="L425" s="45">
        <f>'10.2. Wife''s retirement salary'!$O$10</f>
        <v>30571553.146033701</v>
      </c>
      <c r="M425" s="45">
        <f>'10.2. Wife''s retirement salary'!$O$10</f>
        <v>30571553.146033701</v>
      </c>
      <c r="N425" s="45">
        <f>'10.2. Wife''s retirement salary'!$O$10</f>
        <v>30571553.146033701</v>
      </c>
      <c r="O425" s="45" t="s">
        <v>173</v>
      </c>
    </row>
    <row r="426" spans="1:15" x14ac:dyDescent="0.25">
      <c r="A426" s="82"/>
      <c r="B426" s="46" t="s">
        <v>209</v>
      </c>
      <c r="C426" s="47">
        <f>SUM(C424:C425)</f>
        <v>66183446.476670414</v>
      </c>
      <c r="D426" s="47">
        <f t="shared" ref="D426:J426" si="560">SUM(D424:D425)</f>
        <v>66183446.476670414</v>
      </c>
      <c r="E426" s="47">
        <f t="shared" si="560"/>
        <v>66183446.476670414</v>
      </c>
      <c r="F426" s="47">
        <f t="shared" si="560"/>
        <v>66183446.476670414</v>
      </c>
      <c r="G426" s="47">
        <f t="shared" si="560"/>
        <v>66183446.476670414</v>
      </c>
      <c r="H426" s="47">
        <f t="shared" si="560"/>
        <v>66183446.476670414</v>
      </c>
      <c r="I426" s="47">
        <f t="shared" si="560"/>
        <v>66183446.476670414</v>
      </c>
      <c r="J426" s="47">
        <f t="shared" si="560"/>
        <v>66183446.476670414</v>
      </c>
      <c r="K426" s="47">
        <f>SUM(K424:K425)</f>
        <v>66183446.476670414</v>
      </c>
      <c r="L426" s="47">
        <f t="shared" ref="L426:N426" si="561">SUM(L424:L425)</f>
        <v>66183446.476670414</v>
      </c>
      <c r="M426" s="47">
        <f t="shared" si="561"/>
        <v>66183446.476670414</v>
      </c>
      <c r="N426" s="47">
        <f t="shared" si="561"/>
        <v>66183446.476670414</v>
      </c>
      <c r="O426" s="47">
        <f>SUM(C426:N426)</f>
        <v>794201357.72004473</v>
      </c>
    </row>
    <row r="427" spans="1:15" x14ac:dyDescent="0.25">
      <c r="A427" s="82"/>
      <c r="B427" s="52" t="s">
        <v>78</v>
      </c>
      <c r="C427" s="53" t="s">
        <v>173</v>
      </c>
      <c r="D427" s="53" t="s">
        <v>173</v>
      </c>
      <c r="E427" s="53" t="s">
        <v>173</v>
      </c>
      <c r="F427" s="53" t="s">
        <v>173</v>
      </c>
      <c r="G427" s="53" t="s">
        <v>173</v>
      </c>
      <c r="H427" s="53" t="s">
        <v>173</v>
      </c>
      <c r="I427" s="53" t="s">
        <v>173</v>
      </c>
      <c r="J427" s="53" t="s">
        <v>173</v>
      </c>
      <c r="K427" s="53" t="s">
        <v>173</v>
      </c>
      <c r="L427" s="53" t="s">
        <v>173</v>
      </c>
      <c r="M427" s="53" t="s">
        <v>173</v>
      </c>
      <c r="N427" s="53" t="s">
        <v>173</v>
      </c>
      <c r="O427" s="91" t="s">
        <v>173</v>
      </c>
    </row>
    <row r="428" spans="1:15" x14ac:dyDescent="0.25">
      <c r="A428" s="82"/>
      <c r="B428" s="48" t="s">
        <v>79</v>
      </c>
      <c r="C428" s="54" t="s">
        <v>173</v>
      </c>
      <c r="D428" s="54" t="s">
        <v>173</v>
      </c>
      <c r="E428" s="54" t="s">
        <v>173</v>
      </c>
      <c r="F428" s="54" t="s">
        <v>173</v>
      </c>
      <c r="G428" s="54" t="s">
        <v>173</v>
      </c>
      <c r="H428" s="54" t="s">
        <v>173</v>
      </c>
      <c r="I428" s="54" t="s">
        <v>173</v>
      </c>
      <c r="J428" s="54" t="s">
        <v>173</v>
      </c>
      <c r="K428" s="54" t="s">
        <v>173</v>
      </c>
      <c r="L428" s="54" t="s">
        <v>173</v>
      </c>
      <c r="M428" s="54" t="s">
        <v>173</v>
      </c>
      <c r="N428" s="54" t="s">
        <v>173</v>
      </c>
      <c r="O428" s="91" t="s">
        <v>173</v>
      </c>
    </row>
    <row r="429" spans="1:15" x14ac:dyDescent="0.25">
      <c r="A429" s="83"/>
      <c r="B429" s="49" t="s">
        <v>195</v>
      </c>
      <c r="C429" s="50">
        <f>C397*(1+$K$62)</f>
        <v>902002.11702763219</v>
      </c>
      <c r="D429" s="50">
        <v>0</v>
      </c>
      <c r="E429" s="50">
        <v>0</v>
      </c>
      <c r="F429" s="50">
        <v>0</v>
      </c>
      <c r="G429" s="50">
        <v>0</v>
      </c>
      <c r="H429" s="50">
        <v>0</v>
      </c>
      <c r="I429" s="50">
        <v>0</v>
      </c>
      <c r="J429" s="50">
        <v>0</v>
      </c>
      <c r="K429" s="50">
        <v>0</v>
      </c>
      <c r="L429" s="50">
        <v>0</v>
      </c>
      <c r="M429" s="50">
        <v>0</v>
      </c>
      <c r="N429" s="50">
        <v>0</v>
      </c>
      <c r="O429" s="90">
        <f t="shared" ref="O429:O432" si="562">SUM(C429:N429)</f>
        <v>902002.11702763219</v>
      </c>
    </row>
    <row r="430" spans="1:15" x14ac:dyDescent="0.25">
      <c r="A430" s="82"/>
      <c r="B430" s="51" t="s">
        <v>178</v>
      </c>
      <c r="C430" s="50">
        <f>C398*(1+$K$62)</f>
        <v>6833349.3714214591</v>
      </c>
      <c r="D430" s="50">
        <f t="shared" ref="D430:N430" si="563">D398*(1+$K$62)</f>
        <v>6833349.3714214591</v>
      </c>
      <c r="E430" s="50">
        <f t="shared" si="563"/>
        <v>6833349.3714214591</v>
      </c>
      <c r="F430" s="50">
        <f t="shared" si="563"/>
        <v>6833349.3714214591</v>
      </c>
      <c r="G430" s="50">
        <f t="shared" si="563"/>
        <v>6833349.3714214591</v>
      </c>
      <c r="H430" s="50">
        <f t="shared" si="563"/>
        <v>6833349.3714214591</v>
      </c>
      <c r="I430" s="50">
        <f t="shared" si="563"/>
        <v>6833349.3714214591</v>
      </c>
      <c r="J430" s="50">
        <f t="shared" si="563"/>
        <v>6833349.3714214591</v>
      </c>
      <c r="K430" s="50">
        <f t="shared" si="563"/>
        <v>6833349.3714214591</v>
      </c>
      <c r="L430" s="50">
        <f t="shared" si="563"/>
        <v>6833349.3714214591</v>
      </c>
      <c r="M430" s="50">
        <f t="shared" si="563"/>
        <v>6833349.3714214591</v>
      </c>
      <c r="N430" s="50">
        <f t="shared" si="563"/>
        <v>6833349.3714214591</v>
      </c>
      <c r="O430" s="90">
        <f t="shared" si="562"/>
        <v>82000192.457057491</v>
      </c>
    </row>
    <row r="431" spans="1:15" x14ac:dyDescent="0.25">
      <c r="A431" s="84"/>
      <c r="B431" s="51" t="s">
        <v>248</v>
      </c>
      <c r="C431" s="50">
        <f>C399*(1+$K$62)</f>
        <v>820001.92457057501</v>
      </c>
      <c r="D431" s="50">
        <f t="shared" ref="D431:N431" si="564">D399*(1+$K$62)</f>
        <v>820001.92457057501</v>
      </c>
      <c r="E431" s="50">
        <f t="shared" si="564"/>
        <v>820001.92457057501</v>
      </c>
      <c r="F431" s="50">
        <f t="shared" si="564"/>
        <v>820001.92457057501</v>
      </c>
      <c r="G431" s="50">
        <f t="shared" si="564"/>
        <v>820001.92457057501</v>
      </c>
      <c r="H431" s="50">
        <f t="shared" si="564"/>
        <v>820001.92457057501</v>
      </c>
      <c r="I431" s="50">
        <f t="shared" si="564"/>
        <v>820001.92457057501</v>
      </c>
      <c r="J431" s="50">
        <f t="shared" si="564"/>
        <v>820001.92457057501</v>
      </c>
      <c r="K431" s="50">
        <f t="shared" si="564"/>
        <v>820001.92457057501</v>
      </c>
      <c r="L431" s="50">
        <f t="shared" si="564"/>
        <v>820001.92457057501</v>
      </c>
      <c r="M431" s="50">
        <f t="shared" si="564"/>
        <v>820001.92457057501</v>
      </c>
      <c r="N431" s="50">
        <f t="shared" si="564"/>
        <v>820001.92457057501</v>
      </c>
      <c r="O431" s="90">
        <f t="shared" si="562"/>
        <v>9840023.0948469024</v>
      </c>
    </row>
    <row r="432" spans="1:15" x14ac:dyDescent="0.25">
      <c r="A432" s="82"/>
      <c r="B432" s="46" t="s">
        <v>207</v>
      </c>
      <c r="C432" s="47">
        <f t="shared" ref="C432" si="565">SUM(C429:C431)</f>
        <v>8555353.4130196664</v>
      </c>
      <c r="D432" s="47">
        <f t="shared" ref="D432" si="566">SUM(D429:D431)</f>
        <v>7653351.2959920345</v>
      </c>
      <c r="E432" s="47">
        <f t="shared" ref="E432" si="567">SUM(E429:E431)</f>
        <v>7653351.2959920345</v>
      </c>
      <c r="F432" s="47">
        <f t="shared" ref="F432" si="568">SUM(F429:F431)</f>
        <v>7653351.2959920345</v>
      </c>
      <c r="G432" s="47">
        <f t="shared" ref="G432" si="569">SUM(G429:G431)</f>
        <v>7653351.2959920345</v>
      </c>
      <c r="H432" s="47">
        <f t="shared" ref="H432" si="570">SUM(H429:H431)</f>
        <v>7653351.2959920345</v>
      </c>
      <c r="I432" s="47">
        <f t="shared" ref="I432" si="571">SUM(I429:I431)</f>
        <v>7653351.2959920345</v>
      </c>
      <c r="J432" s="47">
        <f t="shared" ref="J432" si="572">SUM(J429:J431)</f>
        <v>7653351.2959920345</v>
      </c>
      <c r="K432" s="47">
        <f t="shared" ref="K432" si="573">SUM(K429:K431)</f>
        <v>7653351.2959920345</v>
      </c>
      <c r="L432" s="47">
        <f t="shared" ref="L432" si="574">SUM(L429:L431)</f>
        <v>7653351.2959920345</v>
      </c>
      <c r="M432" s="47">
        <f t="shared" ref="M432" si="575">SUM(M429:M431)</f>
        <v>7653351.2959920345</v>
      </c>
      <c r="N432" s="47">
        <f t="shared" ref="N432" si="576">SUM(N429:N431)</f>
        <v>7653351.2959920345</v>
      </c>
      <c r="O432" s="47">
        <f t="shared" si="562"/>
        <v>92742217.668932036</v>
      </c>
    </row>
    <row r="433" spans="1:25" x14ac:dyDescent="0.25">
      <c r="A433" s="82"/>
      <c r="B433" s="55" t="s">
        <v>83</v>
      </c>
      <c r="C433" s="59" t="s">
        <v>173</v>
      </c>
      <c r="D433" s="59" t="s">
        <v>173</v>
      </c>
      <c r="E433" s="59" t="s">
        <v>173</v>
      </c>
      <c r="F433" s="59" t="s">
        <v>173</v>
      </c>
      <c r="G433" s="59" t="s">
        <v>173</v>
      </c>
      <c r="H433" s="59" t="s">
        <v>173</v>
      </c>
      <c r="I433" s="59" t="s">
        <v>173</v>
      </c>
      <c r="J433" s="59" t="s">
        <v>173</v>
      </c>
      <c r="K433" s="59" t="s">
        <v>173</v>
      </c>
      <c r="L433" s="59" t="s">
        <v>173</v>
      </c>
      <c r="M433" s="59" t="s">
        <v>173</v>
      </c>
      <c r="N433" s="59" t="s">
        <v>173</v>
      </c>
      <c r="O433" s="91" t="s">
        <v>173</v>
      </c>
    </row>
    <row r="434" spans="1:25" x14ac:dyDescent="0.25">
      <c r="A434" s="82"/>
      <c r="B434" s="57" t="s">
        <v>210</v>
      </c>
      <c r="C434" s="89">
        <f t="shared" ref="C434:N434" si="577">C402*(1+$K$95)</f>
        <v>4523677.2838810068</v>
      </c>
      <c r="D434" s="89">
        <f t="shared" si="577"/>
        <v>5453012.7983943243</v>
      </c>
      <c r="E434" s="89">
        <f t="shared" si="577"/>
        <v>5029345.1373661915</v>
      </c>
      <c r="F434" s="89">
        <f t="shared" si="577"/>
        <v>4701344.367537966</v>
      </c>
      <c r="G434" s="89">
        <f t="shared" si="577"/>
        <v>4318676.8027383611</v>
      </c>
      <c r="H434" s="89">
        <f t="shared" si="577"/>
        <v>5412012.7021657964</v>
      </c>
      <c r="I434" s="89">
        <f t="shared" si="577"/>
        <v>6314014.8191934275</v>
      </c>
      <c r="J434" s="89">
        <f t="shared" si="577"/>
        <v>6054347.5430794125</v>
      </c>
      <c r="K434" s="89">
        <f t="shared" si="577"/>
        <v>4674010.9700522767</v>
      </c>
      <c r="L434" s="89">
        <f t="shared" si="577"/>
        <v>4797011.2587378649</v>
      </c>
      <c r="M434" s="89">
        <f t="shared" si="577"/>
        <v>4564677.3801095346</v>
      </c>
      <c r="N434" s="89">
        <f t="shared" si="577"/>
        <v>4933678.2461662916</v>
      </c>
      <c r="O434" s="92">
        <f t="shared" ref="O434:O442" si="578">SUM(C434:N434)</f>
        <v>60775809.309422456</v>
      </c>
    </row>
    <row r="435" spans="1:25" x14ac:dyDescent="0.25">
      <c r="A435" s="82"/>
      <c r="B435" s="57" t="s">
        <v>203</v>
      </c>
      <c r="C435" s="89">
        <f t="shared" ref="C435:N435" si="579">C403*(1+$K$95)</f>
        <v>16331704.997697283</v>
      </c>
      <c r="D435" s="89">
        <f t="shared" si="579"/>
        <v>17589041.282038841</v>
      </c>
      <c r="E435" s="89">
        <f t="shared" si="579"/>
        <v>19721046.285922334</v>
      </c>
      <c r="F435" s="89">
        <f t="shared" si="579"/>
        <v>14951368.424670162</v>
      </c>
      <c r="G435" s="89">
        <f t="shared" si="579"/>
        <v>19898713.369579297</v>
      </c>
      <c r="H435" s="89">
        <f t="shared" si="579"/>
        <v>18750710.67518048</v>
      </c>
      <c r="I435" s="89">
        <f t="shared" si="579"/>
        <v>17206373.717239242</v>
      </c>
      <c r="J435" s="89">
        <f t="shared" si="579"/>
        <v>20459048.018035851</v>
      </c>
      <c r="K435" s="89">
        <f t="shared" si="579"/>
        <v>19994380.260779183</v>
      </c>
      <c r="L435" s="89">
        <f t="shared" si="579"/>
        <v>19994380.260779183</v>
      </c>
      <c r="M435" s="89">
        <f t="shared" si="579"/>
        <v>15539036.470612405</v>
      </c>
      <c r="N435" s="89">
        <f t="shared" si="579"/>
        <v>19160711.637465771</v>
      </c>
      <c r="O435" s="92">
        <f t="shared" si="578"/>
        <v>219596515.40000004</v>
      </c>
    </row>
    <row r="436" spans="1:25" x14ac:dyDescent="0.25">
      <c r="A436" s="82"/>
      <c r="B436" s="58" t="s">
        <v>84</v>
      </c>
      <c r="C436" s="89">
        <f t="shared" ref="C436:N436" si="580">C404*(1+$K$95)</f>
        <v>14445700.571184959</v>
      </c>
      <c r="D436" s="89">
        <f t="shared" si="580"/>
        <v>15771370.34924072</v>
      </c>
      <c r="E436" s="89">
        <f t="shared" si="580"/>
        <v>15826037.144212091</v>
      </c>
      <c r="F436" s="89">
        <f t="shared" si="580"/>
        <v>16345371.696440134</v>
      </c>
      <c r="G436" s="89">
        <f t="shared" si="580"/>
        <v>19338378.721122727</v>
      </c>
      <c r="H436" s="89">
        <f t="shared" si="580"/>
        <v>16728039.261239726</v>
      </c>
      <c r="I436" s="89">
        <f t="shared" si="580"/>
        <v>17370374.102153357</v>
      </c>
      <c r="J436" s="89">
        <f t="shared" si="580"/>
        <v>19994380.260779183</v>
      </c>
      <c r="K436" s="89">
        <f t="shared" si="580"/>
        <v>18299709.616666671</v>
      </c>
      <c r="L436" s="89">
        <f t="shared" si="580"/>
        <v>18272376.219180979</v>
      </c>
      <c r="M436" s="89">
        <f t="shared" si="580"/>
        <v>19557045.901008211</v>
      </c>
      <c r="N436" s="89">
        <f t="shared" si="580"/>
        <v>15703036.855526509</v>
      </c>
      <c r="O436" s="92">
        <f t="shared" si="578"/>
        <v>207651820.69875526</v>
      </c>
    </row>
    <row r="437" spans="1:25" x14ac:dyDescent="0.25">
      <c r="A437" s="82"/>
      <c r="B437" s="57" t="s">
        <v>85</v>
      </c>
      <c r="C437" s="89">
        <f t="shared" ref="C437:N437" si="581">C405*(1+$K$95)</f>
        <v>16782706.056211106</v>
      </c>
      <c r="D437" s="89">
        <f t="shared" si="581"/>
        <v>14363700.378727913</v>
      </c>
      <c r="E437" s="89">
        <f t="shared" si="581"/>
        <v>14869368.232213093</v>
      </c>
      <c r="F437" s="89">
        <f t="shared" si="581"/>
        <v>15101702.11084142</v>
      </c>
      <c r="G437" s="89">
        <f t="shared" si="581"/>
        <v>20308714.331864569</v>
      </c>
      <c r="H437" s="89">
        <f t="shared" si="581"/>
        <v>14910368.328441627</v>
      </c>
      <c r="I437" s="89">
        <f t="shared" si="581"/>
        <v>17302040.608439133</v>
      </c>
      <c r="J437" s="89">
        <f t="shared" si="581"/>
        <v>13694032.140328605</v>
      </c>
      <c r="K437" s="89">
        <f t="shared" si="581"/>
        <v>17807708.461924326</v>
      </c>
      <c r="L437" s="89">
        <f t="shared" si="581"/>
        <v>14145033.198842417</v>
      </c>
      <c r="M437" s="89">
        <f t="shared" si="581"/>
        <v>18012708.943066966</v>
      </c>
      <c r="N437" s="89">
        <f t="shared" si="581"/>
        <v>17151706.922267858</v>
      </c>
      <c r="O437" s="92">
        <f t="shared" si="578"/>
        <v>194449789.71316898</v>
      </c>
    </row>
    <row r="438" spans="1:25" x14ac:dyDescent="0.25">
      <c r="A438" s="84"/>
      <c r="B438" s="58" t="s">
        <v>249</v>
      </c>
      <c r="C438" s="89">
        <v>10000000</v>
      </c>
      <c r="D438" s="89">
        <v>10000000</v>
      </c>
      <c r="E438" s="89">
        <v>10000000</v>
      </c>
      <c r="F438" s="89">
        <v>10000000</v>
      </c>
      <c r="G438" s="89">
        <v>10000000</v>
      </c>
      <c r="H438" s="89">
        <v>10000000</v>
      </c>
      <c r="I438" s="89">
        <v>10000000</v>
      </c>
      <c r="J438" s="89">
        <v>10000000</v>
      </c>
      <c r="K438" s="89">
        <v>10000000</v>
      </c>
      <c r="L438" s="89">
        <v>10000000</v>
      </c>
      <c r="M438" s="89">
        <v>10000000</v>
      </c>
      <c r="N438" s="89">
        <v>10000000</v>
      </c>
      <c r="O438" s="92">
        <f t="shared" si="578"/>
        <v>120000000</v>
      </c>
    </row>
    <row r="439" spans="1:25" x14ac:dyDescent="0.25">
      <c r="A439" s="84"/>
      <c r="B439" s="58" t="s">
        <v>180</v>
      </c>
      <c r="C439" s="89">
        <f t="shared" ref="C439:N439" si="582">C407*(1+$K$95)</f>
        <v>13976571.582238594</v>
      </c>
      <c r="D439" s="89">
        <f t="shared" si="582"/>
        <v>11962033.170140695</v>
      </c>
      <c r="E439" s="89">
        <f t="shared" si="582"/>
        <v>12383151.369279796</v>
      </c>
      <c r="F439" s="89">
        <f t="shared" si="582"/>
        <v>12576638.109424792</v>
      </c>
      <c r="G439" s="89">
        <f t="shared" si="582"/>
        <v>16913017.40326266</v>
      </c>
      <c r="H439" s="89">
        <f t="shared" si="582"/>
        <v>12417296.088128924</v>
      </c>
      <c r="I439" s="89">
        <f t="shared" si="582"/>
        <v>14409071.35432741</v>
      </c>
      <c r="J439" s="89">
        <f t="shared" si="582"/>
        <v>11404336.095605107</v>
      </c>
      <c r="K439" s="89">
        <f t="shared" si="582"/>
        <v>14830189.553466529</v>
      </c>
      <c r="L439" s="89">
        <f t="shared" si="582"/>
        <v>11779928.002945401</v>
      </c>
      <c r="M439" s="89">
        <f t="shared" si="582"/>
        <v>15000913.14771211</v>
      </c>
      <c r="N439" s="89">
        <f t="shared" si="582"/>
        <v>14283874.051880646</v>
      </c>
      <c r="O439" s="92">
        <f t="shared" si="578"/>
        <v>161937019.92841268</v>
      </c>
    </row>
    <row r="440" spans="1:25" x14ac:dyDescent="0.25">
      <c r="A440" s="84"/>
      <c r="B440" s="58" t="s">
        <v>86</v>
      </c>
      <c r="C440" s="89">
        <f t="shared" ref="C440:N440" si="583">C408*(1+$K$95)</f>
        <v>12406451.884886194</v>
      </c>
      <c r="D440" s="89">
        <f t="shared" si="583"/>
        <v>12406451.884886194</v>
      </c>
      <c r="E440" s="89">
        <f t="shared" si="583"/>
        <v>12406451.884886194</v>
      </c>
      <c r="F440" s="89">
        <f t="shared" si="583"/>
        <v>12406451.884886194</v>
      </c>
      <c r="G440" s="89">
        <f t="shared" si="583"/>
        <v>12406451.884886194</v>
      </c>
      <c r="H440" s="89">
        <f t="shared" si="583"/>
        <v>12406451.884886194</v>
      </c>
      <c r="I440" s="89">
        <f t="shared" si="583"/>
        <v>12406451.884886194</v>
      </c>
      <c r="J440" s="89">
        <f t="shared" si="583"/>
        <v>12406451.884886194</v>
      </c>
      <c r="K440" s="89">
        <f t="shared" si="583"/>
        <v>12406451.884886194</v>
      </c>
      <c r="L440" s="89">
        <f t="shared" si="583"/>
        <v>12406451.884886194</v>
      </c>
      <c r="M440" s="89">
        <f t="shared" si="583"/>
        <v>12406451.884886194</v>
      </c>
      <c r="N440" s="89">
        <f t="shared" si="583"/>
        <v>12406451.884886194</v>
      </c>
      <c r="O440" s="92">
        <f t="shared" si="578"/>
        <v>148877422.61863431</v>
      </c>
    </row>
    <row r="441" spans="1:25" x14ac:dyDescent="0.25">
      <c r="A441" s="82"/>
      <c r="B441" s="46" t="s">
        <v>208</v>
      </c>
      <c r="C441" s="47">
        <f t="shared" ref="C441:N441" si="584">SUM(C434:C440)</f>
        <v>88466812.376099139</v>
      </c>
      <c r="D441" s="47">
        <f t="shared" si="584"/>
        <v>87545609.863428682</v>
      </c>
      <c r="E441" s="47">
        <f t="shared" si="584"/>
        <v>90235400.053879693</v>
      </c>
      <c r="F441" s="47">
        <f t="shared" si="584"/>
        <v>86082876.593800679</v>
      </c>
      <c r="G441" s="47">
        <f t="shared" si="584"/>
        <v>103183952.5134538</v>
      </c>
      <c r="H441" s="47">
        <f t="shared" si="584"/>
        <v>90624878.940042749</v>
      </c>
      <c r="I441" s="47">
        <f t="shared" si="584"/>
        <v>95008326.486238763</v>
      </c>
      <c r="J441" s="47">
        <f t="shared" si="584"/>
        <v>94012595.942714348</v>
      </c>
      <c r="K441" s="47">
        <f t="shared" si="584"/>
        <v>98012450.747775182</v>
      </c>
      <c r="L441" s="47">
        <f t="shared" si="584"/>
        <v>91395180.825372025</v>
      </c>
      <c r="M441" s="47">
        <f t="shared" si="584"/>
        <v>95080833.727395415</v>
      </c>
      <c r="N441" s="47">
        <f t="shared" si="584"/>
        <v>93639459.598193258</v>
      </c>
      <c r="O441" s="47">
        <f t="shared" si="578"/>
        <v>1113288377.6683936</v>
      </c>
    </row>
    <row r="442" spans="1:25" x14ac:dyDescent="0.25">
      <c r="A442" s="82"/>
      <c r="B442" s="60" t="s">
        <v>87</v>
      </c>
      <c r="C442" s="47">
        <f t="shared" ref="C442:N442" si="585">C432+C441</f>
        <v>97022165.789118811</v>
      </c>
      <c r="D442" s="47">
        <f t="shared" si="585"/>
        <v>95198961.159420714</v>
      </c>
      <c r="E442" s="47">
        <f t="shared" si="585"/>
        <v>97888751.349871725</v>
      </c>
      <c r="F442" s="47">
        <f t="shared" si="585"/>
        <v>93736227.889792711</v>
      </c>
      <c r="G442" s="47">
        <f t="shared" si="585"/>
        <v>110837303.80944583</v>
      </c>
      <c r="H442" s="47">
        <f t="shared" si="585"/>
        <v>98278230.236034781</v>
      </c>
      <c r="I442" s="47">
        <f t="shared" si="585"/>
        <v>102661677.78223079</v>
      </c>
      <c r="J442" s="47">
        <f t="shared" si="585"/>
        <v>101665947.23870638</v>
      </c>
      <c r="K442" s="47">
        <f t="shared" si="585"/>
        <v>105665802.04376721</v>
      </c>
      <c r="L442" s="47">
        <f t="shared" si="585"/>
        <v>99048532.121364057</v>
      </c>
      <c r="M442" s="47">
        <f t="shared" si="585"/>
        <v>102734185.02338745</v>
      </c>
      <c r="N442" s="47">
        <f t="shared" si="585"/>
        <v>101292810.89418529</v>
      </c>
      <c r="O442" s="47">
        <f t="shared" si="578"/>
        <v>1206030595.3373258</v>
      </c>
    </row>
    <row r="443" spans="1:25" s="11" customFormat="1" x14ac:dyDescent="0.25">
      <c r="A443" s="82"/>
      <c r="B443" s="108" t="s">
        <v>204</v>
      </c>
      <c r="C443" s="109">
        <f>$O442*(3/12)/12</f>
        <v>25125637.402860954</v>
      </c>
      <c r="D443" s="109">
        <f t="shared" ref="D443" si="586">$O442*(3/12)/12</f>
        <v>25125637.402860954</v>
      </c>
      <c r="E443" s="109">
        <f t="shared" ref="E443" si="587">$O442*(3/12)/12</f>
        <v>25125637.402860954</v>
      </c>
      <c r="F443" s="109">
        <f t="shared" ref="F443" si="588">$O442*(3/12)/12</f>
        <v>25125637.402860954</v>
      </c>
      <c r="G443" s="109">
        <f t="shared" ref="G443" si="589">$O442*(3/12)/12</f>
        <v>25125637.402860954</v>
      </c>
      <c r="H443" s="109">
        <f t="shared" ref="H443" si="590">$O442*(3/12)/12</f>
        <v>25125637.402860954</v>
      </c>
      <c r="I443" s="109">
        <f t="shared" ref="I443" si="591">$O442*(3/12)/12</f>
        <v>25125637.402860954</v>
      </c>
      <c r="J443" s="109">
        <f t="shared" ref="J443" si="592">$O442*(3/12)/12</f>
        <v>25125637.402860954</v>
      </c>
      <c r="K443" s="109">
        <f t="shared" ref="K443" si="593">$O442*(3/12)/12</f>
        <v>25125637.402860954</v>
      </c>
      <c r="L443" s="109">
        <f t="shared" ref="L443" si="594">$O442*(3/12)/12</f>
        <v>25125637.402860954</v>
      </c>
      <c r="M443" s="109">
        <f t="shared" ref="M443" si="595">$O442*(3/12)/12</f>
        <v>25125637.402860954</v>
      </c>
      <c r="N443" s="109">
        <f>$O442*(3/12)/12</f>
        <v>25125637.402860954</v>
      </c>
      <c r="O443" s="109">
        <f t="shared" ref="O443:O445" si="596">SUM(C443:N443)</f>
        <v>301507648.83433139</v>
      </c>
      <c r="P443" s="43"/>
      <c r="Q443" s="43"/>
      <c r="R443" s="40"/>
      <c r="S443" s="40"/>
      <c r="T443" s="40"/>
      <c r="U443" s="40"/>
      <c r="V443" s="40"/>
      <c r="W443" s="40"/>
      <c r="X443" s="40"/>
      <c r="Y443" s="40"/>
    </row>
    <row r="444" spans="1:25" s="11" customFormat="1" x14ac:dyDescent="0.25">
      <c r="A444" s="82"/>
      <c r="B444" s="108" t="s">
        <v>386</v>
      </c>
      <c r="C444" s="109">
        <f>C412*(1+$K$192)</f>
        <v>7489592.1795811858</v>
      </c>
      <c r="D444" s="109">
        <v>0</v>
      </c>
      <c r="E444" s="109">
        <v>0</v>
      </c>
      <c r="F444" s="109">
        <v>0</v>
      </c>
      <c r="G444" s="109">
        <v>0</v>
      </c>
      <c r="H444" s="109">
        <v>0</v>
      </c>
      <c r="I444" s="109">
        <v>0</v>
      </c>
      <c r="J444" s="109">
        <v>0</v>
      </c>
      <c r="K444" s="109">
        <v>0</v>
      </c>
      <c r="L444" s="109">
        <v>0</v>
      </c>
      <c r="M444" s="109">
        <v>0</v>
      </c>
      <c r="N444" s="109">
        <v>0</v>
      </c>
      <c r="O444" s="109">
        <f t="shared" si="596"/>
        <v>7489592.1795811858</v>
      </c>
      <c r="P444" s="43"/>
      <c r="Q444" s="43"/>
      <c r="R444" s="40"/>
      <c r="S444" s="40"/>
      <c r="T444" s="40"/>
      <c r="U444" s="40"/>
      <c r="V444" s="40"/>
      <c r="W444" s="40"/>
      <c r="X444" s="40"/>
      <c r="Y444" s="40"/>
    </row>
    <row r="445" spans="1:25" s="11" customFormat="1" x14ac:dyDescent="0.25">
      <c r="A445" s="82"/>
      <c r="B445" s="60" t="s">
        <v>206</v>
      </c>
      <c r="C445" s="61">
        <f>C426-C442-C443-C444</f>
        <v>-63453948.894890539</v>
      </c>
      <c r="D445" s="61">
        <f>D426-D442-D443-D444</f>
        <v>-54141152.085611254</v>
      </c>
      <c r="E445" s="61">
        <f t="shared" ref="E445" si="597">E426-E442-E443-E444</f>
        <v>-56830942.276062265</v>
      </c>
      <c r="F445" s="61">
        <f t="shared" ref="F445" si="598">F426-F442-F443-F444</f>
        <v>-52678418.815983251</v>
      </c>
      <c r="G445" s="61">
        <f t="shared" ref="G445" si="599">G426-G442-G443-G444</f>
        <v>-69779494.735636368</v>
      </c>
      <c r="H445" s="61">
        <f t="shared" ref="H445" si="600">H426-H442-H443-H444</f>
        <v>-57220421.162225321</v>
      </c>
      <c r="I445" s="61">
        <f t="shared" ref="I445" si="601">I426-I442-I443-I444</f>
        <v>-61603868.708421335</v>
      </c>
      <c r="J445" s="61">
        <f t="shared" ref="J445" si="602">J426-J442-J443-J444</f>
        <v>-60608138.16489692</v>
      </c>
      <c r="K445" s="61">
        <f t="shared" ref="K445" si="603">K426-K442-K443-K444</f>
        <v>-64607992.969957754</v>
      </c>
      <c r="L445" s="61">
        <f t="shared" ref="L445" si="604">L426-L442-L443-L444</f>
        <v>-57990723.047554597</v>
      </c>
      <c r="M445" s="61">
        <f t="shared" ref="M445" si="605">M426-M442-M443-M444</f>
        <v>-61676375.949577987</v>
      </c>
      <c r="N445" s="61">
        <f t="shared" ref="N445" si="606">N426-N442-N443-N444</f>
        <v>-60235001.82037583</v>
      </c>
      <c r="O445" s="47">
        <f t="shared" si="596"/>
        <v>-720826478.63119328</v>
      </c>
      <c r="P445" s="43"/>
      <c r="Q445" s="43"/>
      <c r="R445" s="40"/>
      <c r="S445" s="40"/>
      <c r="T445" s="40"/>
      <c r="U445" s="40"/>
      <c r="V445" s="40"/>
      <c r="W445" s="40"/>
      <c r="X445" s="40"/>
      <c r="Y445" s="40"/>
    </row>
    <row r="446" spans="1:25" x14ac:dyDescent="0.25">
      <c r="A446" s="85"/>
      <c r="B446" s="40"/>
      <c r="C446" s="40"/>
      <c r="D446" s="40"/>
      <c r="E446" s="40"/>
      <c r="F446" s="40"/>
      <c r="G446" s="40"/>
      <c r="H446" s="40"/>
      <c r="I446" s="40"/>
      <c r="J446" s="40"/>
      <c r="K446" s="40"/>
      <c r="L446" s="353" t="s">
        <v>217</v>
      </c>
      <c r="M446" s="354"/>
      <c r="N446" s="350">
        <f>SUM(C445:N445)+N414</f>
        <v>16964257558.531645</v>
      </c>
      <c r="O446" s="40"/>
    </row>
    <row r="447" spans="1:25" x14ac:dyDescent="0.25">
      <c r="A447" s="85"/>
      <c r="B447" s="40"/>
      <c r="C447" s="40"/>
      <c r="D447" s="40"/>
      <c r="E447" s="40"/>
      <c r="F447" s="40"/>
      <c r="G447" s="40"/>
      <c r="H447" s="40"/>
      <c r="I447" s="40"/>
      <c r="J447" s="40"/>
      <c r="K447" s="40"/>
      <c r="L447" s="320"/>
      <c r="M447" s="355"/>
      <c r="N447" s="351"/>
      <c r="O447" s="40"/>
    </row>
    <row r="448" spans="1:25" x14ac:dyDescent="0.25">
      <c r="A448" s="85"/>
      <c r="B448" s="319" t="s">
        <v>632</v>
      </c>
      <c r="C448" s="352" t="s">
        <v>173</v>
      </c>
      <c r="D448" s="352"/>
      <c r="E448" s="352"/>
      <c r="F448" s="352"/>
      <c r="G448" s="352"/>
      <c r="H448" s="352"/>
      <c r="I448" s="40"/>
      <c r="J448" s="358" t="s">
        <v>231</v>
      </c>
      <c r="K448" s="359">
        <v>0.04</v>
      </c>
      <c r="L448" s="40"/>
      <c r="M448" s="40"/>
      <c r="N448" s="40"/>
      <c r="O448" s="361"/>
    </row>
    <row r="449" spans="1:15" x14ac:dyDescent="0.25">
      <c r="A449" s="85"/>
      <c r="B449" s="319"/>
      <c r="C449" s="352"/>
      <c r="D449" s="352"/>
      <c r="E449" s="352"/>
      <c r="F449" s="352"/>
      <c r="G449" s="352"/>
      <c r="H449" s="352"/>
      <c r="I449" s="40"/>
      <c r="J449" s="358"/>
      <c r="K449" s="360"/>
      <c r="L449" s="40"/>
      <c r="M449" s="40"/>
      <c r="N449" s="40"/>
      <c r="O449" s="362"/>
    </row>
    <row r="450" spans="1:15" x14ac:dyDescent="0.25">
      <c r="A450" s="85"/>
      <c r="B450" s="319"/>
      <c r="C450" s="352"/>
      <c r="D450" s="352"/>
      <c r="E450" s="352"/>
      <c r="F450" s="352"/>
      <c r="G450" s="352"/>
      <c r="H450" s="352"/>
      <c r="I450" s="40"/>
      <c r="J450" s="40"/>
      <c r="K450" s="40"/>
      <c r="L450" s="40"/>
      <c r="M450" s="40"/>
      <c r="N450" s="40"/>
      <c r="O450" s="40"/>
    </row>
    <row r="453" spans="1:15" ht="24.6" x14ac:dyDescent="0.25">
      <c r="A453" s="96"/>
      <c r="B453" s="348" t="s">
        <v>292</v>
      </c>
      <c r="C453" s="348"/>
      <c r="D453" s="348"/>
      <c r="E453" s="348"/>
      <c r="F453" s="348"/>
      <c r="G453" s="348"/>
      <c r="H453" s="348"/>
      <c r="I453" s="348"/>
      <c r="J453" s="348"/>
      <c r="K453" s="348"/>
      <c r="L453" s="348"/>
      <c r="M453" s="348"/>
      <c r="N453" s="348"/>
      <c r="O453" s="348"/>
    </row>
    <row r="454" spans="1:15" ht="24.6" x14ac:dyDescent="0.25">
      <c r="A454" s="96"/>
      <c r="B454" s="349"/>
      <c r="C454" s="349"/>
      <c r="D454" s="349"/>
      <c r="E454" s="349"/>
      <c r="F454" s="349"/>
      <c r="G454" s="349"/>
      <c r="H454" s="349"/>
      <c r="I454" s="349"/>
      <c r="J454" s="349"/>
      <c r="K454" s="349"/>
      <c r="L454" s="349"/>
      <c r="M454" s="349"/>
      <c r="N454" s="349"/>
      <c r="O454" s="349"/>
    </row>
    <row r="455" spans="1:15" x14ac:dyDescent="0.25">
      <c r="A455" s="82"/>
      <c r="B455" s="41"/>
      <c r="C455" s="42" t="s">
        <v>66</v>
      </c>
      <c r="D455" s="42" t="s">
        <v>67</v>
      </c>
      <c r="E455" s="42" t="s">
        <v>68</v>
      </c>
      <c r="F455" s="42" t="s">
        <v>69</v>
      </c>
      <c r="G455" s="42" t="s">
        <v>70</v>
      </c>
      <c r="H455" s="42" t="s">
        <v>71</v>
      </c>
      <c r="I455" s="42" t="s">
        <v>72</v>
      </c>
      <c r="J455" s="42" t="s">
        <v>73</v>
      </c>
      <c r="K455" s="42" t="s">
        <v>74</v>
      </c>
      <c r="L455" s="42" t="s">
        <v>75</v>
      </c>
      <c r="M455" s="42" t="s">
        <v>76</v>
      </c>
      <c r="N455" s="42" t="s">
        <v>77</v>
      </c>
      <c r="O455" s="42" t="s">
        <v>236</v>
      </c>
    </row>
    <row r="456" spans="1:15" x14ac:dyDescent="0.25">
      <c r="A456" s="82"/>
      <c r="B456" s="44" t="s">
        <v>381</v>
      </c>
      <c r="C456" s="45">
        <f>'11.My pension value'!$D$12/12</f>
        <v>35611893.330636717</v>
      </c>
      <c r="D456" s="45">
        <f>'11.My pension value'!$D$12/12</f>
        <v>35611893.330636717</v>
      </c>
      <c r="E456" s="45">
        <f>'11.My pension value'!$D$12/12</f>
        <v>35611893.330636717</v>
      </c>
      <c r="F456" s="45">
        <f>'11.My pension value'!$D$12/12</f>
        <v>35611893.330636717</v>
      </c>
      <c r="G456" s="45">
        <f>'11.My pension value'!$D$12/12</f>
        <v>35611893.330636717</v>
      </c>
      <c r="H456" s="45">
        <f>'11.My pension value'!$D$12/12</f>
        <v>35611893.330636717</v>
      </c>
      <c r="I456" s="45">
        <f>'11.My pension value'!$D$12/12</f>
        <v>35611893.330636717</v>
      </c>
      <c r="J456" s="45">
        <f>'11.My pension value'!$D$12/12</f>
        <v>35611893.330636717</v>
      </c>
      <c r="K456" s="45">
        <f>'11.My pension value'!$D$12/12</f>
        <v>35611893.330636717</v>
      </c>
      <c r="L456" s="45">
        <f>'11.My pension value'!$D$12/12</f>
        <v>35611893.330636717</v>
      </c>
      <c r="M456" s="45">
        <f>'11.My pension value'!$D$12/12</f>
        <v>35611893.330636717</v>
      </c>
      <c r="N456" s="45">
        <f>'11.My pension value'!$D$12/12</f>
        <v>35611893.330636717</v>
      </c>
      <c r="O456" s="45" t="s">
        <v>173</v>
      </c>
    </row>
    <row r="457" spans="1:15" x14ac:dyDescent="0.25">
      <c r="A457" s="82"/>
      <c r="B457" s="44" t="s">
        <v>382</v>
      </c>
      <c r="C457" s="45">
        <f>'10.2. Wife''s retirement salary'!$O$10</f>
        <v>30571553.146033701</v>
      </c>
      <c r="D457" s="45">
        <f>'10.2. Wife''s retirement salary'!$O$10</f>
        <v>30571553.146033701</v>
      </c>
      <c r="E457" s="45">
        <f>'10.2. Wife''s retirement salary'!$O$10</f>
        <v>30571553.146033701</v>
      </c>
      <c r="F457" s="45">
        <f>'10.2. Wife''s retirement salary'!$O$10</f>
        <v>30571553.146033701</v>
      </c>
      <c r="G457" s="45">
        <f>'10.2. Wife''s retirement salary'!$O$10</f>
        <v>30571553.146033701</v>
      </c>
      <c r="H457" s="45">
        <f>'10.2. Wife''s retirement salary'!$O$10</f>
        <v>30571553.146033701</v>
      </c>
      <c r="I457" s="45">
        <f>'10.2. Wife''s retirement salary'!$O$10</f>
        <v>30571553.146033701</v>
      </c>
      <c r="J457" s="45">
        <f>'10.2. Wife''s retirement salary'!$O$10</f>
        <v>30571553.146033701</v>
      </c>
      <c r="K457" s="45">
        <f>'10.2. Wife''s retirement salary'!$O$10</f>
        <v>30571553.146033701</v>
      </c>
      <c r="L457" s="45">
        <f>'10.2. Wife''s retirement salary'!$O$10</f>
        <v>30571553.146033701</v>
      </c>
      <c r="M457" s="45">
        <f>'10.2. Wife''s retirement salary'!$O$10</f>
        <v>30571553.146033701</v>
      </c>
      <c r="N457" s="45">
        <f>'10.2. Wife''s retirement salary'!$O$10</f>
        <v>30571553.146033701</v>
      </c>
      <c r="O457" s="45" t="s">
        <v>173</v>
      </c>
    </row>
    <row r="458" spans="1:15" x14ac:dyDescent="0.25">
      <c r="A458" s="82"/>
      <c r="B458" s="46" t="s">
        <v>209</v>
      </c>
      <c r="C458" s="47">
        <f>SUM(C456:C457)</f>
        <v>66183446.476670414</v>
      </c>
      <c r="D458" s="47">
        <f t="shared" ref="D458:J458" si="607">SUM(D456:D457)</f>
        <v>66183446.476670414</v>
      </c>
      <c r="E458" s="47">
        <f t="shared" si="607"/>
        <v>66183446.476670414</v>
      </c>
      <c r="F458" s="47">
        <f t="shared" si="607"/>
        <v>66183446.476670414</v>
      </c>
      <c r="G458" s="47">
        <f t="shared" si="607"/>
        <v>66183446.476670414</v>
      </c>
      <c r="H458" s="47">
        <f t="shared" si="607"/>
        <v>66183446.476670414</v>
      </c>
      <c r="I458" s="47">
        <f t="shared" si="607"/>
        <v>66183446.476670414</v>
      </c>
      <c r="J458" s="47">
        <f t="shared" si="607"/>
        <v>66183446.476670414</v>
      </c>
      <c r="K458" s="47">
        <f>SUM(K456:K457)</f>
        <v>66183446.476670414</v>
      </c>
      <c r="L458" s="47">
        <f t="shared" ref="L458:N458" si="608">SUM(L456:L457)</f>
        <v>66183446.476670414</v>
      </c>
      <c r="M458" s="47">
        <f t="shared" si="608"/>
        <v>66183446.476670414</v>
      </c>
      <c r="N458" s="47">
        <f t="shared" si="608"/>
        <v>66183446.476670414</v>
      </c>
      <c r="O458" s="47">
        <f>SUM(C458:N458)</f>
        <v>794201357.72004473</v>
      </c>
    </row>
    <row r="459" spans="1:15" x14ac:dyDescent="0.25">
      <c r="A459" s="82"/>
      <c r="B459" s="52" t="s">
        <v>78</v>
      </c>
      <c r="C459" s="53" t="s">
        <v>173</v>
      </c>
      <c r="D459" s="53" t="s">
        <v>173</v>
      </c>
      <c r="E459" s="53" t="s">
        <v>173</v>
      </c>
      <c r="F459" s="53" t="s">
        <v>173</v>
      </c>
      <c r="G459" s="53" t="s">
        <v>173</v>
      </c>
      <c r="H459" s="53" t="s">
        <v>173</v>
      </c>
      <c r="I459" s="53" t="s">
        <v>173</v>
      </c>
      <c r="J459" s="53" t="s">
        <v>173</v>
      </c>
      <c r="K459" s="53" t="s">
        <v>173</v>
      </c>
      <c r="L459" s="53" t="s">
        <v>173</v>
      </c>
      <c r="M459" s="53" t="s">
        <v>173</v>
      </c>
      <c r="N459" s="53" t="s">
        <v>173</v>
      </c>
      <c r="O459" s="91" t="s">
        <v>173</v>
      </c>
    </row>
    <row r="460" spans="1:15" x14ac:dyDescent="0.25">
      <c r="A460" s="82"/>
      <c r="B460" s="48" t="s">
        <v>79</v>
      </c>
      <c r="C460" s="54" t="s">
        <v>173</v>
      </c>
      <c r="D460" s="54" t="s">
        <v>173</v>
      </c>
      <c r="E460" s="54" t="s">
        <v>173</v>
      </c>
      <c r="F460" s="54" t="s">
        <v>173</v>
      </c>
      <c r="G460" s="54" t="s">
        <v>173</v>
      </c>
      <c r="H460" s="54" t="s">
        <v>173</v>
      </c>
      <c r="I460" s="54" t="s">
        <v>173</v>
      </c>
      <c r="J460" s="54" t="s">
        <v>173</v>
      </c>
      <c r="K460" s="54" t="s">
        <v>173</v>
      </c>
      <c r="L460" s="54" t="s">
        <v>173</v>
      </c>
      <c r="M460" s="54" t="s">
        <v>173</v>
      </c>
      <c r="N460" s="54" t="s">
        <v>173</v>
      </c>
      <c r="O460" s="91" t="s">
        <v>173</v>
      </c>
    </row>
    <row r="461" spans="1:15" x14ac:dyDescent="0.25">
      <c r="A461" s="83"/>
      <c r="B461" s="49" t="s">
        <v>195</v>
      </c>
      <c r="C461" s="50">
        <f>C429*(1+$K$62)</f>
        <v>938082.20170873753</v>
      </c>
      <c r="D461" s="50">
        <v>0</v>
      </c>
      <c r="E461" s="50">
        <v>0</v>
      </c>
      <c r="F461" s="50">
        <v>0</v>
      </c>
      <c r="G461" s="50">
        <v>0</v>
      </c>
      <c r="H461" s="50">
        <v>0</v>
      </c>
      <c r="I461" s="50">
        <v>0</v>
      </c>
      <c r="J461" s="50">
        <v>0</v>
      </c>
      <c r="K461" s="50">
        <v>0</v>
      </c>
      <c r="L461" s="50">
        <v>0</v>
      </c>
      <c r="M461" s="50">
        <v>0</v>
      </c>
      <c r="N461" s="50">
        <v>0</v>
      </c>
      <c r="O461" s="90">
        <f t="shared" ref="O461:O464" si="609">SUM(C461:N461)</f>
        <v>938082.20170873753</v>
      </c>
    </row>
    <row r="462" spans="1:15" x14ac:dyDescent="0.25">
      <c r="A462" s="82"/>
      <c r="B462" s="51" t="s">
        <v>178</v>
      </c>
      <c r="C462" s="50">
        <f>C430*(1+$K$62)</f>
        <v>7106683.3462783182</v>
      </c>
      <c r="D462" s="50">
        <f t="shared" ref="D462:N462" si="610">D430*(1+$K$62)</f>
        <v>7106683.3462783182</v>
      </c>
      <c r="E462" s="50">
        <f t="shared" si="610"/>
        <v>7106683.3462783182</v>
      </c>
      <c r="F462" s="50">
        <f t="shared" si="610"/>
        <v>7106683.3462783182</v>
      </c>
      <c r="G462" s="50">
        <f t="shared" si="610"/>
        <v>7106683.3462783182</v>
      </c>
      <c r="H462" s="50">
        <f t="shared" si="610"/>
        <v>7106683.3462783182</v>
      </c>
      <c r="I462" s="50">
        <f t="shared" si="610"/>
        <v>7106683.3462783182</v>
      </c>
      <c r="J462" s="50">
        <f t="shared" si="610"/>
        <v>7106683.3462783182</v>
      </c>
      <c r="K462" s="50">
        <f t="shared" si="610"/>
        <v>7106683.3462783182</v>
      </c>
      <c r="L462" s="50">
        <f t="shared" si="610"/>
        <v>7106683.3462783182</v>
      </c>
      <c r="M462" s="50">
        <f t="shared" si="610"/>
        <v>7106683.3462783182</v>
      </c>
      <c r="N462" s="50">
        <f t="shared" si="610"/>
        <v>7106683.3462783182</v>
      </c>
      <c r="O462" s="90">
        <f t="shared" si="609"/>
        <v>85280200.155339837</v>
      </c>
    </row>
    <row r="463" spans="1:15" x14ac:dyDescent="0.25">
      <c r="A463" s="84"/>
      <c r="B463" s="51" t="s">
        <v>248</v>
      </c>
      <c r="C463" s="50">
        <f>C431*(1+$K$62)</f>
        <v>852802.00155339809</v>
      </c>
      <c r="D463" s="50">
        <f t="shared" ref="D463:N463" si="611">D431*(1+$K$62)</f>
        <v>852802.00155339809</v>
      </c>
      <c r="E463" s="50">
        <f t="shared" si="611"/>
        <v>852802.00155339809</v>
      </c>
      <c r="F463" s="50">
        <f t="shared" si="611"/>
        <v>852802.00155339809</v>
      </c>
      <c r="G463" s="50">
        <f t="shared" si="611"/>
        <v>852802.00155339809</v>
      </c>
      <c r="H463" s="50">
        <f t="shared" si="611"/>
        <v>852802.00155339809</v>
      </c>
      <c r="I463" s="50">
        <f t="shared" si="611"/>
        <v>852802.00155339809</v>
      </c>
      <c r="J463" s="50">
        <f t="shared" si="611"/>
        <v>852802.00155339809</v>
      </c>
      <c r="K463" s="50">
        <f t="shared" si="611"/>
        <v>852802.00155339809</v>
      </c>
      <c r="L463" s="50">
        <f t="shared" si="611"/>
        <v>852802.00155339809</v>
      </c>
      <c r="M463" s="50">
        <f t="shared" si="611"/>
        <v>852802.00155339809</v>
      </c>
      <c r="N463" s="50">
        <f t="shared" si="611"/>
        <v>852802.00155339809</v>
      </c>
      <c r="O463" s="90">
        <f t="shared" si="609"/>
        <v>10233624.018640773</v>
      </c>
    </row>
    <row r="464" spans="1:15" x14ac:dyDescent="0.25">
      <c r="A464" s="82"/>
      <c r="B464" s="46" t="s">
        <v>207</v>
      </c>
      <c r="C464" s="47">
        <f t="shared" ref="C464" si="612">SUM(C461:C463)</f>
        <v>8897567.5495404545</v>
      </c>
      <c r="D464" s="47">
        <f t="shared" ref="D464" si="613">SUM(D461:D463)</f>
        <v>7959485.3478317168</v>
      </c>
      <c r="E464" s="47">
        <f t="shared" ref="E464" si="614">SUM(E461:E463)</f>
        <v>7959485.3478317168</v>
      </c>
      <c r="F464" s="47">
        <f t="shared" ref="F464" si="615">SUM(F461:F463)</f>
        <v>7959485.3478317168</v>
      </c>
      <c r="G464" s="47">
        <f t="shared" ref="G464" si="616">SUM(G461:G463)</f>
        <v>7959485.3478317168</v>
      </c>
      <c r="H464" s="47">
        <f t="shared" ref="H464" si="617">SUM(H461:H463)</f>
        <v>7959485.3478317168</v>
      </c>
      <c r="I464" s="47">
        <f t="shared" ref="I464" si="618">SUM(I461:I463)</f>
        <v>7959485.3478317168</v>
      </c>
      <c r="J464" s="47">
        <f t="shared" ref="J464" si="619">SUM(J461:J463)</f>
        <v>7959485.3478317168</v>
      </c>
      <c r="K464" s="47">
        <f t="shared" ref="K464" si="620">SUM(K461:K463)</f>
        <v>7959485.3478317168</v>
      </c>
      <c r="L464" s="47">
        <f t="shared" ref="L464" si="621">SUM(L461:L463)</f>
        <v>7959485.3478317168</v>
      </c>
      <c r="M464" s="47">
        <f t="shared" ref="M464" si="622">SUM(M461:M463)</f>
        <v>7959485.3478317168</v>
      </c>
      <c r="N464" s="47">
        <f t="shared" ref="N464" si="623">SUM(N461:N463)</f>
        <v>7959485.3478317168</v>
      </c>
      <c r="O464" s="47">
        <f t="shared" si="609"/>
        <v>96451906.375689328</v>
      </c>
    </row>
    <row r="465" spans="1:25" x14ac:dyDescent="0.25">
      <c r="A465" s="82"/>
      <c r="B465" s="55" t="s">
        <v>83</v>
      </c>
      <c r="C465" s="59" t="s">
        <v>173</v>
      </c>
      <c r="D465" s="59" t="s">
        <v>173</v>
      </c>
      <c r="E465" s="59" t="s">
        <v>173</v>
      </c>
      <c r="F465" s="59" t="s">
        <v>173</v>
      </c>
      <c r="G465" s="59" t="s">
        <v>173</v>
      </c>
      <c r="H465" s="59" t="s">
        <v>173</v>
      </c>
      <c r="I465" s="59" t="s">
        <v>173</v>
      </c>
      <c r="J465" s="59" t="s">
        <v>173</v>
      </c>
      <c r="K465" s="59" t="s">
        <v>173</v>
      </c>
      <c r="L465" s="59" t="s">
        <v>173</v>
      </c>
      <c r="M465" s="59" t="s">
        <v>173</v>
      </c>
      <c r="N465" s="59" t="s">
        <v>173</v>
      </c>
      <c r="O465" s="91" t="s">
        <v>173</v>
      </c>
    </row>
    <row r="466" spans="1:25" x14ac:dyDescent="0.25">
      <c r="A466" s="82"/>
      <c r="B466" s="57" t="s">
        <v>210</v>
      </c>
      <c r="C466" s="89">
        <f t="shared" ref="C466:N466" si="624">C434*(1+$K$95)</f>
        <v>4704624.3752362467</v>
      </c>
      <c r="D466" s="89">
        <f t="shared" si="624"/>
        <v>5671133.3103300976</v>
      </c>
      <c r="E466" s="89">
        <f t="shared" si="624"/>
        <v>5230518.942860839</v>
      </c>
      <c r="F466" s="89">
        <f t="shared" si="624"/>
        <v>4889398.1422394849</v>
      </c>
      <c r="G466" s="89">
        <f t="shared" si="624"/>
        <v>4491423.8748478955</v>
      </c>
      <c r="H466" s="89">
        <f t="shared" si="624"/>
        <v>5628493.2102524284</v>
      </c>
      <c r="I466" s="89">
        <f t="shared" si="624"/>
        <v>6566575.4119611643</v>
      </c>
      <c r="J466" s="89">
        <f t="shared" si="624"/>
        <v>6296521.4448025897</v>
      </c>
      <c r="K466" s="89">
        <f t="shared" si="624"/>
        <v>4860971.4088543681</v>
      </c>
      <c r="L466" s="89">
        <f t="shared" si="624"/>
        <v>4988891.7090873793</v>
      </c>
      <c r="M466" s="89">
        <f t="shared" si="624"/>
        <v>4747264.4753139159</v>
      </c>
      <c r="N466" s="89">
        <f t="shared" si="624"/>
        <v>5131025.3760129437</v>
      </c>
      <c r="O466" s="92">
        <f t="shared" ref="O466:O474" si="625">SUM(C466:N466)</f>
        <v>63206841.681799345</v>
      </c>
    </row>
    <row r="467" spans="1:25" x14ac:dyDescent="0.25">
      <c r="A467" s="82"/>
      <c r="B467" s="57" t="s">
        <v>203</v>
      </c>
      <c r="C467" s="89">
        <f t="shared" ref="C467:N467" si="626">C435*(1+$K$95)</f>
        <v>16984973.197605174</v>
      </c>
      <c r="D467" s="89">
        <f t="shared" si="626"/>
        <v>18292602.933320396</v>
      </c>
      <c r="E467" s="89">
        <f t="shared" si="626"/>
        <v>20509888.137359228</v>
      </c>
      <c r="F467" s="89">
        <f t="shared" si="626"/>
        <v>15549423.161656968</v>
      </c>
      <c r="G467" s="89">
        <f t="shared" si="626"/>
        <v>20694661.90436247</v>
      </c>
      <c r="H467" s="89">
        <f t="shared" si="626"/>
        <v>19500739.102187701</v>
      </c>
      <c r="I467" s="89">
        <f t="shared" si="626"/>
        <v>17894628.665928811</v>
      </c>
      <c r="J467" s="89">
        <f t="shared" si="626"/>
        <v>21277409.938757285</v>
      </c>
      <c r="K467" s="89">
        <f t="shared" si="626"/>
        <v>20794155.471210353</v>
      </c>
      <c r="L467" s="89">
        <f t="shared" si="626"/>
        <v>20794155.471210353</v>
      </c>
      <c r="M467" s="89">
        <f t="shared" si="626"/>
        <v>16160597.929436902</v>
      </c>
      <c r="N467" s="89">
        <f t="shared" si="626"/>
        <v>19927140.102964401</v>
      </c>
      <c r="O467" s="92">
        <f t="shared" si="625"/>
        <v>228380376.01600006</v>
      </c>
    </row>
    <row r="468" spans="1:25" x14ac:dyDescent="0.25">
      <c r="A468" s="82"/>
      <c r="B468" s="58" t="s">
        <v>84</v>
      </c>
      <c r="C468" s="89">
        <f t="shared" ref="C468:N468" si="627">C436*(1+$K$95)</f>
        <v>15023528.594032358</v>
      </c>
      <c r="D468" s="89">
        <f t="shared" si="627"/>
        <v>16402225.163210349</v>
      </c>
      <c r="E468" s="89">
        <f t="shared" si="627"/>
        <v>16459078.629980575</v>
      </c>
      <c r="F468" s="89">
        <f t="shared" si="627"/>
        <v>16999186.564297739</v>
      </c>
      <c r="G468" s="89">
        <f t="shared" si="627"/>
        <v>20111913.869967636</v>
      </c>
      <c r="H468" s="89">
        <f t="shared" si="627"/>
        <v>17397160.831689317</v>
      </c>
      <c r="I468" s="89">
        <f t="shared" si="627"/>
        <v>18065189.066239491</v>
      </c>
      <c r="J468" s="89">
        <f t="shared" si="627"/>
        <v>20794155.471210353</v>
      </c>
      <c r="K468" s="89">
        <f t="shared" si="627"/>
        <v>19031698.001333337</v>
      </c>
      <c r="L468" s="89">
        <f t="shared" si="627"/>
        <v>19003271.267948218</v>
      </c>
      <c r="M468" s="89">
        <f t="shared" si="627"/>
        <v>20339327.73704854</v>
      </c>
      <c r="N468" s="89">
        <f t="shared" si="627"/>
        <v>16331158.329747569</v>
      </c>
      <c r="O468" s="92">
        <f t="shared" si="625"/>
        <v>215957893.52670544</v>
      </c>
    </row>
    <row r="469" spans="1:25" x14ac:dyDescent="0.25">
      <c r="A469" s="82"/>
      <c r="B469" s="57" t="s">
        <v>85</v>
      </c>
      <c r="C469" s="89">
        <f t="shared" ref="C469:N469" si="628">C437*(1+$K$95)</f>
        <v>17454014.298459552</v>
      </c>
      <c r="D469" s="89">
        <f t="shared" si="628"/>
        <v>14938248.393877029</v>
      </c>
      <c r="E469" s="89">
        <f t="shared" si="628"/>
        <v>15464142.961501617</v>
      </c>
      <c r="F469" s="89">
        <f t="shared" si="628"/>
        <v>15705770.195275078</v>
      </c>
      <c r="G469" s="89">
        <f t="shared" si="628"/>
        <v>21121062.905139152</v>
      </c>
      <c r="H469" s="89">
        <f t="shared" si="628"/>
        <v>15506783.061579293</v>
      </c>
      <c r="I469" s="89">
        <f t="shared" si="628"/>
        <v>17994122.232776698</v>
      </c>
      <c r="J469" s="89">
        <f t="shared" si="628"/>
        <v>14241793.425941749</v>
      </c>
      <c r="K469" s="89">
        <f t="shared" si="628"/>
        <v>18520016.8004013</v>
      </c>
      <c r="L469" s="89">
        <f t="shared" si="628"/>
        <v>14710834.526796116</v>
      </c>
      <c r="M469" s="89">
        <f t="shared" si="628"/>
        <v>18733217.300789647</v>
      </c>
      <c r="N469" s="89">
        <f t="shared" si="628"/>
        <v>17837775.199158572</v>
      </c>
      <c r="O469" s="92">
        <f t="shared" si="625"/>
        <v>202227781.30169579</v>
      </c>
    </row>
    <row r="470" spans="1:25" x14ac:dyDescent="0.25">
      <c r="A470" s="84"/>
      <c r="B470" s="58" t="s">
        <v>249</v>
      </c>
      <c r="C470" s="89">
        <v>10000000</v>
      </c>
      <c r="D470" s="89">
        <v>10000000</v>
      </c>
      <c r="E470" s="89">
        <v>10000000</v>
      </c>
      <c r="F470" s="89">
        <v>10000000</v>
      </c>
      <c r="G470" s="89">
        <v>10000000</v>
      </c>
      <c r="H470" s="89">
        <v>10000000</v>
      </c>
      <c r="I470" s="89">
        <v>10000000</v>
      </c>
      <c r="J470" s="89">
        <v>10000000</v>
      </c>
      <c r="K470" s="89">
        <v>10000000</v>
      </c>
      <c r="L470" s="89">
        <v>10000000</v>
      </c>
      <c r="M470" s="89">
        <v>10000000</v>
      </c>
      <c r="N470" s="89">
        <v>10000000</v>
      </c>
      <c r="O470" s="92">
        <f t="shared" si="625"/>
        <v>120000000</v>
      </c>
    </row>
    <row r="471" spans="1:25" x14ac:dyDescent="0.25">
      <c r="A471" s="84"/>
      <c r="B471" s="58" t="s">
        <v>180</v>
      </c>
      <c r="C471" s="89">
        <f t="shared" ref="C471:N471" si="629">C439*(1+$K$95)</f>
        <v>14535634.445528138</v>
      </c>
      <c r="D471" s="89">
        <f t="shared" si="629"/>
        <v>12440514.496946324</v>
      </c>
      <c r="E471" s="89">
        <f t="shared" si="629"/>
        <v>12878477.424050989</v>
      </c>
      <c r="F471" s="89">
        <f t="shared" si="629"/>
        <v>13079703.633801784</v>
      </c>
      <c r="G471" s="89">
        <f t="shared" si="629"/>
        <v>17589538.099393167</v>
      </c>
      <c r="H471" s="89">
        <f t="shared" si="629"/>
        <v>12913987.931654083</v>
      </c>
      <c r="I471" s="89">
        <f t="shared" si="629"/>
        <v>14985434.208500508</v>
      </c>
      <c r="J471" s="89">
        <f t="shared" si="629"/>
        <v>11860509.539429313</v>
      </c>
      <c r="K471" s="89">
        <f t="shared" si="629"/>
        <v>15423397.13560519</v>
      </c>
      <c r="L471" s="89">
        <f t="shared" si="629"/>
        <v>12251125.123063218</v>
      </c>
      <c r="M471" s="89">
        <f t="shared" si="629"/>
        <v>15600949.673620595</v>
      </c>
      <c r="N471" s="89">
        <f t="shared" si="629"/>
        <v>14855229.013955873</v>
      </c>
      <c r="O471" s="92">
        <f t="shared" si="625"/>
        <v>168414500.72554913</v>
      </c>
    </row>
    <row r="472" spans="1:25" x14ac:dyDescent="0.25">
      <c r="A472" s="84"/>
      <c r="B472" s="58" t="s">
        <v>86</v>
      </c>
      <c r="C472" s="89">
        <f t="shared" ref="C472:N472" si="630">C440*(1+$K$95)</f>
        <v>12902709.960281642</v>
      </c>
      <c r="D472" s="89">
        <f t="shared" si="630"/>
        <v>12902709.960281642</v>
      </c>
      <c r="E472" s="89">
        <f t="shared" si="630"/>
        <v>12902709.960281642</v>
      </c>
      <c r="F472" s="89">
        <f t="shared" si="630"/>
        <v>12902709.960281642</v>
      </c>
      <c r="G472" s="89">
        <f t="shared" si="630"/>
        <v>12902709.960281642</v>
      </c>
      <c r="H472" s="89">
        <f t="shared" si="630"/>
        <v>12902709.960281642</v>
      </c>
      <c r="I472" s="89">
        <f t="shared" si="630"/>
        <v>12902709.960281642</v>
      </c>
      <c r="J472" s="89">
        <f t="shared" si="630"/>
        <v>12902709.960281642</v>
      </c>
      <c r="K472" s="89">
        <f t="shared" si="630"/>
        <v>12902709.960281642</v>
      </c>
      <c r="L472" s="89">
        <f t="shared" si="630"/>
        <v>12902709.960281642</v>
      </c>
      <c r="M472" s="89">
        <f t="shared" si="630"/>
        <v>12902709.960281642</v>
      </c>
      <c r="N472" s="89">
        <f t="shared" si="630"/>
        <v>12902709.960281642</v>
      </c>
      <c r="O472" s="92">
        <f t="shared" si="625"/>
        <v>154832519.52337971</v>
      </c>
    </row>
    <row r="473" spans="1:25" x14ac:dyDescent="0.25">
      <c r="A473" s="82"/>
      <c r="B473" s="46" t="s">
        <v>208</v>
      </c>
      <c r="C473" s="47">
        <f t="shared" ref="C473:N473" si="631">SUM(C466:C472)</f>
        <v>91605484.871143118</v>
      </c>
      <c r="D473" s="47">
        <f t="shared" si="631"/>
        <v>90647434.257965833</v>
      </c>
      <c r="E473" s="47">
        <f t="shared" si="631"/>
        <v>93444816.056034878</v>
      </c>
      <c r="F473" s="47">
        <f t="shared" si="631"/>
        <v>89126191.657552689</v>
      </c>
      <c r="G473" s="47">
        <f t="shared" si="631"/>
        <v>106911310.61399195</v>
      </c>
      <c r="H473" s="47">
        <f t="shared" si="631"/>
        <v>93849874.097644463</v>
      </c>
      <c r="I473" s="47">
        <f t="shared" si="631"/>
        <v>98408659.545688316</v>
      </c>
      <c r="J473" s="47">
        <f t="shared" si="631"/>
        <v>97373099.780422926</v>
      </c>
      <c r="K473" s="47">
        <f t="shared" si="631"/>
        <v>101532948.77768618</v>
      </c>
      <c r="L473" s="47">
        <f t="shared" si="631"/>
        <v>94650988.058386937</v>
      </c>
      <c r="M473" s="47">
        <f t="shared" si="631"/>
        <v>98484067.076491252</v>
      </c>
      <c r="N473" s="47">
        <f t="shared" si="631"/>
        <v>96985037.982121006</v>
      </c>
      <c r="O473" s="47">
        <f t="shared" si="625"/>
        <v>1153019912.7751296</v>
      </c>
    </row>
    <row r="474" spans="1:25" x14ac:dyDescent="0.25">
      <c r="A474" s="82"/>
      <c r="B474" s="60" t="s">
        <v>87</v>
      </c>
      <c r="C474" s="47">
        <f t="shared" ref="C474:N474" si="632">C464+C473</f>
        <v>100503052.42068358</v>
      </c>
      <c r="D474" s="47">
        <f t="shared" si="632"/>
        <v>98606919.605797544</v>
      </c>
      <c r="E474" s="47">
        <f t="shared" si="632"/>
        <v>101404301.40386659</v>
      </c>
      <c r="F474" s="47">
        <f t="shared" si="632"/>
        <v>97085677.0053844</v>
      </c>
      <c r="G474" s="47">
        <f t="shared" si="632"/>
        <v>114870795.96182366</v>
      </c>
      <c r="H474" s="47">
        <f t="shared" si="632"/>
        <v>101809359.44547617</v>
      </c>
      <c r="I474" s="47">
        <f t="shared" si="632"/>
        <v>106368144.89352003</v>
      </c>
      <c r="J474" s="47">
        <f t="shared" si="632"/>
        <v>105332585.12825464</v>
      </c>
      <c r="K474" s="47">
        <f t="shared" si="632"/>
        <v>109492434.12551789</v>
      </c>
      <c r="L474" s="47">
        <f t="shared" si="632"/>
        <v>102610473.40621865</v>
      </c>
      <c r="M474" s="47">
        <f t="shared" si="632"/>
        <v>106443552.42432296</v>
      </c>
      <c r="N474" s="47">
        <f t="shared" si="632"/>
        <v>104944523.32995272</v>
      </c>
      <c r="O474" s="47">
        <f t="shared" si="625"/>
        <v>1249471819.1508188</v>
      </c>
    </row>
    <row r="475" spans="1:25" s="11" customFormat="1" x14ac:dyDescent="0.25">
      <c r="A475" s="82"/>
      <c r="B475" s="108" t="s">
        <v>204</v>
      </c>
      <c r="C475" s="109">
        <f>$O474*(3/12)/12</f>
        <v>26030662.898975391</v>
      </c>
      <c r="D475" s="109">
        <f t="shared" ref="D475" si="633">$O474*(3/12)/12</f>
        <v>26030662.898975391</v>
      </c>
      <c r="E475" s="109">
        <f t="shared" ref="E475" si="634">$O474*(3/12)/12</f>
        <v>26030662.898975391</v>
      </c>
      <c r="F475" s="109">
        <f t="shared" ref="F475" si="635">$O474*(3/12)/12</f>
        <v>26030662.898975391</v>
      </c>
      <c r="G475" s="109">
        <f t="shared" ref="G475" si="636">$O474*(3/12)/12</f>
        <v>26030662.898975391</v>
      </c>
      <c r="H475" s="109">
        <f t="shared" ref="H475" si="637">$O474*(3/12)/12</f>
        <v>26030662.898975391</v>
      </c>
      <c r="I475" s="109">
        <f t="shared" ref="I475" si="638">$O474*(3/12)/12</f>
        <v>26030662.898975391</v>
      </c>
      <c r="J475" s="109">
        <f t="shared" ref="J475" si="639">$O474*(3/12)/12</f>
        <v>26030662.898975391</v>
      </c>
      <c r="K475" s="109">
        <f t="shared" ref="K475" si="640">$O474*(3/12)/12</f>
        <v>26030662.898975391</v>
      </c>
      <c r="L475" s="109">
        <f t="shared" ref="L475" si="641">$O474*(3/12)/12</f>
        <v>26030662.898975391</v>
      </c>
      <c r="M475" s="109">
        <f t="shared" ref="M475" si="642">$O474*(3/12)/12</f>
        <v>26030662.898975391</v>
      </c>
      <c r="N475" s="109">
        <f>$O474*(3/12)/12</f>
        <v>26030662.898975391</v>
      </c>
      <c r="O475" s="109">
        <f t="shared" ref="O475:O477" si="643">SUM(C475:N475)</f>
        <v>312367954.78770471</v>
      </c>
      <c r="P475" s="43"/>
      <c r="Q475" s="43"/>
      <c r="R475" s="40"/>
      <c r="S475" s="40"/>
      <c r="T475" s="40"/>
      <c r="U475" s="40"/>
      <c r="V475" s="40"/>
      <c r="W475" s="40"/>
      <c r="X475" s="40"/>
      <c r="Y475" s="40"/>
    </row>
    <row r="476" spans="1:25" s="11" customFormat="1" x14ac:dyDescent="0.25">
      <c r="A476" s="82"/>
      <c r="B476" s="108" t="s">
        <v>386</v>
      </c>
      <c r="C476" s="109">
        <f>C444*(1+$K$192)</f>
        <v>7789175.8667644337</v>
      </c>
      <c r="D476" s="109">
        <v>0</v>
      </c>
      <c r="E476" s="109">
        <v>0</v>
      </c>
      <c r="F476" s="109">
        <v>0</v>
      </c>
      <c r="G476" s="109">
        <v>0</v>
      </c>
      <c r="H476" s="109">
        <v>0</v>
      </c>
      <c r="I476" s="109">
        <v>0</v>
      </c>
      <c r="J476" s="109">
        <v>0</v>
      </c>
      <c r="K476" s="109">
        <v>0</v>
      </c>
      <c r="L476" s="109">
        <v>0</v>
      </c>
      <c r="M476" s="109">
        <v>0</v>
      </c>
      <c r="N476" s="109">
        <v>0</v>
      </c>
      <c r="O476" s="109">
        <f t="shared" si="643"/>
        <v>7789175.8667644337</v>
      </c>
      <c r="P476" s="43"/>
      <c r="Q476" s="43"/>
      <c r="R476" s="40"/>
      <c r="S476" s="40"/>
      <c r="T476" s="40"/>
      <c r="U476" s="40"/>
      <c r="V476" s="40"/>
      <c r="W476" s="40"/>
      <c r="X476" s="40"/>
      <c r="Y476" s="40"/>
    </row>
    <row r="477" spans="1:25" s="11" customFormat="1" x14ac:dyDescent="0.25">
      <c r="A477" s="82"/>
      <c r="B477" s="60" t="s">
        <v>206</v>
      </c>
      <c r="C477" s="61">
        <f>C458-C474-C475-C476</f>
        <v>-68139444.709752977</v>
      </c>
      <c r="D477" s="61">
        <f t="shared" ref="D477" si="644">D458-D474-D475-D476</f>
        <v>-58454136.028102517</v>
      </c>
      <c r="E477" s="61">
        <f t="shared" ref="E477" si="645">E458-E474-E475-E476</f>
        <v>-61251517.826171562</v>
      </c>
      <c r="F477" s="61">
        <f t="shared" ref="F477" si="646">F458-F474-F475-F476</f>
        <v>-56932893.427689373</v>
      </c>
      <c r="G477" s="61">
        <f t="shared" ref="G477" si="647">G458-G474-G475-G476</f>
        <v>-74718012.38412863</v>
      </c>
      <c r="H477" s="61">
        <f t="shared" ref="H477" si="648">H458-H474-H475-H476</f>
        <v>-61656575.867781147</v>
      </c>
      <c r="I477" s="61">
        <f t="shared" ref="I477" si="649">I458-I474-I475-I476</f>
        <v>-66215361.315825</v>
      </c>
      <c r="J477" s="61">
        <f t="shared" ref="J477" si="650">J458-J474-J475-J476</f>
        <v>-65179801.55055961</v>
      </c>
      <c r="K477" s="61">
        <f t="shared" ref="K477" si="651">K458-K474-K475-K476</f>
        <v>-69339650.547822863</v>
      </c>
      <c r="L477" s="61">
        <f t="shared" ref="L477" si="652">L458-L474-L475-L476</f>
        <v>-62457689.828523621</v>
      </c>
      <c r="M477" s="61">
        <f t="shared" ref="M477" si="653">M458-M474-M475-M476</f>
        <v>-66290768.846627936</v>
      </c>
      <c r="N477" s="61">
        <f t="shared" ref="N477" si="654">N458-N474-N475-N476</f>
        <v>-64791739.75225769</v>
      </c>
      <c r="O477" s="47">
        <f t="shared" si="643"/>
        <v>-775427592.08524299</v>
      </c>
      <c r="P477" s="43"/>
      <c r="Q477" s="43"/>
      <c r="R477" s="40"/>
      <c r="S477" s="40"/>
      <c r="T477" s="40"/>
      <c r="U477" s="40"/>
      <c r="V477" s="40"/>
      <c r="W477" s="40"/>
      <c r="X477" s="40"/>
      <c r="Y477" s="40"/>
    </row>
    <row r="478" spans="1:25" x14ac:dyDescent="0.25">
      <c r="A478" s="85"/>
      <c r="B478" s="40"/>
      <c r="C478" s="40"/>
      <c r="D478" s="40"/>
      <c r="E478" s="40"/>
      <c r="F478" s="40"/>
      <c r="G478" s="40"/>
      <c r="H478" s="40"/>
      <c r="I478" s="40"/>
      <c r="J478" s="40"/>
      <c r="K478" s="40"/>
      <c r="L478" s="353" t="s">
        <v>217</v>
      </c>
      <c r="M478" s="354"/>
      <c r="N478" s="350">
        <f>SUM(C477:N477)+N446</f>
        <v>16188829966.446402</v>
      </c>
      <c r="O478" s="40"/>
    </row>
    <row r="479" spans="1:25" x14ac:dyDescent="0.25">
      <c r="A479" s="85"/>
      <c r="B479" s="40"/>
      <c r="C479" s="40"/>
      <c r="D479" s="40"/>
      <c r="E479" s="40"/>
      <c r="F479" s="40"/>
      <c r="G479" s="40"/>
      <c r="H479" s="40"/>
      <c r="I479" s="40"/>
      <c r="J479" s="40"/>
      <c r="K479" s="40"/>
      <c r="L479" s="320"/>
      <c r="M479" s="355"/>
      <c r="N479" s="351"/>
      <c r="O479" s="40"/>
    </row>
    <row r="480" spans="1:25" x14ac:dyDescent="0.25">
      <c r="A480" s="85"/>
      <c r="B480" s="319" t="s">
        <v>632</v>
      </c>
      <c r="C480" s="352" t="s">
        <v>173</v>
      </c>
      <c r="D480" s="352"/>
      <c r="E480" s="352"/>
      <c r="F480" s="352"/>
      <c r="G480" s="352"/>
      <c r="H480" s="352"/>
      <c r="I480" s="40"/>
      <c r="J480" s="358" t="s">
        <v>231</v>
      </c>
      <c r="K480" s="359">
        <v>0.04</v>
      </c>
      <c r="L480" s="40"/>
      <c r="M480" s="40"/>
      <c r="N480" s="40"/>
      <c r="O480" s="361"/>
    </row>
    <row r="481" spans="1:15" x14ac:dyDescent="0.25">
      <c r="A481" s="85"/>
      <c r="B481" s="319"/>
      <c r="C481" s="352"/>
      <c r="D481" s="352"/>
      <c r="E481" s="352"/>
      <c r="F481" s="352"/>
      <c r="G481" s="352"/>
      <c r="H481" s="352"/>
      <c r="I481" s="40"/>
      <c r="J481" s="358"/>
      <c r="K481" s="360"/>
      <c r="L481" s="40"/>
      <c r="M481" s="40"/>
      <c r="N481" s="40"/>
      <c r="O481" s="362"/>
    </row>
    <row r="482" spans="1:15" x14ac:dyDescent="0.25">
      <c r="A482" s="85"/>
      <c r="B482" s="319"/>
      <c r="C482" s="352"/>
      <c r="D482" s="352"/>
      <c r="E482" s="352"/>
      <c r="F482" s="352"/>
      <c r="G482" s="352"/>
      <c r="H482" s="352"/>
      <c r="I482" s="40"/>
      <c r="J482" s="40"/>
      <c r="K482" s="40"/>
      <c r="L482" s="40"/>
      <c r="M482" s="40"/>
      <c r="N482" s="40"/>
      <c r="O482" s="40"/>
    </row>
    <row r="485" spans="1:15" ht="24.6" x14ac:dyDescent="0.25">
      <c r="A485" s="96"/>
      <c r="B485" s="348" t="s">
        <v>293</v>
      </c>
      <c r="C485" s="348"/>
      <c r="D485" s="348"/>
      <c r="E485" s="348"/>
      <c r="F485" s="348"/>
      <c r="G485" s="348"/>
      <c r="H485" s="348"/>
      <c r="I485" s="348"/>
      <c r="J485" s="348"/>
      <c r="K485" s="348"/>
      <c r="L485" s="348"/>
      <c r="M485" s="348"/>
      <c r="N485" s="348"/>
      <c r="O485" s="348"/>
    </row>
    <row r="486" spans="1:15" ht="24.6" x14ac:dyDescent="0.25">
      <c r="A486" s="96"/>
      <c r="B486" s="349"/>
      <c r="C486" s="349"/>
      <c r="D486" s="349"/>
      <c r="E486" s="349"/>
      <c r="F486" s="349"/>
      <c r="G486" s="349"/>
      <c r="H486" s="349"/>
      <c r="I486" s="349"/>
      <c r="J486" s="349"/>
      <c r="K486" s="349"/>
      <c r="L486" s="349"/>
      <c r="M486" s="349"/>
      <c r="N486" s="349"/>
      <c r="O486" s="349"/>
    </row>
    <row r="487" spans="1:15" x14ac:dyDescent="0.25">
      <c r="A487" s="82"/>
      <c r="B487" s="41"/>
      <c r="C487" s="42" t="s">
        <v>66</v>
      </c>
      <c r="D487" s="42" t="s">
        <v>67</v>
      </c>
      <c r="E487" s="42" t="s">
        <v>68</v>
      </c>
      <c r="F487" s="42" t="s">
        <v>69</v>
      </c>
      <c r="G487" s="42" t="s">
        <v>70</v>
      </c>
      <c r="H487" s="42" t="s">
        <v>71</v>
      </c>
      <c r="I487" s="42" t="s">
        <v>72</v>
      </c>
      <c r="J487" s="42" t="s">
        <v>73</v>
      </c>
      <c r="K487" s="42" t="s">
        <v>74</v>
      </c>
      <c r="L487" s="42" t="s">
        <v>75</v>
      </c>
      <c r="M487" s="42" t="s">
        <v>76</v>
      </c>
      <c r="N487" s="42" t="s">
        <v>77</v>
      </c>
      <c r="O487" s="42" t="s">
        <v>236</v>
      </c>
    </row>
    <row r="488" spans="1:15" x14ac:dyDescent="0.25">
      <c r="A488" s="82"/>
      <c r="B488" s="44" t="s">
        <v>381</v>
      </c>
      <c r="C488" s="45">
        <f>'11.My pension value'!$D$13/12</f>
        <v>35611893.330636717</v>
      </c>
      <c r="D488" s="45">
        <f>'11.My pension value'!$D$13/12</f>
        <v>35611893.330636717</v>
      </c>
      <c r="E488" s="45">
        <f>'11.My pension value'!$D$13/12</f>
        <v>35611893.330636717</v>
      </c>
      <c r="F488" s="45">
        <f>'11.My pension value'!$D$13/12</f>
        <v>35611893.330636717</v>
      </c>
      <c r="G488" s="45">
        <f>'11.My pension value'!$D$13/12</f>
        <v>35611893.330636717</v>
      </c>
      <c r="H488" s="45">
        <f>'11.My pension value'!$D$13/12</f>
        <v>35611893.330636717</v>
      </c>
      <c r="I488" s="45">
        <f>'11.My pension value'!$D$13/12</f>
        <v>35611893.330636717</v>
      </c>
      <c r="J488" s="45">
        <f>'11.My pension value'!$D$13/12</f>
        <v>35611893.330636717</v>
      </c>
      <c r="K488" s="45">
        <f>'11.My pension value'!$D$13/12</f>
        <v>35611893.330636717</v>
      </c>
      <c r="L488" s="45">
        <f>'11.My pension value'!$D$13/12</f>
        <v>35611893.330636717</v>
      </c>
      <c r="M488" s="45">
        <f>'11.My pension value'!$D$13/12</f>
        <v>35611893.330636717</v>
      </c>
      <c r="N488" s="45">
        <f>'11.My pension value'!$D$13/12</f>
        <v>35611893.330636717</v>
      </c>
      <c r="O488" s="45" t="s">
        <v>173</v>
      </c>
    </row>
    <row r="489" spans="1:15" x14ac:dyDescent="0.25">
      <c r="A489" s="82"/>
      <c r="B489" s="44" t="s">
        <v>382</v>
      </c>
      <c r="C489" s="45">
        <f>'10.2. Wife''s retirement salary'!$O$10</f>
        <v>30571553.146033701</v>
      </c>
      <c r="D489" s="45">
        <f>'10.2. Wife''s retirement salary'!$O$10</f>
        <v>30571553.146033701</v>
      </c>
      <c r="E489" s="45">
        <f>'10.2. Wife''s retirement salary'!$O$10</f>
        <v>30571553.146033701</v>
      </c>
      <c r="F489" s="45">
        <f>'10.2. Wife''s retirement salary'!$O$10</f>
        <v>30571553.146033701</v>
      </c>
      <c r="G489" s="45">
        <f>'10.2. Wife''s retirement salary'!$O$10</f>
        <v>30571553.146033701</v>
      </c>
      <c r="H489" s="45">
        <f>'10.2. Wife''s retirement salary'!$O$10</f>
        <v>30571553.146033701</v>
      </c>
      <c r="I489" s="45">
        <f>'10.2. Wife''s retirement salary'!$O$10</f>
        <v>30571553.146033701</v>
      </c>
      <c r="J489" s="45">
        <f>'10.2. Wife''s retirement salary'!$O$10</f>
        <v>30571553.146033701</v>
      </c>
      <c r="K489" s="45">
        <f>'10.2. Wife''s retirement salary'!$O$10</f>
        <v>30571553.146033701</v>
      </c>
      <c r="L489" s="45">
        <f>'10.2. Wife''s retirement salary'!$O$10</f>
        <v>30571553.146033701</v>
      </c>
      <c r="M489" s="45">
        <f>'10.2. Wife''s retirement salary'!$O$10</f>
        <v>30571553.146033701</v>
      </c>
      <c r="N489" s="45">
        <f>'10.2. Wife''s retirement salary'!$O$10</f>
        <v>30571553.146033701</v>
      </c>
      <c r="O489" s="45" t="s">
        <v>173</v>
      </c>
    </row>
    <row r="490" spans="1:15" x14ac:dyDescent="0.25">
      <c r="A490" s="82"/>
      <c r="B490" s="46" t="s">
        <v>209</v>
      </c>
      <c r="C490" s="47">
        <f>SUM(C488:C489)</f>
        <v>66183446.476670414</v>
      </c>
      <c r="D490" s="47">
        <f t="shared" ref="D490:J490" si="655">SUM(D488:D489)</f>
        <v>66183446.476670414</v>
      </c>
      <c r="E490" s="47">
        <f t="shared" si="655"/>
        <v>66183446.476670414</v>
      </c>
      <c r="F490" s="47">
        <f t="shared" si="655"/>
        <v>66183446.476670414</v>
      </c>
      <c r="G490" s="47">
        <f t="shared" si="655"/>
        <v>66183446.476670414</v>
      </c>
      <c r="H490" s="47">
        <f t="shared" si="655"/>
        <v>66183446.476670414</v>
      </c>
      <c r="I490" s="47">
        <f t="shared" si="655"/>
        <v>66183446.476670414</v>
      </c>
      <c r="J490" s="47">
        <f t="shared" si="655"/>
        <v>66183446.476670414</v>
      </c>
      <c r="K490" s="47">
        <f>SUM(K488:K489)</f>
        <v>66183446.476670414</v>
      </c>
      <c r="L490" s="47">
        <f t="shared" ref="L490:N490" si="656">SUM(L488:L489)</f>
        <v>66183446.476670414</v>
      </c>
      <c r="M490" s="47">
        <f t="shared" si="656"/>
        <v>66183446.476670414</v>
      </c>
      <c r="N490" s="47">
        <f t="shared" si="656"/>
        <v>66183446.476670414</v>
      </c>
      <c r="O490" s="47">
        <f>SUM(C490:N490)</f>
        <v>794201357.72004473</v>
      </c>
    </row>
    <row r="491" spans="1:15" x14ac:dyDescent="0.25">
      <c r="A491" s="82"/>
      <c r="B491" s="52" t="s">
        <v>78</v>
      </c>
      <c r="C491" s="53" t="s">
        <v>173</v>
      </c>
      <c r="D491" s="53" t="s">
        <v>173</v>
      </c>
      <c r="E491" s="53" t="s">
        <v>173</v>
      </c>
      <c r="F491" s="53" t="s">
        <v>173</v>
      </c>
      <c r="G491" s="53" t="s">
        <v>173</v>
      </c>
      <c r="H491" s="53" t="s">
        <v>173</v>
      </c>
      <c r="I491" s="53" t="s">
        <v>173</v>
      </c>
      <c r="J491" s="53" t="s">
        <v>173</v>
      </c>
      <c r="K491" s="53" t="s">
        <v>173</v>
      </c>
      <c r="L491" s="53" t="s">
        <v>173</v>
      </c>
      <c r="M491" s="53" t="s">
        <v>173</v>
      </c>
      <c r="N491" s="53" t="s">
        <v>173</v>
      </c>
      <c r="O491" s="91" t="s">
        <v>173</v>
      </c>
    </row>
    <row r="492" spans="1:15" x14ac:dyDescent="0.25">
      <c r="A492" s="82"/>
      <c r="B492" s="48" t="s">
        <v>79</v>
      </c>
      <c r="C492" s="54" t="s">
        <v>173</v>
      </c>
      <c r="D492" s="54" t="s">
        <v>173</v>
      </c>
      <c r="E492" s="54" t="s">
        <v>173</v>
      </c>
      <c r="F492" s="54" t="s">
        <v>173</v>
      </c>
      <c r="G492" s="54" t="s">
        <v>173</v>
      </c>
      <c r="H492" s="54" t="s">
        <v>173</v>
      </c>
      <c r="I492" s="54" t="s">
        <v>173</v>
      </c>
      <c r="J492" s="54" t="s">
        <v>173</v>
      </c>
      <c r="K492" s="54" t="s">
        <v>173</v>
      </c>
      <c r="L492" s="54" t="s">
        <v>173</v>
      </c>
      <c r="M492" s="54" t="s">
        <v>173</v>
      </c>
      <c r="N492" s="54" t="s">
        <v>173</v>
      </c>
      <c r="O492" s="91" t="s">
        <v>173</v>
      </c>
    </row>
    <row r="493" spans="1:15" x14ac:dyDescent="0.25">
      <c r="A493" s="83"/>
      <c r="B493" s="49" t="s">
        <v>195</v>
      </c>
      <c r="C493" s="50">
        <f>C461*(1+$K$62)</f>
        <v>975605.48977708712</v>
      </c>
      <c r="D493" s="50">
        <v>0</v>
      </c>
      <c r="E493" s="50">
        <v>0</v>
      </c>
      <c r="F493" s="50">
        <v>0</v>
      </c>
      <c r="G493" s="50">
        <v>0</v>
      </c>
      <c r="H493" s="50">
        <v>0</v>
      </c>
      <c r="I493" s="50">
        <v>0</v>
      </c>
      <c r="J493" s="50">
        <v>0</v>
      </c>
      <c r="K493" s="50">
        <v>0</v>
      </c>
      <c r="L493" s="50">
        <v>0</v>
      </c>
      <c r="M493" s="50">
        <v>0</v>
      </c>
      <c r="N493" s="50">
        <v>0</v>
      </c>
      <c r="O493" s="90">
        <f t="shared" ref="O493:O496" si="657">SUM(C493:N493)</f>
        <v>975605.48977708712</v>
      </c>
    </row>
    <row r="494" spans="1:15" x14ac:dyDescent="0.25">
      <c r="A494" s="82"/>
      <c r="B494" s="51" t="s">
        <v>178</v>
      </c>
      <c r="C494" s="50">
        <f>C462*(1+$K$62)</f>
        <v>7390950.6801294507</v>
      </c>
      <c r="D494" s="50">
        <f t="shared" ref="D494:N494" si="658">D462*(1+$K$62)</f>
        <v>7390950.6801294507</v>
      </c>
      <c r="E494" s="50">
        <f t="shared" si="658"/>
        <v>7390950.6801294507</v>
      </c>
      <c r="F494" s="50">
        <f t="shared" si="658"/>
        <v>7390950.6801294507</v>
      </c>
      <c r="G494" s="50">
        <f t="shared" si="658"/>
        <v>7390950.6801294507</v>
      </c>
      <c r="H494" s="50">
        <f t="shared" si="658"/>
        <v>7390950.6801294507</v>
      </c>
      <c r="I494" s="50">
        <f t="shared" si="658"/>
        <v>7390950.6801294507</v>
      </c>
      <c r="J494" s="50">
        <f t="shared" si="658"/>
        <v>7390950.6801294507</v>
      </c>
      <c r="K494" s="50">
        <f t="shared" si="658"/>
        <v>7390950.6801294507</v>
      </c>
      <c r="L494" s="50">
        <f t="shared" si="658"/>
        <v>7390950.6801294507</v>
      </c>
      <c r="M494" s="50">
        <f t="shared" si="658"/>
        <v>7390950.6801294507</v>
      </c>
      <c r="N494" s="50">
        <f t="shared" si="658"/>
        <v>7390950.6801294507</v>
      </c>
      <c r="O494" s="90">
        <f t="shared" si="657"/>
        <v>88691408.161553428</v>
      </c>
    </row>
    <row r="495" spans="1:15" x14ac:dyDescent="0.25">
      <c r="A495" s="84"/>
      <c r="B495" s="51" t="s">
        <v>248</v>
      </c>
      <c r="C495" s="50">
        <f>C463*(1+$K$62)</f>
        <v>886914.08161553403</v>
      </c>
      <c r="D495" s="50">
        <f t="shared" ref="D495:N495" si="659">D463*(1+$K$62)</f>
        <v>886914.08161553403</v>
      </c>
      <c r="E495" s="50">
        <f t="shared" si="659"/>
        <v>886914.08161553403</v>
      </c>
      <c r="F495" s="50">
        <f t="shared" si="659"/>
        <v>886914.08161553403</v>
      </c>
      <c r="G495" s="50">
        <f t="shared" si="659"/>
        <v>886914.08161553403</v>
      </c>
      <c r="H495" s="50">
        <f t="shared" si="659"/>
        <v>886914.08161553403</v>
      </c>
      <c r="I495" s="50">
        <f t="shared" si="659"/>
        <v>886914.08161553403</v>
      </c>
      <c r="J495" s="50">
        <f t="shared" si="659"/>
        <v>886914.08161553403</v>
      </c>
      <c r="K495" s="50">
        <f t="shared" si="659"/>
        <v>886914.08161553403</v>
      </c>
      <c r="L495" s="50">
        <f t="shared" si="659"/>
        <v>886914.08161553403</v>
      </c>
      <c r="M495" s="50">
        <f t="shared" si="659"/>
        <v>886914.08161553403</v>
      </c>
      <c r="N495" s="50">
        <f t="shared" si="659"/>
        <v>886914.08161553403</v>
      </c>
      <c r="O495" s="90">
        <f t="shared" si="657"/>
        <v>10642968.979386406</v>
      </c>
    </row>
    <row r="496" spans="1:15" x14ac:dyDescent="0.25">
      <c r="A496" s="82"/>
      <c r="B496" s="46" t="s">
        <v>207</v>
      </c>
      <c r="C496" s="47">
        <f t="shared" ref="C496" si="660">SUM(C493:C495)</f>
        <v>9253470.2515220717</v>
      </c>
      <c r="D496" s="47">
        <f t="shared" ref="D496" si="661">SUM(D493:D495)</f>
        <v>8277864.7617449844</v>
      </c>
      <c r="E496" s="47">
        <f t="shared" ref="E496" si="662">SUM(E493:E495)</f>
        <v>8277864.7617449844</v>
      </c>
      <c r="F496" s="47">
        <f t="shared" ref="F496" si="663">SUM(F493:F495)</f>
        <v>8277864.7617449844</v>
      </c>
      <c r="G496" s="47">
        <f t="shared" ref="G496" si="664">SUM(G493:G495)</f>
        <v>8277864.7617449844</v>
      </c>
      <c r="H496" s="47">
        <f t="shared" ref="H496" si="665">SUM(H493:H495)</f>
        <v>8277864.7617449844</v>
      </c>
      <c r="I496" s="47">
        <f t="shared" ref="I496" si="666">SUM(I493:I495)</f>
        <v>8277864.7617449844</v>
      </c>
      <c r="J496" s="47">
        <f t="shared" ref="J496" si="667">SUM(J493:J495)</f>
        <v>8277864.7617449844</v>
      </c>
      <c r="K496" s="47">
        <f t="shared" ref="K496" si="668">SUM(K493:K495)</f>
        <v>8277864.7617449844</v>
      </c>
      <c r="L496" s="47">
        <f t="shared" ref="L496" si="669">SUM(L493:L495)</f>
        <v>8277864.7617449844</v>
      </c>
      <c r="M496" s="47">
        <f t="shared" ref="M496" si="670">SUM(M493:M495)</f>
        <v>8277864.7617449844</v>
      </c>
      <c r="N496" s="47">
        <f t="shared" ref="N496" si="671">SUM(N493:N495)</f>
        <v>8277864.7617449844</v>
      </c>
      <c r="O496" s="47">
        <f t="shared" si="657"/>
        <v>100309982.63071692</v>
      </c>
    </row>
    <row r="497" spans="1:25" x14ac:dyDescent="0.25">
      <c r="A497" s="82"/>
      <c r="B497" s="55" t="s">
        <v>83</v>
      </c>
      <c r="C497" s="59" t="s">
        <v>173</v>
      </c>
      <c r="D497" s="59" t="s">
        <v>173</v>
      </c>
      <c r="E497" s="59" t="s">
        <v>173</v>
      </c>
      <c r="F497" s="59" t="s">
        <v>173</v>
      </c>
      <c r="G497" s="59" t="s">
        <v>173</v>
      </c>
      <c r="H497" s="59" t="s">
        <v>173</v>
      </c>
      <c r="I497" s="59" t="s">
        <v>173</v>
      </c>
      <c r="J497" s="59" t="s">
        <v>173</v>
      </c>
      <c r="K497" s="59" t="s">
        <v>173</v>
      </c>
      <c r="L497" s="59" t="s">
        <v>173</v>
      </c>
      <c r="M497" s="59" t="s">
        <v>173</v>
      </c>
      <c r="N497" s="59" t="s">
        <v>173</v>
      </c>
      <c r="O497" s="91" t="s">
        <v>173</v>
      </c>
    </row>
    <row r="498" spans="1:25" x14ac:dyDescent="0.25">
      <c r="A498" s="82"/>
      <c r="B498" s="57" t="s">
        <v>210</v>
      </c>
      <c r="C498" s="89">
        <f t="shared" ref="C498:N498" si="672">C466*(1+$K$95)</f>
        <v>4892809.3502456965</v>
      </c>
      <c r="D498" s="89">
        <f t="shared" si="672"/>
        <v>5897978.6427433016</v>
      </c>
      <c r="E498" s="89">
        <f t="shared" si="672"/>
        <v>5439739.7005752726</v>
      </c>
      <c r="F498" s="89">
        <f t="shared" si="672"/>
        <v>5084974.0679290649</v>
      </c>
      <c r="G498" s="89">
        <f t="shared" si="672"/>
        <v>4671080.8298418112</v>
      </c>
      <c r="H498" s="89">
        <f t="shared" si="672"/>
        <v>5853632.9386625262</v>
      </c>
      <c r="I498" s="89">
        <f t="shared" si="672"/>
        <v>6829238.4284396116</v>
      </c>
      <c r="J498" s="89">
        <f t="shared" si="672"/>
        <v>6548382.3025946934</v>
      </c>
      <c r="K498" s="89">
        <f t="shared" si="672"/>
        <v>5055410.2652085433</v>
      </c>
      <c r="L498" s="89">
        <f t="shared" si="672"/>
        <v>5188447.377450875</v>
      </c>
      <c r="M498" s="89">
        <f t="shared" si="672"/>
        <v>4937155.0543264728</v>
      </c>
      <c r="N498" s="89">
        <f t="shared" si="672"/>
        <v>5336266.3910534615</v>
      </c>
      <c r="O498" s="92">
        <f t="shared" ref="O498:O506" si="673">SUM(C498:N498)</f>
        <v>65735115.349071324</v>
      </c>
    </row>
    <row r="499" spans="1:25" x14ac:dyDescent="0.25">
      <c r="A499" s="82"/>
      <c r="B499" s="57" t="s">
        <v>203</v>
      </c>
      <c r="C499" s="89">
        <f t="shared" ref="C499:N499" si="674">C467*(1+$K$95)</f>
        <v>17664372.125509381</v>
      </c>
      <c r="D499" s="89">
        <f t="shared" si="674"/>
        <v>19024307.050653212</v>
      </c>
      <c r="E499" s="89">
        <f t="shared" si="674"/>
        <v>21330283.662853599</v>
      </c>
      <c r="F499" s="89">
        <f t="shared" si="674"/>
        <v>16171400.088123247</v>
      </c>
      <c r="G499" s="89">
        <f t="shared" si="674"/>
        <v>21522448.38053697</v>
      </c>
      <c r="H499" s="89">
        <f t="shared" si="674"/>
        <v>20280768.666275211</v>
      </c>
      <c r="I499" s="89">
        <f t="shared" si="674"/>
        <v>18610413.812565964</v>
      </c>
      <c r="J499" s="89">
        <f t="shared" si="674"/>
        <v>22128506.336307578</v>
      </c>
      <c r="K499" s="89">
        <f t="shared" si="674"/>
        <v>21625921.690058768</v>
      </c>
      <c r="L499" s="89">
        <f t="shared" si="674"/>
        <v>21625921.690058768</v>
      </c>
      <c r="M499" s="89">
        <f t="shared" si="674"/>
        <v>16807021.846614379</v>
      </c>
      <c r="N499" s="89">
        <f t="shared" si="674"/>
        <v>20724225.707082979</v>
      </c>
      <c r="O499" s="92">
        <f t="shared" si="673"/>
        <v>237515591.05664006</v>
      </c>
    </row>
    <row r="500" spans="1:25" x14ac:dyDescent="0.25">
      <c r="A500" s="82"/>
      <c r="B500" s="58" t="s">
        <v>84</v>
      </c>
      <c r="C500" s="89">
        <f t="shared" ref="C500:N500" si="675">C468*(1+$K$95)</f>
        <v>15624469.737793652</v>
      </c>
      <c r="D500" s="89">
        <f t="shared" si="675"/>
        <v>17058314.169738762</v>
      </c>
      <c r="E500" s="89">
        <f t="shared" si="675"/>
        <v>17117441.7751798</v>
      </c>
      <c r="F500" s="89">
        <f t="shared" si="675"/>
        <v>17679154.026869651</v>
      </c>
      <c r="G500" s="89">
        <f t="shared" si="675"/>
        <v>20916390.424766343</v>
      </c>
      <c r="H500" s="89">
        <f t="shared" si="675"/>
        <v>18093047.264956892</v>
      </c>
      <c r="I500" s="89">
        <f t="shared" si="675"/>
        <v>18787796.628889073</v>
      </c>
      <c r="J500" s="89">
        <f t="shared" si="675"/>
        <v>21625921.690058768</v>
      </c>
      <c r="K500" s="89">
        <f t="shared" si="675"/>
        <v>19792965.92138667</v>
      </c>
      <c r="L500" s="89">
        <f t="shared" si="675"/>
        <v>19763402.118666146</v>
      </c>
      <c r="M500" s="89">
        <f t="shared" si="675"/>
        <v>21152900.846530482</v>
      </c>
      <c r="N500" s="89">
        <f t="shared" si="675"/>
        <v>16984404.662937474</v>
      </c>
      <c r="O500" s="92">
        <f t="shared" si="673"/>
        <v>224596209.26777369</v>
      </c>
    </row>
    <row r="501" spans="1:25" x14ac:dyDescent="0.25">
      <c r="A501" s="82"/>
      <c r="B501" s="57" t="s">
        <v>85</v>
      </c>
      <c r="C501" s="89">
        <f t="shared" ref="C501:N501" si="676">C469*(1+$K$95)</f>
        <v>18152174.870397937</v>
      </c>
      <c r="D501" s="89">
        <f t="shared" si="676"/>
        <v>15535778.329632111</v>
      </c>
      <c r="E501" s="89">
        <f t="shared" si="676"/>
        <v>16082708.679961681</v>
      </c>
      <c r="F501" s="89">
        <f t="shared" si="676"/>
        <v>16334001.003086081</v>
      </c>
      <c r="G501" s="89">
        <f t="shared" si="676"/>
        <v>21965905.42134472</v>
      </c>
      <c r="H501" s="89">
        <f t="shared" si="676"/>
        <v>16127054.384042464</v>
      </c>
      <c r="I501" s="89">
        <f t="shared" si="676"/>
        <v>18713887.122087765</v>
      </c>
      <c r="J501" s="89">
        <f t="shared" si="676"/>
        <v>14811465.162979418</v>
      </c>
      <c r="K501" s="89">
        <f t="shared" si="676"/>
        <v>19260817.472417355</v>
      </c>
      <c r="L501" s="89">
        <f t="shared" si="676"/>
        <v>15299267.907867961</v>
      </c>
      <c r="M501" s="89">
        <f t="shared" si="676"/>
        <v>19482545.992821231</v>
      </c>
      <c r="N501" s="89">
        <f t="shared" si="676"/>
        <v>18551286.207124915</v>
      </c>
      <c r="O501" s="92">
        <f t="shared" si="673"/>
        <v>210316892.55376366</v>
      </c>
    </row>
    <row r="502" spans="1:25" x14ac:dyDescent="0.25">
      <c r="A502" s="84"/>
      <c r="B502" s="58" t="s">
        <v>249</v>
      </c>
      <c r="C502" s="89">
        <v>10000000</v>
      </c>
      <c r="D502" s="89">
        <v>10000000</v>
      </c>
      <c r="E502" s="89">
        <v>10000000</v>
      </c>
      <c r="F502" s="89">
        <v>10000000</v>
      </c>
      <c r="G502" s="89">
        <v>10000000</v>
      </c>
      <c r="H502" s="89">
        <v>10000000</v>
      </c>
      <c r="I502" s="89">
        <v>10000000</v>
      </c>
      <c r="J502" s="89">
        <v>10000000</v>
      </c>
      <c r="K502" s="89">
        <v>10000000</v>
      </c>
      <c r="L502" s="89">
        <v>10000000</v>
      </c>
      <c r="M502" s="89">
        <v>10000000</v>
      </c>
      <c r="N502" s="89">
        <v>10000000</v>
      </c>
      <c r="O502" s="92">
        <f t="shared" si="673"/>
        <v>120000000</v>
      </c>
    </row>
    <row r="503" spans="1:25" x14ac:dyDescent="0.25">
      <c r="A503" s="84"/>
      <c r="B503" s="58" t="s">
        <v>180</v>
      </c>
      <c r="C503" s="89">
        <f t="shared" ref="C503:N503" si="677">C471*(1+$K$95)</f>
        <v>15117059.823349265</v>
      </c>
      <c r="D503" s="89">
        <f t="shared" si="677"/>
        <v>12938135.076824177</v>
      </c>
      <c r="E503" s="89">
        <f t="shared" si="677"/>
        <v>13393616.521013029</v>
      </c>
      <c r="F503" s="89">
        <f t="shared" si="677"/>
        <v>13602891.779153856</v>
      </c>
      <c r="G503" s="89">
        <f t="shared" si="677"/>
        <v>18293119.623368893</v>
      </c>
      <c r="H503" s="89">
        <f t="shared" si="677"/>
        <v>13430547.448920246</v>
      </c>
      <c r="I503" s="89">
        <f t="shared" si="677"/>
        <v>15584851.576840529</v>
      </c>
      <c r="J503" s="89">
        <f t="shared" si="677"/>
        <v>12334929.921006486</v>
      </c>
      <c r="K503" s="89">
        <f t="shared" si="677"/>
        <v>16040333.021029398</v>
      </c>
      <c r="L503" s="89">
        <f t="shared" si="677"/>
        <v>12741170.127985748</v>
      </c>
      <c r="M503" s="89">
        <f t="shared" si="677"/>
        <v>16224987.660565419</v>
      </c>
      <c r="N503" s="89">
        <f t="shared" si="677"/>
        <v>15449438.174514107</v>
      </c>
      <c r="O503" s="92">
        <f t="shared" si="673"/>
        <v>175151080.75457117</v>
      </c>
    </row>
    <row r="504" spans="1:25" x14ac:dyDescent="0.25">
      <c r="A504" s="84"/>
      <c r="B504" s="58" t="s">
        <v>86</v>
      </c>
      <c r="C504" s="89">
        <f t="shared" ref="C504:N504" si="678">C472*(1+$K$95)</f>
        <v>13418818.358692909</v>
      </c>
      <c r="D504" s="89">
        <f t="shared" si="678"/>
        <v>13418818.358692909</v>
      </c>
      <c r="E504" s="89">
        <f t="shared" si="678"/>
        <v>13418818.358692909</v>
      </c>
      <c r="F504" s="89">
        <f t="shared" si="678"/>
        <v>13418818.358692909</v>
      </c>
      <c r="G504" s="89">
        <f t="shared" si="678"/>
        <v>13418818.358692909</v>
      </c>
      <c r="H504" s="89">
        <f t="shared" si="678"/>
        <v>13418818.358692909</v>
      </c>
      <c r="I504" s="89">
        <f t="shared" si="678"/>
        <v>13418818.358692909</v>
      </c>
      <c r="J504" s="89">
        <f t="shared" si="678"/>
        <v>13418818.358692909</v>
      </c>
      <c r="K504" s="89">
        <f t="shared" si="678"/>
        <v>13418818.358692909</v>
      </c>
      <c r="L504" s="89">
        <f t="shared" si="678"/>
        <v>13418818.358692909</v>
      </c>
      <c r="M504" s="89">
        <f t="shared" si="678"/>
        <v>13418818.358692909</v>
      </c>
      <c r="N504" s="89">
        <f t="shared" si="678"/>
        <v>13418818.358692909</v>
      </c>
      <c r="O504" s="92">
        <f t="shared" si="673"/>
        <v>161025820.30431494</v>
      </c>
    </row>
    <row r="505" spans="1:25" x14ac:dyDescent="0.25">
      <c r="A505" s="82"/>
      <c r="B505" s="46" t="s">
        <v>208</v>
      </c>
      <c r="C505" s="47">
        <f t="shared" ref="C505:N505" si="679">SUM(C498:C504)</f>
        <v>94869704.265988842</v>
      </c>
      <c r="D505" s="47">
        <f t="shared" si="679"/>
        <v>93873331.628284469</v>
      </c>
      <c r="E505" s="47">
        <f t="shared" si="679"/>
        <v>96782608.698276281</v>
      </c>
      <c r="F505" s="47">
        <f t="shared" si="679"/>
        <v>92291239.323854819</v>
      </c>
      <c r="G505" s="47">
        <f t="shared" si="679"/>
        <v>110787763.03855166</v>
      </c>
      <c r="H505" s="47">
        <f t="shared" si="679"/>
        <v>97203869.06155026</v>
      </c>
      <c r="I505" s="47">
        <f t="shared" si="679"/>
        <v>101945005.92751586</v>
      </c>
      <c r="J505" s="47">
        <f t="shared" si="679"/>
        <v>100868023.77163985</v>
      </c>
      <c r="K505" s="47">
        <f t="shared" si="679"/>
        <v>105194266.72879365</v>
      </c>
      <c r="L505" s="47">
        <f t="shared" si="679"/>
        <v>98037027.580722421</v>
      </c>
      <c r="M505" s="47">
        <f t="shared" si="679"/>
        <v>102023429.7595509</v>
      </c>
      <c r="N505" s="47">
        <f t="shared" si="679"/>
        <v>100464439.50140586</v>
      </c>
      <c r="O505" s="47">
        <f t="shared" si="673"/>
        <v>1194340709.286135</v>
      </c>
    </row>
    <row r="506" spans="1:25" x14ac:dyDescent="0.25">
      <c r="A506" s="82"/>
      <c r="B506" s="60" t="s">
        <v>87</v>
      </c>
      <c r="C506" s="47">
        <f t="shared" ref="C506:N506" si="680">C496+C505</f>
        <v>104123174.51751092</v>
      </c>
      <c r="D506" s="47">
        <f t="shared" si="680"/>
        <v>102151196.39002946</v>
      </c>
      <c r="E506" s="47">
        <f t="shared" si="680"/>
        <v>105060473.46002127</v>
      </c>
      <c r="F506" s="47">
        <f t="shared" si="680"/>
        <v>100569104.08559981</v>
      </c>
      <c r="G506" s="47">
        <f t="shared" si="680"/>
        <v>119065627.80029665</v>
      </c>
      <c r="H506" s="47">
        <f t="shared" si="680"/>
        <v>105481733.82329525</v>
      </c>
      <c r="I506" s="47">
        <f t="shared" si="680"/>
        <v>110222870.68926086</v>
      </c>
      <c r="J506" s="47">
        <f t="shared" si="680"/>
        <v>109145888.53338484</v>
      </c>
      <c r="K506" s="47">
        <f t="shared" si="680"/>
        <v>113472131.49053864</v>
      </c>
      <c r="L506" s="47">
        <f t="shared" si="680"/>
        <v>106314892.34246741</v>
      </c>
      <c r="M506" s="47">
        <f t="shared" si="680"/>
        <v>110301294.52129589</v>
      </c>
      <c r="N506" s="47">
        <f t="shared" si="680"/>
        <v>108742304.26315086</v>
      </c>
      <c r="O506" s="47">
        <f t="shared" si="673"/>
        <v>1294650691.9168518</v>
      </c>
    </row>
    <row r="507" spans="1:25" s="11" customFormat="1" x14ac:dyDescent="0.25">
      <c r="A507" s="82"/>
      <c r="B507" s="108" t="s">
        <v>204</v>
      </c>
      <c r="C507" s="109">
        <f>$O506*(3/12)/12</f>
        <v>26971889.414934412</v>
      </c>
      <c r="D507" s="109">
        <f t="shared" ref="D507" si="681">$O506*(3/12)/12</f>
        <v>26971889.414934412</v>
      </c>
      <c r="E507" s="109">
        <f t="shared" ref="E507" si="682">$O506*(3/12)/12</f>
        <v>26971889.414934412</v>
      </c>
      <c r="F507" s="109">
        <f t="shared" ref="F507" si="683">$O506*(3/12)/12</f>
        <v>26971889.414934412</v>
      </c>
      <c r="G507" s="109">
        <f t="shared" ref="G507" si="684">$O506*(3/12)/12</f>
        <v>26971889.414934412</v>
      </c>
      <c r="H507" s="109">
        <f t="shared" ref="H507" si="685">$O506*(3/12)/12</f>
        <v>26971889.414934412</v>
      </c>
      <c r="I507" s="109">
        <f t="shared" ref="I507" si="686">$O506*(3/12)/12</f>
        <v>26971889.414934412</v>
      </c>
      <c r="J507" s="109">
        <f t="shared" ref="J507" si="687">$O506*(3/12)/12</f>
        <v>26971889.414934412</v>
      </c>
      <c r="K507" s="109">
        <f t="shared" ref="K507" si="688">$O506*(3/12)/12</f>
        <v>26971889.414934412</v>
      </c>
      <c r="L507" s="109">
        <f t="shared" ref="L507" si="689">$O506*(3/12)/12</f>
        <v>26971889.414934412</v>
      </c>
      <c r="M507" s="109">
        <f t="shared" ref="M507" si="690">$O506*(3/12)/12</f>
        <v>26971889.414934412</v>
      </c>
      <c r="N507" s="109">
        <f>$O506*(3/12)/12</f>
        <v>26971889.414934412</v>
      </c>
      <c r="O507" s="109">
        <f t="shared" ref="O507:O509" si="691">SUM(C507:N507)</f>
        <v>323662672.97921282</v>
      </c>
      <c r="P507" s="43"/>
      <c r="Q507" s="43"/>
      <c r="R507" s="40"/>
      <c r="S507" s="40"/>
      <c r="T507" s="40"/>
      <c r="U507" s="40"/>
      <c r="V507" s="40"/>
      <c r="W507" s="40"/>
      <c r="X507" s="40"/>
      <c r="Y507" s="40"/>
    </row>
    <row r="508" spans="1:25" s="11" customFormat="1" x14ac:dyDescent="0.25">
      <c r="A508" s="82"/>
      <c r="B508" s="108" t="s">
        <v>386</v>
      </c>
      <c r="C508" s="109">
        <f>C476*(1+$K$192)</f>
        <v>8100742.9014350111</v>
      </c>
      <c r="D508" s="109">
        <v>0</v>
      </c>
      <c r="E508" s="109">
        <v>0</v>
      </c>
      <c r="F508" s="109">
        <v>0</v>
      </c>
      <c r="G508" s="109">
        <v>0</v>
      </c>
      <c r="H508" s="109">
        <v>0</v>
      </c>
      <c r="I508" s="109">
        <v>0</v>
      </c>
      <c r="J508" s="109">
        <v>0</v>
      </c>
      <c r="K508" s="109">
        <v>0</v>
      </c>
      <c r="L508" s="109">
        <v>0</v>
      </c>
      <c r="M508" s="109">
        <v>0</v>
      </c>
      <c r="N508" s="109">
        <v>0</v>
      </c>
      <c r="O508" s="109">
        <f t="shared" si="691"/>
        <v>8100742.9014350111</v>
      </c>
      <c r="P508" s="43"/>
      <c r="Q508" s="43"/>
      <c r="R508" s="40"/>
      <c r="S508" s="40"/>
      <c r="T508" s="40"/>
      <c r="U508" s="40"/>
      <c r="V508" s="40"/>
      <c r="W508" s="40"/>
      <c r="X508" s="40"/>
      <c r="Y508" s="40"/>
    </row>
    <row r="509" spans="1:25" s="11" customFormat="1" x14ac:dyDescent="0.25">
      <c r="A509" s="82"/>
      <c r="B509" s="60" t="s">
        <v>206</v>
      </c>
      <c r="C509" s="61">
        <f>C490-C506-C507-C508</f>
        <v>-73012360.357209936</v>
      </c>
      <c r="D509" s="61">
        <f t="shared" ref="D509" si="692">D490-D506-D507-D508</f>
        <v>-62939639.328293458</v>
      </c>
      <c r="E509" s="61">
        <f t="shared" ref="E509" si="693">E490-E506-E507-E508</f>
        <v>-65848916.39828527</v>
      </c>
      <c r="F509" s="61">
        <f t="shared" ref="F509" si="694">F490-F506-F507-F508</f>
        <v>-61357547.023863807</v>
      </c>
      <c r="G509" s="61">
        <f t="shared" ref="G509" si="695">G490-G506-G507-G508</f>
        <v>-79854070.738560647</v>
      </c>
      <c r="H509" s="61">
        <f t="shared" ref="H509" si="696">H490-H506-H507-H508</f>
        <v>-66270176.761559248</v>
      </c>
      <c r="I509" s="61">
        <f t="shared" ref="I509" si="697">I490-I506-I507-I508</f>
        <v>-71011313.627524853</v>
      </c>
      <c r="J509" s="61">
        <f t="shared" ref="J509" si="698">J490-J506-J507-J508</f>
        <v>-69934331.471648842</v>
      </c>
      <c r="K509" s="61">
        <f t="shared" ref="K509" si="699">K490-K506-K507-K508</f>
        <v>-74260574.428802639</v>
      </c>
      <c r="L509" s="61">
        <f t="shared" ref="L509" si="700">L490-L506-L507-L508</f>
        <v>-67103335.28073141</v>
      </c>
      <c r="M509" s="61">
        <f t="shared" ref="M509" si="701">M490-M506-M507-M508</f>
        <v>-71089737.459559888</v>
      </c>
      <c r="N509" s="61">
        <f t="shared" ref="N509" si="702">N490-N506-N507-N508</f>
        <v>-69530747.201414853</v>
      </c>
      <c r="O509" s="47">
        <f t="shared" si="691"/>
        <v>-832212750.07745481</v>
      </c>
      <c r="P509" s="43"/>
      <c r="Q509" s="43"/>
      <c r="R509" s="40"/>
      <c r="S509" s="40"/>
      <c r="T509" s="40"/>
      <c r="U509" s="40"/>
      <c r="V509" s="40"/>
      <c r="W509" s="40"/>
      <c r="X509" s="40"/>
      <c r="Y509" s="40"/>
    </row>
    <row r="510" spans="1:25" x14ac:dyDescent="0.25">
      <c r="A510" s="85"/>
      <c r="B510" s="40"/>
      <c r="C510" s="40"/>
      <c r="D510" s="40"/>
      <c r="E510" s="40"/>
      <c r="F510" s="40"/>
      <c r="G510" s="40"/>
      <c r="H510" s="40"/>
      <c r="I510" s="40"/>
      <c r="J510" s="40"/>
      <c r="K510" s="40"/>
      <c r="L510" s="353" t="s">
        <v>217</v>
      </c>
      <c r="M510" s="354"/>
      <c r="N510" s="350">
        <f>SUM(C509:N509)+N478</f>
        <v>15356617216.368946</v>
      </c>
      <c r="O510" s="40"/>
    </row>
    <row r="511" spans="1:25" x14ac:dyDescent="0.25">
      <c r="A511" s="85"/>
      <c r="B511" s="40"/>
      <c r="C511" s="40"/>
      <c r="D511" s="40"/>
      <c r="E511" s="40"/>
      <c r="F511" s="40"/>
      <c r="G511" s="40"/>
      <c r="H511" s="40"/>
      <c r="I511" s="40"/>
      <c r="J511" s="40"/>
      <c r="K511" s="40"/>
      <c r="L511" s="320"/>
      <c r="M511" s="355"/>
      <c r="N511" s="351"/>
      <c r="O511" s="40"/>
    </row>
    <row r="512" spans="1:25" x14ac:dyDescent="0.25">
      <c r="A512" s="85"/>
      <c r="B512" s="319" t="s">
        <v>632</v>
      </c>
      <c r="C512" s="352" t="s">
        <v>173</v>
      </c>
      <c r="D512" s="352"/>
      <c r="E512" s="352"/>
      <c r="F512" s="352"/>
      <c r="G512" s="352"/>
      <c r="H512" s="352"/>
      <c r="I512" s="40"/>
      <c r="J512" s="358" t="s">
        <v>231</v>
      </c>
      <c r="K512" s="359">
        <v>0.04</v>
      </c>
      <c r="L512" s="40"/>
      <c r="M512" s="40"/>
      <c r="N512" s="40"/>
      <c r="O512" s="361"/>
    </row>
    <row r="513" spans="1:15" x14ac:dyDescent="0.25">
      <c r="A513" s="85"/>
      <c r="B513" s="319"/>
      <c r="C513" s="352"/>
      <c r="D513" s="352"/>
      <c r="E513" s="352"/>
      <c r="F513" s="352"/>
      <c r="G513" s="352"/>
      <c r="H513" s="352"/>
      <c r="I513" s="40"/>
      <c r="J513" s="358"/>
      <c r="K513" s="360"/>
      <c r="L513" s="40"/>
      <c r="M513" s="40"/>
      <c r="N513" s="40"/>
      <c r="O513" s="362"/>
    </row>
    <row r="514" spans="1:15" x14ac:dyDescent="0.25">
      <c r="A514" s="85"/>
      <c r="B514" s="319"/>
      <c r="C514" s="352"/>
      <c r="D514" s="352"/>
      <c r="E514" s="352"/>
      <c r="F514" s="352"/>
      <c r="G514" s="352"/>
      <c r="H514" s="352"/>
      <c r="I514" s="40"/>
      <c r="J514" s="40"/>
      <c r="K514" s="40"/>
      <c r="L514" s="40"/>
      <c r="M514" s="40"/>
      <c r="N514" s="40"/>
      <c r="O514" s="40"/>
    </row>
    <row r="517" spans="1:15" ht="24.6" x14ac:dyDescent="0.25">
      <c r="A517" s="96"/>
      <c r="B517" s="348" t="s">
        <v>294</v>
      </c>
      <c r="C517" s="348"/>
      <c r="D517" s="348"/>
      <c r="E517" s="348"/>
      <c r="F517" s="348"/>
      <c r="G517" s="348"/>
      <c r="H517" s="348"/>
      <c r="I517" s="348"/>
      <c r="J517" s="348"/>
      <c r="K517" s="348"/>
      <c r="L517" s="348"/>
      <c r="M517" s="348"/>
      <c r="N517" s="348"/>
      <c r="O517" s="348"/>
    </row>
    <row r="518" spans="1:15" ht="24.6" x14ac:dyDescent="0.25">
      <c r="A518" s="96"/>
      <c r="B518" s="349"/>
      <c r="C518" s="349"/>
      <c r="D518" s="349"/>
      <c r="E518" s="349"/>
      <c r="F518" s="349"/>
      <c r="G518" s="349"/>
      <c r="H518" s="349"/>
      <c r="I518" s="349"/>
      <c r="J518" s="349"/>
      <c r="K518" s="349"/>
      <c r="L518" s="349"/>
      <c r="M518" s="349"/>
      <c r="N518" s="349"/>
      <c r="O518" s="349"/>
    </row>
    <row r="519" spans="1:15" x14ac:dyDescent="0.25">
      <c r="A519" s="82"/>
      <c r="B519" s="41"/>
      <c r="C519" s="42" t="s">
        <v>66</v>
      </c>
      <c r="D519" s="42" t="s">
        <v>67</v>
      </c>
      <c r="E519" s="42" t="s">
        <v>68</v>
      </c>
      <c r="F519" s="42" t="s">
        <v>69</v>
      </c>
      <c r="G519" s="42" t="s">
        <v>70</v>
      </c>
      <c r="H519" s="42" t="s">
        <v>71</v>
      </c>
      <c r="I519" s="42" t="s">
        <v>72</v>
      </c>
      <c r="J519" s="42" t="s">
        <v>73</v>
      </c>
      <c r="K519" s="42" t="s">
        <v>74</v>
      </c>
      <c r="L519" s="42" t="s">
        <v>75</v>
      </c>
      <c r="M519" s="42" t="s">
        <v>76</v>
      </c>
      <c r="N519" s="42" t="s">
        <v>77</v>
      </c>
      <c r="O519" s="42" t="s">
        <v>236</v>
      </c>
    </row>
    <row r="520" spans="1:15" x14ac:dyDescent="0.25">
      <c r="A520" s="82"/>
      <c r="B520" s="44" t="s">
        <v>381</v>
      </c>
      <c r="C520" s="45">
        <f>'11.My pension value'!$D$14/12</f>
        <v>35611893.330636717</v>
      </c>
      <c r="D520" s="45">
        <f>'11.My pension value'!$D$14/12</f>
        <v>35611893.330636717</v>
      </c>
      <c r="E520" s="45">
        <f>'11.My pension value'!$D$14/12</f>
        <v>35611893.330636717</v>
      </c>
      <c r="F520" s="45">
        <f>'11.My pension value'!$D$14/12</f>
        <v>35611893.330636717</v>
      </c>
      <c r="G520" s="45">
        <f>'11.My pension value'!$D$14/12</f>
        <v>35611893.330636717</v>
      </c>
      <c r="H520" s="45">
        <f>'11.My pension value'!$D$14/12</f>
        <v>35611893.330636717</v>
      </c>
      <c r="I520" s="45">
        <f>'11.My pension value'!$D$14/12</f>
        <v>35611893.330636717</v>
      </c>
      <c r="J520" s="45">
        <f>'11.My pension value'!$D$14/12</f>
        <v>35611893.330636717</v>
      </c>
      <c r="K520" s="45">
        <f>'11.My pension value'!$D$14/12</f>
        <v>35611893.330636717</v>
      </c>
      <c r="L520" s="45">
        <f>'11.My pension value'!$D$14/12</f>
        <v>35611893.330636717</v>
      </c>
      <c r="M520" s="45">
        <f>'11.My pension value'!$D$14/12</f>
        <v>35611893.330636717</v>
      </c>
      <c r="N520" s="45">
        <f>'11.My pension value'!$D$14/12</f>
        <v>35611893.330636717</v>
      </c>
      <c r="O520" s="45" t="s">
        <v>173</v>
      </c>
    </row>
    <row r="521" spans="1:15" x14ac:dyDescent="0.25">
      <c r="A521" s="82"/>
      <c r="B521" s="44" t="s">
        <v>382</v>
      </c>
      <c r="C521" s="45">
        <f>'10.2. Wife''s retirement salary'!$O$10</f>
        <v>30571553.146033701</v>
      </c>
      <c r="D521" s="45">
        <f>'10.2. Wife''s retirement salary'!$O$10</f>
        <v>30571553.146033701</v>
      </c>
      <c r="E521" s="45">
        <f>'10.2. Wife''s retirement salary'!$O$10</f>
        <v>30571553.146033701</v>
      </c>
      <c r="F521" s="45">
        <f>'10.2. Wife''s retirement salary'!$O$10</f>
        <v>30571553.146033701</v>
      </c>
      <c r="G521" s="45">
        <f>'10.2. Wife''s retirement salary'!$O$10</f>
        <v>30571553.146033701</v>
      </c>
      <c r="H521" s="45">
        <f>'10.2. Wife''s retirement salary'!$O$10</f>
        <v>30571553.146033701</v>
      </c>
      <c r="I521" s="45">
        <f>'10.2. Wife''s retirement salary'!$O$10</f>
        <v>30571553.146033701</v>
      </c>
      <c r="J521" s="45">
        <f>'10.2. Wife''s retirement salary'!$O$10</f>
        <v>30571553.146033701</v>
      </c>
      <c r="K521" s="45">
        <f>'10.2. Wife''s retirement salary'!$O$10</f>
        <v>30571553.146033701</v>
      </c>
      <c r="L521" s="45">
        <f>'10.2. Wife''s retirement salary'!$O$10</f>
        <v>30571553.146033701</v>
      </c>
      <c r="M521" s="45">
        <f>'10.2. Wife''s retirement salary'!$O$10</f>
        <v>30571553.146033701</v>
      </c>
      <c r="N521" s="45">
        <f>'10.2. Wife''s retirement salary'!$O$10</f>
        <v>30571553.146033701</v>
      </c>
      <c r="O521" s="45" t="s">
        <v>173</v>
      </c>
    </row>
    <row r="522" spans="1:15" x14ac:dyDescent="0.25">
      <c r="A522" s="82"/>
      <c r="B522" s="46" t="s">
        <v>209</v>
      </c>
      <c r="C522" s="47">
        <f>SUM(C520:C521)</f>
        <v>66183446.476670414</v>
      </c>
      <c r="D522" s="47">
        <f t="shared" ref="D522:J522" si="703">SUM(D520:D521)</f>
        <v>66183446.476670414</v>
      </c>
      <c r="E522" s="47">
        <f t="shared" si="703"/>
        <v>66183446.476670414</v>
      </c>
      <c r="F522" s="47">
        <f t="shared" si="703"/>
        <v>66183446.476670414</v>
      </c>
      <c r="G522" s="47">
        <f t="shared" si="703"/>
        <v>66183446.476670414</v>
      </c>
      <c r="H522" s="47">
        <f t="shared" si="703"/>
        <v>66183446.476670414</v>
      </c>
      <c r="I522" s="47">
        <f t="shared" si="703"/>
        <v>66183446.476670414</v>
      </c>
      <c r="J522" s="47">
        <f t="shared" si="703"/>
        <v>66183446.476670414</v>
      </c>
      <c r="K522" s="47">
        <f>SUM(K520:K521)</f>
        <v>66183446.476670414</v>
      </c>
      <c r="L522" s="47">
        <f t="shared" ref="L522:N522" si="704">SUM(L520:L521)</f>
        <v>66183446.476670414</v>
      </c>
      <c r="M522" s="47">
        <f t="shared" si="704"/>
        <v>66183446.476670414</v>
      </c>
      <c r="N522" s="47">
        <f t="shared" si="704"/>
        <v>66183446.476670414</v>
      </c>
      <c r="O522" s="47">
        <f>SUM(C522:N522)</f>
        <v>794201357.72004473</v>
      </c>
    </row>
    <row r="523" spans="1:15" x14ac:dyDescent="0.25">
      <c r="A523" s="82"/>
      <c r="B523" s="52" t="s">
        <v>78</v>
      </c>
      <c r="C523" s="53" t="s">
        <v>173</v>
      </c>
      <c r="D523" s="53" t="s">
        <v>173</v>
      </c>
      <c r="E523" s="53" t="s">
        <v>173</v>
      </c>
      <c r="F523" s="53" t="s">
        <v>173</v>
      </c>
      <c r="G523" s="53" t="s">
        <v>173</v>
      </c>
      <c r="H523" s="53" t="s">
        <v>173</v>
      </c>
      <c r="I523" s="53" t="s">
        <v>173</v>
      </c>
      <c r="J523" s="53" t="s">
        <v>173</v>
      </c>
      <c r="K523" s="53" t="s">
        <v>173</v>
      </c>
      <c r="L523" s="53" t="s">
        <v>173</v>
      </c>
      <c r="M523" s="53" t="s">
        <v>173</v>
      </c>
      <c r="N523" s="53" t="s">
        <v>173</v>
      </c>
      <c r="O523" s="91" t="s">
        <v>173</v>
      </c>
    </row>
    <row r="524" spans="1:15" x14ac:dyDescent="0.25">
      <c r="A524" s="82"/>
      <c r="B524" s="48" t="s">
        <v>79</v>
      </c>
      <c r="C524" s="54" t="s">
        <v>173</v>
      </c>
      <c r="D524" s="54" t="s">
        <v>173</v>
      </c>
      <c r="E524" s="54" t="s">
        <v>173</v>
      </c>
      <c r="F524" s="54" t="s">
        <v>173</v>
      </c>
      <c r="G524" s="54" t="s">
        <v>173</v>
      </c>
      <c r="H524" s="54" t="s">
        <v>173</v>
      </c>
      <c r="I524" s="54" t="s">
        <v>173</v>
      </c>
      <c r="J524" s="54" t="s">
        <v>173</v>
      </c>
      <c r="K524" s="54" t="s">
        <v>173</v>
      </c>
      <c r="L524" s="54" t="s">
        <v>173</v>
      </c>
      <c r="M524" s="54" t="s">
        <v>173</v>
      </c>
      <c r="N524" s="54" t="s">
        <v>173</v>
      </c>
      <c r="O524" s="91" t="s">
        <v>173</v>
      </c>
    </row>
    <row r="525" spans="1:15" x14ac:dyDescent="0.25">
      <c r="A525" s="83"/>
      <c r="B525" s="49" t="s">
        <v>195</v>
      </c>
      <c r="C525" s="50">
        <f>C493*(1+$K$62)</f>
        <v>1014629.7093681706</v>
      </c>
      <c r="D525" s="50">
        <v>0</v>
      </c>
      <c r="E525" s="50">
        <v>0</v>
      </c>
      <c r="F525" s="50">
        <v>0</v>
      </c>
      <c r="G525" s="50">
        <v>0</v>
      </c>
      <c r="H525" s="50">
        <v>0</v>
      </c>
      <c r="I525" s="50">
        <v>0</v>
      </c>
      <c r="J525" s="50">
        <v>0</v>
      </c>
      <c r="K525" s="50">
        <v>0</v>
      </c>
      <c r="L525" s="50">
        <v>0</v>
      </c>
      <c r="M525" s="50">
        <v>0</v>
      </c>
      <c r="N525" s="50">
        <v>0</v>
      </c>
      <c r="O525" s="90">
        <f t="shared" ref="O525:O528" si="705">SUM(C525:N525)</f>
        <v>1014629.7093681706</v>
      </c>
    </row>
    <row r="526" spans="1:15" x14ac:dyDescent="0.25">
      <c r="A526" s="82"/>
      <c r="B526" s="51" t="s">
        <v>178</v>
      </c>
      <c r="C526" s="50">
        <f>C494*(1+$K$62)</f>
        <v>7686588.7073346293</v>
      </c>
      <c r="D526" s="50">
        <f t="shared" ref="D526:N526" si="706">D494*(1+$K$62)</f>
        <v>7686588.7073346293</v>
      </c>
      <c r="E526" s="50">
        <f t="shared" si="706"/>
        <v>7686588.7073346293</v>
      </c>
      <c r="F526" s="50">
        <f t="shared" si="706"/>
        <v>7686588.7073346293</v>
      </c>
      <c r="G526" s="50">
        <f t="shared" si="706"/>
        <v>7686588.7073346293</v>
      </c>
      <c r="H526" s="50">
        <f t="shared" si="706"/>
        <v>7686588.7073346293</v>
      </c>
      <c r="I526" s="50">
        <f t="shared" si="706"/>
        <v>7686588.7073346293</v>
      </c>
      <c r="J526" s="50">
        <f t="shared" si="706"/>
        <v>7686588.7073346293</v>
      </c>
      <c r="K526" s="50">
        <f t="shared" si="706"/>
        <v>7686588.7073346293</v>
      </c>
      <c r="L526" s="50">
        <f t="shared" si="706"/>
        <v>7686588.7073346293</v>
      </c>
      <c r="M526" s="50">
        <f t="shared" si="706"/>
        <v>7686588.7073346293</v>
      </c>
      <c r="N526" s="50">
        <f t="shared" si="706"/>
        <v>7686588.7073346293</v>
      </c>
      <c r="O526" s="90">
        <f t="shared" si="705"/>
        <v>92239064.488015532</v>
      </c>
    </row>
    <row r="527" spans="1:15" x14ac:dyDescent="0.25">
      <c r="A527" s="84"/>
      <c r="B527" s="51" t="s">
        <v>248</v>
      </c>
      <c r="C527" s="50">
        <f>C495*(1+$K$62)</f>
        <v>922390.64488015545</v>
      </c>
      <c r="D527" s="50">
        <f t="shared" ref="D527:N527" si="707">D495*(1+$K$62)</f>
        <v>922390.64488015545</v>
      </c>
      <c r="E527" s="50">
        <f t="shared" si="707"/>
        <v>922390.64488015545</v>
      </c>
      <c r="F527" s="50">
        <f t="shared" si="707"/>
        <v>922390.64488015545</v>
      </c>
      <c r="G527" s="50">
        <f t="shared" si="707"/>
        <v>922390.64488015545</v>
      </c>
      <c r="H527" s="50">
        <f t="shared" si="707"/>
        <v>922390.64488015545</v>
      </c>
      <c r="I527" s="50">
        <f t="shared" si="707"/>
        <v>922390.64488015545</v>
      </c>
      <c r="J527" s="50">
        <f t="shared" si="707"/>
        <v>922390.64488015545</v>
      </c>
      <c r="K527" s="50">
        <f t="shared" si="707"/>
        <v>922390.64488015545</v>
      </c>
      <c r="L527" s="50">
        <f t="shared" si="707"/>
        <v>922390.64488015545</v>
      </c>
      <c r="M527" s="50">
        <f t="shared" si="707"/>
        <v>922390.64488015545</v>
      </c>
      <c r="N527" s="50">
        <f t="shared" si="707"/>
        <v>922390.64488015545</v>
      </c>
      <c r="O527" s="90">
        <f t="shared" si="705"/>
        <v>11068687.738561863</v>
      </c>
    </row>
    <row r="528" spans="1:15" x14ac:dyDescent="0.25">
      <c r="A528" s="82"/>
      <c r="B528" s="46" t="s">
        <v>207</v>
      </c>
      <c r="C528" s="47">
        <f t="shared" ref="C528" si="708">SUM(C525:C527)</f>
        <v>9623609.0615829546</v>
      </c>
      <c r="D528" s="47">
        <f t="shared" ref="D528" si="709">SUM(D525:D527)</f>
        <v>8608979.3522147853</v>
      </c>
      <c r="E528" s="47">
        <f t="shared" ref="E528" si="710">SUM(E525:E527)</f>
        <v>8608979.3522147853</v>
      </c>
      <c r="F528" s="47">
        <f t="shared" ref="F528" si="711">SUM(F525:F527)</f>
        <v>8608979.3522147853</v>
      </c>
      <c r="G528" s="47">
        <f t="shared" ref="G528" si="712">SUM(G525:G527)</f>
        <v>8608979.3522147853</v>
      </c>
      <c r="H528" s="47">
        <f t="shared" ref="H528" si="713">SUM(H525:H527)</f>
        <v>8608979.3522147853</v>
      </c>
      <c r="I528" s="47">
        <f t="shared" ref="I528" si="714">SUM(I525:I527)</f>
        <v>8608979.3522147853</v>
      </c>
      <c r="J528" s="47">
        <f t="shared" ref="J528" si="715">SUM(J525:J527)</f>
        <v>8608979.3522147853</v>
      </c>
      <c r="K528" s="47">
        <f t="shared" ref="K528" si="716">SUM(K525:K527)</f>
        <v>8608979.3522147853</v>
      </c>
      <c r="L528" s="47">
        <f t="shared" ref="L528" si="717">SUM(L525:L527)</f>
        <v>8608979.3522147853</v>
      </c>
      <c r="M528" s="47">
        <f t="shared" ref="M528" si="718">SUM(M525:M527)</f>
        <v>8608979.3522147853</v>
      </c>
      <c r="N528" s="47">
        <f t="shared" ref="N528" si="719">SUM(N525:N527)</f>
        <v>8608979.3522147853</v>
      </c>
      <c r="O528" s="47">
        <f t="shared" si="705"/>
        <v>104322381.93594559</v>
      </c>
    </row>
    <row r="529" spans="1:25" x14ac:dyDescent="0.25">
      <c r="A529" s="82"/>
      <c r="B529" s="55" t="s">
        <v>83</v>
      </c>
      <c r="C529" s="59" t="s">
        <v>173</v>
      </c>
      <c r="D529" s="59" t="s">
        <v>173</v>
      </c>
      <c r="E529" s="59" t="s">
        <v>173</v>
      </c>
      <c r="F529" s="59" t="s">
        <v>173</v>
      </c>
      <c r="G529" s="59" t="s">
        <v>173</v>
      </c>
      <c r="H529" s="59" t="s">
        <v>173</v>
      </c>
      <c r="I529" s="59" t="s">
        <v>173</v>
      </c>
      <c r="J529" s="59" t="s">
        <v>173</v>
      </c>
      <c r="K529" s="59" t="s">
        <v>173</v>
      </c>
      <c r="L529" s="59" t="s">
        <v>173</v>
      </c>
      <c r="M529" s="59" t="s">
        <v>173</v>
      </c>
      <c r="N529" s="59" t="s">
        <v>173</v>
      </c>
      <c r="O529" s="91" t="s">
        <v>173</v>
      </c>
    </row>
    <row r="530" spans="1:25" x14ac:dyDescent="0.25">
      <c r="A530" s="82"/>
      <c r="B530" s="57" t="s">
        <v>210</v>
      </c>
      <c r="C530" s="89">
        <f t="shared" ref="C530:N530" si="720">C498*(1+$K$95)</f>
        <v>5088521.7242555246</v>
      </c>
      <c r="D530" s="89">
        <f t="shared" si="720"/>
        <v>6133897.7884530341</v>
      </c>
      <c r="E530" s="89">
        <f t="shared" si="720"/>
        <v>5657329.2885982832</v>
      </c>
      <c r="F530" s="89">
        <f t="shared" si="720"/>
        <v>5288373.0306462273</v>
      </c>
      <c r="G530" s="89">
        <f t="shared" si="720"/>
        <v>4857924.0630354835</v>
      </c>
      <c r="H530" s="89">
        <f t="shared" si="720"/>
        <v>6087778.256209027</v>
      </c>
      <c r="I530" s="89">
        <f t="shared" si="720"/>
        <v>7102407.9655771963</v>
      </c>
      <c r="J530" s="89">
        <f t="shared" si="720"/>
        <v>6810317.5946984813</v>
      </c>
      <c r="K530" s="89">
        <f t="shared" si="720"/>
        <v>5257626.6758168852</v>
      </c>
      <c r="L530" s="89">
        <f t="shared" si="720"/>
        <v>5395985.2725489102</v>
      </c>
      <c r="M530" s="89">
        <f t="shared" si="720"/>
        <v>5134641.2564995317</v>
      </c>
      <c r="N530" s="89">
        <f t="shared" si="720"/>
        <v>5549717.0466956003</v>
      </c>
      <c r="O530" s="92">
        <f t="shared" ref="O530:O538" si="721">SUM(C530:N530)</f>
        <v>68364519.963034198</v>
      </c>
    </row>
    <row r="531" spans="1:25" x14ac:dyDescent="0.25">
      <c r="A531" s="82"/>
      <c r="B531" s="57" t="s">
        <v>203</v>
      </c>
      <c r="C531" s="89">
        <f t="shared" ref="C531:N531" si="722">C499*(1+$K$95)</f>
        <v>18370947.010529757</v>
      </c>
      <c r="D531" s="89">
        <f t="shared" si="722"/>
        <v>19785279.332679342</v>
      </c>
      <c r="E531" s="89">
        <f t="shared" si="722"/>
        <v>22183495.009367742</v>
      </c>
      <c r="F531" s="89">
        <f t="shared" si="722"/>
        <v>16818256.091648176</v>
      </c>
      <c r="G531" s="89">
        <f t="shared" si="722"/>
        <v>22383346.315758448</v>
      </c>
      <c r="H531" s="89">
        <f t="shared" si="722"/>
        <v>21091999.412926219</v>
      </c>
      <c r="I531" s="89">
        <f t="shared" si="722"/>
        <v>19354830.365068603</v>
      </c>
      <c r="J531" s="89">
        <f t="shared" si="722"/>
        <v>23013646.589759883</v>
      </c>
      <c r="K531" s="89">
        <f t="shared" si="722"/>
        <v>22490958.55766112</v>
      </c>
      <c r="L531" s="89">
        <f t="shared" si="722"/>
        <v>22490958.55766112</v>
      </c>
      <c r="M531" s="89">
        <f t="shared" si="722"/>
        <v>17479302.720478956</v>
      </c>
      <c r="N531" s="89">
        <f t="shared" si="722"/>
        <v>21553194.7353663</v>
      </c>
      <c r="O531" s="92">
        <f t="shared" si="721"/>
        <v>247016214.69890565</v>
      </c>
    </row>
    <row r="532" spans="1:25" x14ac:dyDescent="0.25">
      <c r="A532" s="82"/>
      <c r="B532" s="58" t="s">
        <v>84</v>
      </c>
      <c r="C532" s="89">
        <f t="shared" ref="C532:N532" si="723">C500*(1+$K$95)</f>
        <v>16249448.527305398</v>
      </c>
      <c r="D532" s="89">
        <f t="shared" si="723"/>
        <v>17740646.736528315</v>
      </c>
      <c r="E532" s="89">
        <f t="shared" si="723"/>
        <v>17802139.446186993</v>
      </c>
      <c r="F532" s="89">
        <f t="shared" si="723"/>
        <v>18386320.187944438</v>
      </c>
      <c r="G532" s="89">
        <f t="shared" si="723"/>
        <v>21753046.041756999</v>
      </c>
      <c r="H532" s="89">
        <f t="shared" si="723"/>
        <v>18816769.155555166</v>
      </c>
      <c r="I532" s="89">
        <f t="shared" si="723"/>
        <v>19539308.494044635</v>
      </c>
      <c r="J532" s="89">
        <f t="shared" si="723"/>
        <v>22490958.55766112</v>
      </c>
      <c r="K532" s="89">
        <f t="shared" si="723"/>
        <v>20584684.558242138</v>
      </c>
      <c r="L532" s="89">
        <f t="shared" si="723"/>
        <v>20553938.203412794</v>
      </c>
      <c r="M532" s="89">
        <f t="shared" si="723"/>
        <v>21999016.880391702</v>
      </c>
      <c r="N532" s="89">
        <f t="shared" si="723"/>
        <v>17663780.849454973</v>
      </c>
      <c r="O532" s="92">
        <f t="shared" si="721"/>
        <v>233580057.63848469</v>
      </c>
    </row>
    <row r="533" spans="1:25" x14ac:dyDescent="0.25">
      <c r="A533" s="82"/>
      <c r="B533" s="57" t="s">
        <v>85</v>
      </c>
      <c r="C533" s="89">
        <f t="shared" ref="C533:N533" si="724">C501*(1+$K$95)</f>
        <v>18878261.865213856</v>
      </c>
      <c r="D533" s="89">
        <f t="shared" si="724"/>
        <v>16157209.462817395</v>
      </c>
      <c r="E533" s="89">
        <f t="shared" si="724"/>
        <v>16726017.027160149</v>
      </c>
      <c r="F533" s="89">
        <f t="shared" si="724"/>
        <v>16987361.043209523</v>
      </c>
      <c r="G533" s="89">
        <f t="shared" si="724"/>
        <v>22844541.63819851</v>
      </c>
      <c r="H533" s="89">
        <f t="shared" si="724"/>
        <v>16772136.559404163</v>
      </c>
      <c r="I533" s="89">
        <f t="shared" si="724"/>
        <v>19462442.606971275</v>
      </c>
      <c r="J533" s="89">
        <f t="shared" si="724"/>
        <v>15403923.769498596</v>
      </c>
      <c r="K533" s="89">
        <f t="shared" si="724"/>
        <v>20031250.17131405</v>
      </c>
      <c r="L533" s="89">
        <f t="shared" si="724"/>
        <v>15911238.624182679</v>
      </c>
      <c r="M533" s="89">
        <f t="shared" si="724"/>
        <v>20261847.832534082</v>
      </c>
      <c r="N533" s="89">
        <f t="shared" si="724"/>
        <v>19293337.655409914</v>
      </c>
      <c r="O533" s="92">
        <f t="shared" si="721"/>
        <v>218729568.25591418</v>
      </c>
    </row>
    <row r="534" spans="1:25" x14ac:dyDescent="0.25">
      <c r="A534" s="84"/>
      <c r="B534" s="58" t="s">
        <v>249</v>
      </c>
      <c r="C534" s="89">
        <v>10000000</v>
      </c>
      <c r="D534" s="89">
        <v>10000000</v>
      </c>
      <c r="E534" s="89">
        <v>10000000</v>
      </c>
      <c r="F534" s="89">
        <v>10000000</v>
      </c>
      <c r="G534" s="89">
        <v>10000000</v>
      </c>
      <c r="H534" s="89">
        <v>10000000</v>
      </c>
      <c r="I534" s="89">
        <v>10000000</v>
      </c>
      <c r="J534" s="89">
        <v>10000000</v>
      </c>
      <c r="K534" s="89">
        <v>10000000</v>
      </c>
      <c r="L534" s="89">
        <v>10000000</v>
      </c>
      <c r="M534" s="89">
        <v>10000000</v>
      </c>
      <c r="N534" s="89">
        <v>10000000</v>
      </c>
      <c r="O534" s="92">
        <f t="shared" si="721"/>
        <v>120000000</v>
      </c>
    </row>
    <row r="535" spans="1:25" x14ac:dyDescent="0.25">
      <c r="A535" s="84"/>
      <c r="B535" s="58" t="s">
        <v>180</v>
      </c>
      <c r="C535" s="89">
        <f t="shared" ref="C535:N535" si="725">C503*(1+$K$95)</f>
        <v>15721742.216283236</v>
      </c>
      <c r="D535" s="89">
        <f t="shared" si="725"/>
        <v>13455660.479897145</v>
      </c>
      <c r="E535" s="89">
        <f t="shared" si="725"/>
        <v>13929361.181853551</v>
      </c>
      <c r="F535" s="89">
        <f t="shared" si="725"/>
        <v>14147007.450320011</v>
      </c>
      <c r="G535" s="89">
        <f t="shared" si="725"/>
        <v>19024844.408303648</v>
      </c>
      <c r="H535" s="89">
        <f t="shared" si="725"/>
        <v>13967769.346877057</v>
      </c>
      <c r="I535" s="89">
        <f t="shared" si="725"/>
        <v>16208245.639914151</v>
      </c>
      <c r="J535" s="89">
        <f t="shared" si="725"/>
        <v>12828327.117846746</v>
      </c>
      <c r="K535" s="89">
        <f t="shared" si="725"/>
        <v>16681946.341870574</v>
      </c>
      <c r="L535" s="89">
        <f t="shared" si="725"/>
        <v>13250816.933105178</v>
      </c>
      <c r="M535" s="89">
        <f t="shared" si="725"/>
        <v>16873987.166988038</v>
      </c>
      <c r="N535" s="89">
        <f t="shared" si="725"/>
        <v>16067415.701494671</v>
      </c>
      <c r="O535" s="92">
        <f t="shared" si="721"/>
        <v>182157123.984754</v>
      </c>
    </row>
    <row r="536" spans="1:25" x14ac:dyDescent="0.25">
      <c r="A536" s="84"/>
      <c r="B536" s="58" t="s">
        <v>86</v>
      </c>
      <c r="C536" s="89">
        <f t="shared" ref="C536:N536" si="726">C504*(1+$K$95)</f>
        <v>13955571.093040625</v>
      </c>
      <c r="D536" s="89">
        <f t="shared" si="726"/>
        <v>13955571.093040625</v>
      </c>
      <c r="E536" s="89">
        <f t="shared" si="726"/>
        <v>13955571.093040625</v>
      </c>
      <c r="F536" s="89">
        <f t="shared" si="726"/>
        <v>13955571.093040625</v>
      </c>
      <c r="G536" s="89">
        <f t="shared" si="726"/>
        <v>13955571.093040625</v>
      </c>
      <c r="H536" s="89">
        <f t="shared" si="726"/>
        <v>13955571.093040625</v>
      </c>
      <c r="I536" s="89">
        <f t="shared" si="726"/>
        <v>13955571.093040625</v>
      </c>
      <c r="J536" s="89">
        <f t="shared" si="726"/>
        <v>13955571.093040625</v>
      </c>
      <c r="K536" s="89">
        <f t="shared" si="726"/>
        <v>13955571.093040625</v>
      </c>
      <c r="L536" s="89">
        <f t="shared" si="726"/>
        <v>13955571.093040625</v>
      </c>
      <c r="M536" s="89">
        <f t="shared" si="726"/>
        <v>13955571.093040625</v>
      </c>
      <c r="N536" s="89">
        <f t="shared" si="726"/>
        <v>13955571.093040625</v>
      </c>
      <c r="O536" s="92">
        <f t="shared" si="721"/>
        <v>167466853.1164875</v>
      </c>
    </row>
    <row r="537" spans="1:25" x14ac:dyDescent="0.25">
      <c r="A537" s="82"/>
      <c r="B537" s="46" t="s">
        <v>208</v>
      </c>
      <c r="C537" s="47">
        <f t="shared" ref="C537:N537" si="727">SUM(C530:C536)</f>
        <v>98264492.436628401</v>
      </c>
      <c r="D537" s="47">
        <f t="shared" si="727"/>
        <v>97228264.893415853</v>
      </c>
      <c r="E537" s="47">
        <f t="shared" si="727"/>
        <v>100253913.04620735</v>
      </c>
      <c r="F537" s="47">
        <f t="shared" si="727"/>
        <v>95582888.896808997</v>
      </c>
      <c r="G537" s="47">
        <f t="shared" si="727"/>
        <v>114819273.56009372</v>
      </c>
      <c r="H537" s="47">
        <f t="shared" si="727"/>
        <v>100692023.82401226</v>
      </c>
      <c r="I537" s="47">
        <f t="shared" si="727"/>
        <v>105622806.1646165</v>
      </c>
      <c r="J537" s="47">
        <f t="shared" si="727"/>
        <v>104502744.72250545</v>
      </c>
      <c r="K537" s="47">
        <f t="shared" si="727"/>
        <v>109002037.3979454</v>
      </c>
      <c r="L537" s="47">
        <f t="shared" si="727"/>
        <v>101558508.6839513</v>
      </c>
      <c r="M537" s="47">
        <f t="shared" si="727"/>
        <v>105704366.94993295</v>
      </c>
      <c r="N537" s="47">
        <f t="shared" si="727"/>
        <v>104083017.0814621</v>
      </c>
      <c r="O537" s="47">
        <f t="shared" si="721"/>
        <v>1237314337.6575804</v>
      </c>
    </row>
    <row r="538" spans="1:25" x14ac:dyDescent="0.25">
      <c r="A538" s="82"/>
      <c r="B538" s="60" t="s">
        <v>87</v>
      </c>
      <c r="C538" s="47">
        <f t="shared" ref="C538:N538" si="728">C528+C537</f>
        <v>107888101.49821135</v>
      </c>
      <c r="D538" s="47">
        <f t="shared" si="728"/>
        <v>105837244.24563064</v>
      </c>
      <c r="E538" s="47">
        <f t="shared" si="728"/>
        <v>108862892.39842214</v>
      </c>
      <c r="F538" s="47">
        <f t="shared" si="728"/>
        <v>104191868.24902378</v>
      </c>
      <c r="G538" s="47">
        <f t="shared" si="728"/>
        <v>123428252.9123085</v>
      </c>
      <c r="H538" s="47">
        <f t="shared" si="728"/>
        <v>109301003.17622705</v>
      </c>
      <c r="I538" s="47">
        <f t="shared" si="728"/>
        <v>114231785.51683128</v>
      </c>
      <c r="J538" s="47">
        <f t="shared" si="728"/>
        <v>113111724.07472023</v>
      </c>
      <c r="K538" s="47">
        <f t="shared" si="728"/>
        <v>117611016.75016019</v>
      </c>
      <c r="L538" s="47">
        <f t="shared" si="728"/>
        <v>110167488.03616609</v>
      </c>
      <c r="M538" s="47">
        <f t="shared" si="728"/>
        <v>114313346.30214773</v>
      </c>
      <c r="N538" s="47">
        <f t="shared" si="728"/>
        <v>112691996.43367688</v>
      </c>
      <c r="O538" s="47">
        <f t="shared" si="721"/>
        <v>1341636719.5935259</v>
      </c>
    </row>
    <row r="539" spans="1:25" s="11" customFormat="1" x14ac:dyDescent="0.25">
      <c r="A539" s="82"/>
      <c r="B539" s="108" t="s">
        <v>204</v>
      </c>
      <c r="C539" s="109">
        <f>$O538*(3/12)/12</f>
        <v>27950764.991531789</v>
      </c>
      <c r="D539" s="109">
        <f t="shared" ref="D539" si="729">$O538*(3/12)/12</f>
        <v>27950764.991531789</v>
      </c>
      <c r="E539" s="109">
        <f t="shared" ref="E539" si="730">$O538*(3/12)/12</f>
        <v>27950764.991531789</v>
      </c>
      <c r="F539" s="109">
        <f t="shared" ref="F539" si="731">$O538*(3/12)/12</f>
        <v>27950764.991531789</v>
      </c>
      <c r="G539" s="109">
        <f t="shared" ref="G539" si="732">$O538*(3/12)/12</f>
        <v>27950764.991531789</v>
      </c>
      <c r="H539" s="109">
        <f t="shared" ref="H539" si="733">$O538*(3/12)/12</f>
        <v>27950764.991531789</v>
      </c>
      <c r="I539" s="109">
        <f t="shared" ref="I539" si="734">$O538*(3/12)/12</f>
        <v>27950764.991531789</v>
      </c>
      <c r="J539" s="109">
        <f t="shared" ref="J539" si="735">$O538*(3/12)/12</f>
        <v>27950764.991531789</v>
      </c>
      <c r="K539" s="109">
        <f t="shared" ref="K539" si="736">$O538*(3/12)/12</f>
        <v>27950764.991531789</v>
      </c>
      <c r="L539" s="109">
        <f t="shared" ref="L539" si="737">$O538*(3/12)/12</f>
        <v>27950764.991531789</v>
      </c>
      <c r="M539" s="109">
        <f t="shared" ref="M539" si="738">$O538*(3/12)/12</f>
        <v>27950764.991531789</v>
      </c>
      <c r="N539" s="109">
        <f>$O538*(3/12)/12</f>
        <v>27950764.991531789</v>
      </c>
      <c r="O539" s="109">
        <f t="shared" ref="O539:O541" si="739">SUM(C539:N539)</f>
        <v>335409179.89838147</v>
      </c>
      <c r="P539" s="43"/>
      <c r="Q539" s="43"/>
      <c r="R539" s="40"/>
      <c r="S539" s="40"/>
      <c r="T539" s="40"/>
      <c r="U539" s="40"/>
      <c r="V539" s="40"/>
      <c r="W539" s="40"/>
      <c r="X539" s="40"/>
      <c r="Y539" s="40"/>
    </row>
    <row r="540" spans="1:25" s="11" customFormat="1" x14ac:dyDescent="0.25">
      <c r="A540" s="82"/>
      <c r="B540" s="108" t="s">
        <v>386</v>
      </c>
      <c r="C540" s="109">
        <f>C508*(1+$K$192)</f>
        <v>8424772.6174924113</v>
      </c>
      <c r="D540" s="109">
        <v>0</v>
      </c>
      <c r="E540" s="109">
        <v>0</v>
      </c>
      <c r="F540" s="109">
        <v>0</v>
      </c>
      <c r="G540" s="109">
        <v>0</v>
      </c>
      <c r="H540" s="109">
        <v>0</v>
      </c>
      <c r="I540" s="109">
        <v>0</v>
      </c>
      <c r="J540" s="109">
        <v>0</v>
      </c>
      <c r="K540" s="109">
        <v>0</v>
      </c>
      <c r="L540" s="109">
        <v>0</v>
      </c>
      <c r="M540" s="109">
        <v>0</v>
      </c>
      <c r="N540" s="109">
        <v>0</v>
      </c>
      <c r="O540" s="109">
        <f t="shared" si="739"/>
        <v>8424772.6174924113</v>
      </c>
      <c r="P540" s="43"/>
      <c r="Q540" s="43"/>
      <c r="R540" s="40"/>
      <c r="S540" s="40"/>
      <c r="T540" s="40"/>
      <c r="U540" s="40"/>
      <c r="V540" s="40"/>
      <c r="W540" s="40"/>
      <c r="X540" s="40"/>
      <c r="Y540" s="40"/>
    </row>
    <row r="541" spans="1:25" s="11" customFormat="1" x14ac:dyDescent="0.25">
      <c r="A541" s="82"/>
      <c r="B541" s="60" t="s">
        <v>206</v>
      </c>
      <c r="C541" s="61">
        <f>C522-C538-C539-C540</f>
        <v>-78080192.630565137</v>
      </c>
      <c r="D541" s="61">
        <f t="shared" ref="D541" si="740">D522-D538-D539-D540</f>
        <v>-67604562.760492012</v>
      </c>
      <c r="E541" s="61">
        <f t="shared" ref="E541" si="741">E522-E538-E539-E540</f>
        <v>-70630210.913283512</v>
      </c>
      <c r="F541" s="61">
        <f t="shared" ref="F541" si="742">F522-F538-F539-F540</f>
        <v>-65959186.763885155</v>
      </c>
      <c r="G541" s="61">
        <f t="shared" ref="G541" si="743">G522-G538-G539-G540</f>
        <v>-85195571.427169874</v>
      </c>
      <c r="H541" s="61">
        <f t="shared" ref="H541" si="744">H522-H538-H539-H540</f>
        <v>-71068321.691088423</v>
      </c>
      <c r="I541" s="61">
        <f t="shared" ref="I541" si="745">I522-I538-I539-I540</f>
        <v>-75999104.031692654</v>
      </c>
      <c r="J541" s="61">
        <f t="shared" ref="J541" si="746">J522-J538-J539-J540</f>
        <v>-74879042.589581609</v>
      </c>
      <c r="K541" s="61">
        <f t="shared" ref="K541" si="747">K522-K538-K539-K540</f>
        <v>-79378335.265021563</v>
      </c>
      <c r="L541" s="61">
        <f t="shared" ref="L541" si="748">L522-L538-L539-L540</f>
        <v>-71934806.551027462</v>
      </c>
      <c r="M541" s="61">
        <f t="shared" ref="M541" si="749">M522-M538-M539-M540</f>
        <v>-76080664.817009106</v>
      </c>
      <c r="N541" s="61">
        <f t="shared" ref="N541" si="750">N522-N538-N539-N540</f>
        <v>-74459314.948538259</v>
      </c>
      <c r="O541" s="47">
        <f t="shared" si="739"/>
        <v>-891269314.38935471</v>
      </c>
      <c r="P541" s="43"/>
      <c r="Q541" s="43"/>
      <c r="R541" s="40"/>
      <c r="S541" s="40"/>
      <c r="T541" s="40"/>
      <c r="U541" s="40"/>
      <c r="V541" s="40"/>
      <c r="W541" s="40"/>
      <c r="X541" s="40"/>
      <c r="Y541" s="40"/>
    </row>
    <row r="542" spans="1:25" x14ac:dyDescent="0.25">
      <c r="A542" s="85"/>
      <c r="B542" s="40"/>
      <c r="C542" s="40"/>
      <c r="D542" s="40"/>
      <c r="E542" s="40"/>
      <c r="F542" s="40"/>
      <c r="G542" s="40"/>
      <c r="H542" s="40"/>
      <c r="I542" s="40"/>
      <c r="J542" s="40"/>
      <c r="K542" s="40"/>
      <c r="L542" s="353" t="s">
        <v>217</v>
      </c>
      <c r="M542" s="354"/>
      <c r="N542" s="350">
        <f>SUM(C541:N541)+N510</f>
        <v>14465347901.979591</v>
      </c>
      <c r="O542" s="40"/>
    </row>
    <row r="543" spans="1:25" x14ac:dyDescent="0.25">
      <c r="A543" s="85"/>
      <c r="B543" s="40"/>
      <c r="C543" s="40"/>
      <c r="D543" s="40"/>
      <c r="E543" s="40"/>
      <c r="F543" s="40"/>
      <c r="G543" s="40"/>
      <c r="H543" s="40"/>
      <c r="I543" s="40"/>
      <c r="J543" s="40"/>
      <c r="K543" s="40"/>
      <c r="L543" s="320"/>
      <c r="M543" s="355"/>
      <c r="N543" s="351"/>
      <c r="O543" s="40"/>
    </row>
    <row r="544" spans="1:25" x14ac:dyDescent="0.25">
      <c r="A544" s="85"/>
      <c r="B544" s="319" t="s">
        <v>632</v>
      </c>
      <c r="C544" s="352" t="s">
        <v>173</v>
      </c>
      <c r="D544" s="352"/>
      <c r="E544" s="352"/>
      <c r="F544" s="352"/>
      <c r="G544" s="352"/>
      <c r="H544" s="352"/>
      <c r="I544" s="40"/>
      <c r="J544" s="358" t="s">
        <v>231</v>
      </c>
      <c r="K544" s="359">
        <v>0.04</v>
      </c>
      <c r="L544" s="40"/>
      <c r="M544" s="40"/>
      <c r="N544" s="40"/>
      <c r="O544" s="361"/>
    </row>
    <row r="545" spans="1:15" x14ac:dyDescent="0.25">
      <c r="A545" s="85"/>
      <c r="B545" s="319"/>
      <c r="C545" s="352"/>
      <c r="D545" s="352"/>
      <c r="E545" s="352"/>
      <c r="F545" s="352"/>
      <c r="G545" s="352"/>
      <c r="H545" s="352"/>
      <c r="I545" s="40"/>
      <c r="J545" s="358"/>
      <c r="K545" s="360"/>
      <c r="L545" s="40"/>
      <c r="M545" s="40"/>
      <c r="N545" s="40"/>
      <c r="O545" s="362"/>
    </row>
    <row r="546" spans="1:15" x14ac:dyDescent="0.25">
      <c r="A546" s="85"/>
      <c r="B546" s="319"/>
      <c r="C546" s="352"/>
      <c r="D546" s="352"/>
      <c r="E546" s="352"/>
      <c r="F546" s="352"/>
      <c r="G546" s="352"/>
      <c r="H546" s="352"/>
      <c r="I546" s="40"/>
      <c r="J546" s="40"/>
      <c r="K546" s="40"/>
      <c r="L546" s="40"/>
      <c r="M546" s="40"/>
      <c r="N546" s="40"/>
      <c r="O546" s="40"/>
    </row>
    <row r="549" spans="1:15" ht="24.6" x14ac:dyDescent="0.25">
      <c r="A549" s="96"/>
      <c r="B549" s="348" t="s">
        <v>295</v>
      </c>
      <c r="C549" s="348"/>
      <c r="D549" s="348"/>
      <c r="E549" s="348"/>
      <c r="F549" s="348"/>
      <c r="G549" s="348"/>
      <c r="H549" s="348"/>
      <c r="I549" s="348"/>
      <c r="J549" s="348"/>
      <c r="K549" s="348"/>
      <c r="L549" s="348"/>
      <c r="M549" s="348"/>
      <c r="N549" s="348"/>
      <c r="O549" s="348"/>
    </row>
    <row r="550" spans="1:15" ht="24.6" x14ac:dyDescent="0.25">
      <c r="A550" s="96"/>
      <c r="B550" s="349"/>
      <c r="C550" s="349"/>
      <c r="D550" s="349"/>
      <c r="E550" s="349"/>
      <c r="F550" s="349"/>
      <c r="G550" s="349"/>
      <c r="H550" s="349"/>
      <c r="I550" s="349"/>
      <c r="J550" s="349"/>
      <c r="K550" s="349"/>
      <c r="L550" s="349"/>
      <c r="M550" s="349"/>
      <c r="N550" s="349"/>
      <c r="O550" s="349"/>
    </row>
    <row r="551" spans="1:15" x14ac:dyDescent="0.25">
      <c r="A551" s="82"/>
      <c r="B551" s="41"/>
      <c r="C551" s="42" t="s">
        <v>66</v>
      </c>
      <c r="D551" s="42" t="s">
        <v>67</v>
      </c>
      <c r="E551" s="42" t="s">
        <v>68</v>
      </c>
      <c r="F551" s="42" t="s">
        <v>69</v>
      </c>
      <c r="G551" s="42" t="s">
        <v>70</v>
      </c>
      <c r="H551" s="42" t="s">
        <v>71</v>
      </c>
      <c r="I551" s="42" t="s">
        <v>72</v>
      </c>
      <c r="J551" s="42" t="s">
        <v>73</v>
      </c>
      <c r="K551" s="42" t="s">
        <v>74</v>
      </c>
      <c r="L551" s="42" t="s">
        <v>75</v>
      </c>
      <c r="M551" s="42" t="s">
        <v>76</v>
      </c>
      <c r="N551" s="42" t="s">
        <v>77</v>
      </c>
      <c r="O551" s="42" t="s">
        <v>236</v>
      </c>
    </row>
    <row r="552" spans="1:15" x14ac:dyDescent="0.25">
      <c r="A552" s="82"/>
      <c r="B552" s="44" t="s">
        <v>381</v>
      </c>
      <c r="C552" s="45">
        <f>'11.My pension value'!$D$15/12</f>
        <v>35611893.330636717</v>
      </c>
      <c r="D552" s="45">
        <f>'11.My pension value'!$D$15/12</f>
        <v>35611893.330636717</v>
      </c>
      <c r="E552" s="45">
        <f>'11.My pension value'!$D$15/12</f>
        <v>35611893.330636717</v>
      </c>
      <c r="F552" s="45">
        <f>'11.My pension value'!$D$15/12</f>
        <v>35611893.330636717</v>
      </c>
      <c r="G552" s="45">
        <f>'11.My pension value'!$D$15/12</f>
        <v>35611893.330636717</v>
      </c>
      <c r="H552" s="45">
        <f>'11.My pension value'!$D$15/12</f>
        <v>35611893.330636717</v>
      </c>
      <c r="I552" s="45">
        <f>'11.My pension value'!$D$15/12</f>
        <v>35611893.330636717</v>
      </c>
      <c r="J552" s="45">
        <f>'11.My pension value'!$D$15/12</f>
        <v>35611893.330636717</v>
      </c>
      <c r="K552" s="45">
        <f>'11.My pension value'!$D$15/12</f>
        <v>35611893.330636717</v>
      </c>
      <c r="L552" s="45">
        <f>'11.My pension value'!$D$15/12</f>
        <v>35611893.330636717</v>
      </c>
      <c r="M552" s="45">
        <f>'11.My pension value'!$D$15/12</f>
        <v>35611893.330636717</v>
      </c>
      <c r="N552" s="45">
        <f>'11.My pension value'!$D$15/12</f>
        <v>35611893.330636717</v>
      </c>
      <c r="O552" s="45" t="s">
        <v>173</v>
      </c>
    </row>
    <row r="553" spans="1:15" x14ac:dyDescent="0.25">
      <c r="A553" s="82"/>
      <c r="B553" s="44" t="s">
        <v>382</v>
      </c>
      <c r="C553" s="45">
        <f>'10.2. Wife''s retirement salary'!$O$10</f>
        <v>30571553.146033701</v>
      </c>
      <c r="D553" s="45">
        <f>'10.2. Wife''s retirement salary'!$O$10</f>
        <v>30571553.146033701</v>
      </c>
      <c r="E553" s="45">
        <f>'10.2. Wife''s retirement salary'!$O$10</f>
        <v>30571553.146033701</v>
      </c>
      <c r="F553" s="45">
        <f>'10.2. Wife''s retirement salary'!$O$10</f>
        <v>30571553.146033701</v>
      </c>
      <c r="G553" s="45">
        <f>'10.2. Wife''s retirement salary'!$O$10</f>
        <v>30571553.146033701</v>
      </c>
      <c r="H553" s="45">
        <f>'10.2. Wife''s retirement salary'!$O$10</f>
        <v>30571553.146033701</v>
      </c>
      <c r="I553" s="45">
        <f>'10.2. Wife''s retirement salary'!$O$10</f>
        <v>30571553.146033701</v>
      </c>
      <c r="J553" s="45">
        <f>'10.2. Wife''s retirement salary'!$O$10</f>
        <v>30571553.146033701</v>
      </c>
      <c r="K553" s="45">
        <f>'10.2. Wife''s retirement salary'!$O$10</f>
        <v>30571553.146033701</v>
      </c>
      <c r="L553" s="45">
        <f>'10.2. Wife''s retirement salary'!$O$10</f>
        <v>30571553.146033701</v>
      </c>
      <c r="M553" s="45">
        <f>'10.2. Wife''s retirement salary'!$O$10</f>
        <v>30571553.146033701</v>
      </c>
      <c r="N553" s="45">
        <f>'10.2. Wife''s retirement salary'!$O$10</f>
        <v>30571553.146033701</v>
      </c>
      <c r="O553" s="45" t="s">
        <v>173</v>
      </c>
    </row>
    <row r="554" spans="1:15" x14ac:dyDescent="0.25">
      <c r="A554" s="82"/>
      <c r="B554" s="46" t="s">
        <v>209</v>
      </c>
      <c r="C554" s="47">
        <f>SUM(C552:C553)</f>
        <v>66183446.476670414</v>
      </c>
      <c r="D554" s="47">
        <f t="shared" ref="D554:J554" si="751">SUM(D552:D553)</f>
        <v>66183446.476670414</v>
      </c>
      <c r="E554" s="47">
        <f t="shared" si="751"/>
        <v>66183446.476670414</v>
      </c>
      <c r="F554" s="47">
        <f t="shared" si="751"/>
        <v>66183446.476670414</v>
      </c>
      <c r="G554" s="47">
        <f t="shared" si="751"/>
        <v>66183446.476670414</v>
      </c>
      <c r="H554" s="47">
        <f t="shared" si="751"/>
        <v>66183446.476670414</v>
      </c>
      <c r="I554" s="47">
        <f t="shared" si="751"/>
        <v>66183446.476670414</v>
      </c>
      <c r="J554" s="47">
        <f t="shared" si="751"/>
        <v>66183446.476670414</v>
      </c>
      <c r="K554" s="47">
        <f>SUM(K552:K553)</f>
        <v>66183446.476670414</v>
      </c>
      <c r="L554" s="47">
        <f t="shared" ref="L554:N554" si="752">SUM(L552:L553)</f>
        <v>66183446.476670414</v>
      </c>
      <c r="M554" s="47">
        <f t="shared" si="752"/>
        <v>66183446.476670414</v>
      </c>
      <c r="N554" s="47">
        <f t="shared" si="752"/>
        <v>66183446.476670414</v>
      </c>
      <c r="O554" s="47">
        <f>SUM(C554:N554)</f>
        <v>794201357.72004473</v>
      </c>
    </row>
    <row r="555" spans="1:15" x14ac:dyDescent="0.25">
      <c r="A555" s="82"/>
      <c r="B555" s="52" t="s">
        <v>78</v>
      </c>
      <c r="C555" s="53" t="s">
        <v>173</v>
      </c>
      <c r="D555" s="53" t="s">
        <v>173</v>
      </c>
      <c r="E555" s="53" t="s">
        <v>173</v>
      </c>
      <c r="F555" s="53" t="s">
        <v>173</v>
      </c>
      <c r="G555" s="53" t="s">
        <v>173</v>
      </c>
      <c r="H555" s="53" t="s">
        <v>173</v>
      </c>
      <c r="I555" s="53" t="s">
        <v>173</v>
      </c>
      <c r="J555" s="53" t="s">
        <v>173</v>
      </c>
      <c r="K555" s="53" t="s">
        <v>173</v>
      </c>
      <c r="L555" s="53" t="s">
        <v>173</v>
      </c>
      <c r="M555" s="53" t="s">
        <v>173</v>
      </c>
      <c r="N555" s="53" t="s">
        <v>173</v>
      </c>
      <c r="O555" s="91" t="s">
        <v>173</v>
      </c>
    </row>
    <row r="556" spans="1:15" x14ac:dyDescent="0.25">
      <c r="A556" s="82"/>
      <c r="B556" s="48" t="s">
        <v>79</v>
      </c>
      <c r="C556" s="54" t="s">
        <v>173</v>
      </c>
      <c r="D556" s="54" t="s">
        <v>173</v>
      </c>
      <c r="E556" s="54" t="s">
        <v>173</v>
      </c>
      <c r="F556" s="54" t="s">
        <v>173</v>
      </c>
      <c r="G556" s="54" t="s">
        <v>173</v>
      </c>
      <c r="H556" s="54" t="s">
        <v>173</v>
      </c>
      <c r="I556" s="54" t="s">
        <v>173</v>
      </c>
      <c r="J556" s="54" t="s">
        <v>173</v>
      </c>
      <c r="K556" s="54" t="s">
        <v>173</v>
      </c>
      <c r="L556" s="54" t="s">
        <v>173</v>
      </c>
      <c r="M556" s="54" t="s">
        <v>173</v>
      </c>
      <c r="N556" s="54" t="s">
        <v>173</v>
      </c>
      <c r="O556" s="91" t="s">
        <v>173</v>
      </c>
    </row>
    <row r="557" spans="1:15" x14ac:dyDescent="0.25">
      <c r="A557" s="83"/>
      <c r="B557" s="49" t="s">
        <v>195</v>
      </c>
      <c r="C557" s="50">
        <f>C525*(1+$K$62)</f>
        <v>1055214.8977428975</v>
      </c>
      <c r="D557" s="50">
        <v>0</v>
      </c>
      <c r="E557" s="50">
        <v>0</v>
      </c>
      <c r="F557" s="50">
        <v>0</v>
      </c>
      <c r="G557" s="50">
        <v>0</v>
      </c>
      <c r="H557" s="50">
        <v>0</v>
      </c>
      <c r="I557" s="50">
        <v>0</v>
      </c>
      <c r="J557" s="50">
        <v>0</v>
      </c>
      <c r="K557" s="50">
        <v>0</v>
      </c>
      <c r="L557" s="50">
        <v>0</v>
      </c>
      <c r="M557" s="50">
        <v>0</v>
      </c>
      <c r="N557" s="50">
        <v>0</v>
      </c>
      <c r="O557" s="90">
        <f t="shared" ref="O557:O560" si="753">SUM(C557:N557)</f>
        <v>1055214.8977428975</v>
      </c>
    </row>
    <row r="558" spans="1:15" x14ac:dyDescent="0.25">
      <c r="A558" s="82"/>
      <c r="B558" s="51" t="s">
        <v>178</v>
      </c>
      <c r="C558" s="50">
        <f>C526*(1+$K$62)</f>
        <v>7994052.2556280149</v>
      </c>
      <c r="D558" s="50">
        <f t="shared" ref="D558:N558" si="754">D526*(1+$K$62)</f>
        <v>7994052.2556280149</v>
      </c>
      <c r="E558" s="50">
        <f t="shared" si="754"/>
        <v>7994052.2556280149</v>
      </c>
      <c r="F558" s="50">
        <f t="shared" si="754"/>
        <v>7994052.2556280149</v>
      </c>
      <c r="G558" s="50">
        <f t="shared" si="754"/>
        <v>7994052.2556280149</v>
      </c>
      <c r="H558" s="50">
        <f t="shared" si="754"/>
        <v>7994052.2556280149</v>
      </c>
      <c r="I558" s="50">
        <f t="shared" si="754"/>
        <v>7994052.2556280149</v>
      </c>
      <c r="J558" s="50">
        <f t="shared" si="754"/>
        <v>7994052.2556280149</v>
      </c>
      <c r="K558" s="50">
        <f t="shared" si="754"/>
        <v>7994052.2556280149</v>
      </c>
      <c r="L558" s="50">
        <f t="shared" si="754"/>
        <v>7994052.2556280149</v>
      </c>
      <c r="M558" s="50">
        <f t="shared" si="754"/>
        <v>7994052.2556280149</v>
      </c>
      <c r="N558" s="50">
        <f t="shared" si="754"/>
        <v>7994052.2556280149</v>
      </c>
      <c r="O558" s="90">
        <f t="shared" si="753"/>
        <v>95928627.06753619</v>
      </c>
    </row>
    <row r="559" spans="1:15" x14ac:dyDescent="0.25">
      <c r="A559" s="84"/>
      <c r="B559" s="51" t="s">
        <v>248</v>
      </c>
      <c r="C559" s="50">
        <f>C527*(1+$K$62)</f>
        <v>959286.27067536174</v>
      </c>
      <c r="D559" s="50">
        <f t="shared" ref="D559:N559" si="755">D527*(1+$K$62)</f>
        <v>959286.27067536174</v>
      </c>
      <c r="E559" s="50">
        <f t="shared" si="755"/>
        <v>959286.27067536174</v>
      </c>
      <c r="F559" s="50">
        <f t="shared" si="755"/>
        <v>959286.27067536174</v>
      </c>
      <c r="G559" s="50">
        <f t="shared" si="755"/>
        <v>959286.27067536174</v>
      </c>
      <c r="H559" s="50">
        <f t="shared" si="755"/>
        <v>959286.27067536174</v>
      </c>
      <c r="I559" s="50">
        <f t="shared" si="755"/>
        <v>959286.27067536174</v>
      </c>
      <c r="J559" s="50">
        <f t="shared" si="755"/>
        <v>959286.27067536174</v>
      </c>
      <c r="K559" s="50">
        <f t="shared" si="755"/>
        <v>959286.27067536174</v>
      </c>
      <c r="L559" s="50">
        <f t="shared" si="755"/>
        <v>959286.27067536174</v>
      </c>
      <c r="M559" s="50">
        <f t="shared" si="755"/>
        <v>959286.27067536174</v>
      </c>
      <c r="N559" s="50">
        <f t="shared" si="755"/>
        <v>959286.27067536174</v>
      </c>
      <c r="O559" s="90">
        <f t="shared" si="753"/>
        <v>11511435.248104339</v>
      </c>
    </row>
    <row r="560" spans="1:15" x14ac:dyDescent="0.25">
      <c r="A560" s="82"/>
      <c r="B560" s="46" t="s">
        <v>207</v>
      </c>
      <c r="C560" s="47">
        <f t="shared" ref="C560" si="756">SUM(C557:C559)</f>
        <v>10008553.424046274</v>
      </c>
      <c r="D560" s="47">
        <f t="shared" ref="D560" si="757">SUM(D557:D559)</f>
        <v>8953338.526303377</v>
      </c>
      <c r="E560" s="47">
        <f t="shared" ref="E560" si="758">SUM(E557:E559)</f>
        <v>8953338.526303377</v>
      </c>
      <c r="F560" s="47">
        <f t="shared" ref="F560" si="759">SUM(F557:F559)</f>
        <v>8953338.526303377</v>
      </c>
      <c r="G560" s="47">
        <f t="shared" ref="G560" si="760">SUM(G557:G559)</f>
        <v>8953338.526303377</v>
      </c>
      <c r="H560" s="47">
        <f t="shared" ref="H560" si="761">SUM(H557:H559)</f>
        <v>8953338.526303377</v>
      </c>
      <c r="I560" s="47">
        <f t="shared" ref="I560" si="762">SUM(I557:I559)</f>
        <v>8953338.526303377</v>
      </c>
      <c r="J560" s="47">
        <f t="shared" ref="J560" si="763">SUM(J557:J559)</f>
        <v>8953338.526303377</v>
      </c>
      <c r="K560" s="47">
        <f t="shared" ref="K560" si="764">SUM(K557:K559)</f>
        <v>8953338.526303377</v>
      </c>
      <c r="L560" s="47">
        <f t="shared" ref="L560" si="765">SUM(L557:L559)</f>
        <v>8953338.526303377</v>
      </c>
      <c r="M560" s="47">
        <f t="shared" ref="M560" si="766">SUM(M557:M559)</f>
        <v>8953338.526303377</v>
      </c>
      <c r="N560" s="47">
        <f t="shared" ref="N560" si="767">SUM(N557:N559)</f>
        <v>8953338.526303377</v>
      </c>
      <c r="O560" s="47">
        <f t="shared" si="753"/>
        <v>108495277.21338345</v>
      </c>
    </row>
    <row r="561" spans="1:25" x14ac:dyDescent="0.25">
      <c r="A561" s="82"/>
      <c r="B561" s="55" t="s">
        <v>83</v>
      </c>
      <c r="C561" s="59" t="s">
        <v>173</v>
      </c>
      <c r="D561" s="59" t="s">
        <v>173</v>
      </c>
      <c r="E561" s="59" t="s">
        <v>173</v>
      </c>
      <c r="F561" s="59" t="s">
        <v>173</v>
      </c>
      <c r="G561" s="59" t="s">
        <v>173</v>
      </c>
      <c r="H561" s="59" t="s">
        <v>173</v>
      </c>
      <c r="I561" s="59" t="s">
        <v>173</v>
      </c>
      <c r="J561" s="59" t="s">
        <v>173</v>
      </c>
      <c r="K561" s="59" t="s">
        <v>173</v>
      </c>
      <c r="L561" s="59" t="s">
        <v>173</v>
      </c>
      <c r="M561" s="59" t="s">
        <v>173</v>
      </c>
      <c r="N561" s="59" t="s">
        <v>173</v>
      </c>
      <c r="O561" s="91" t="s">
        <v>173</v>
      </c>
    </row>
    <row r="562" spans="1:25" x14ac:dyDescent="0.25">
      <c r="A562" s="82"/>
      <c r="B562" s="57" t="s">
        <v>210</v>
      </c>
      <c r="C562" s="89">
        <f t="shared" ref="C562:N562" si="768">C530*(1+$K$95)</f>
        <v>5292062.5932257455</v>
      </c>
      <c r="D562" s="89">
        <f t="shared" si="768"/>
        <v>6379253.6999911554</v>
      </c>
      <c r="E562" s="89">
        <f t="shared" si="768"/>
        <v>5883622.4601422148</v>
      </c>
      <c r="F562" s="89">
        <f t="shared" si="768"/>
        <v>5499907.9518720768</v>
      </c>
      <c r="G562" s="89">
        <f t="shared" si="768"/>
        <v>5052241.0255569033</v>
      </c>
      <c r="H562" s="89">
        <f t="shared" si="768"/>
        <v>6331289.3864573883</v>
      </c>
      <c r="I562" s="89">
        <f t="shared" si="768"/>
        <v>7386504.2842002846</v>
      </c>
      <c r="J562" s="89">
        <f t="shared" si="768"/>
        <v>7082730.2984864209</v>
      </c>
      <c r="K562" s="89">
        <f t="shared" si="768"/>
        <v>5467931.7428495605</v>
      </c>
      <c r="L562" s="89">
        <f t="shared" si="768"/>
        <v>5611824.6834508665</v>
      </c>
      <c r="M562" s="89">
        <f t="shared" si="768"/>
        <v>5340026.9067595135</v>
      </c>
      <c r="N562" s="89">
        <f t="shared" si="768"/>
        <v>5771705.7285634242</v>
      </c>
      <c r="O562" s="92">
        <f t="shared" ref="O562:O570" si="769">SUM(C562:N562)</f>
        <v>71099100.761555567</v>
      </c>
    </row>
    <row r="563" spans="1:25" x14ac:dyDescent="0.25">
      <c r="A563" s="82"/>
      <c r="B563" s="57" t="s">
        <v>203</v>
      </c>
      <c r="C563" s="89">
        <f t="shared" ref="C563:N563" si="770">C531*(1+$K$95)</f>
        <v>19105784.890950948</v>
      </c>
      <c r="D563" s="89">
        <f t="shared" si="770"/>
        <v>20576690.505986515</v>
      </c>
      <c r="E563" s="89">
        <f t="shared" si="770"/>
        <v>23070834.809742451</v>
      </c>
      <c r="F563" s="89">
        <f t="shared" si="770"/>
        <v>17490986.335314102</v>
      </c>
      <c r="G563" s="89">
        <f t="shared" si="770"/>
        <v>23278680.168388788</v>
      </c>
      <c r="H563" s="89">
        <f t="shared" si="770"/>
        <v>21935679.389443267</v>
      </c>
      <c r="I563" s="89">
        <f t="shared" si="770"/>
        <v>20129023.579671349</v>
      </c>
      <c r="J563" s="89">
        <f t="shared" si="770"/>
        <v>23934192.453350279</v>
      </c>
      <c r="K563" s="89">
        <f t="shared" si="770"/>
        <v>23390596.899967566</v>
      </c>
      <c r="L563" s="89">
        <f t="shared" si="770"/>
        <v>23390596.899967566</v>
      </c>
      <c r="M563" s="89">
        <f t="shared" si="770"/>
        <v>18178474.829298116</v>
      </c>
      <c r="N563" s="89">
        <f t="shared" si="770"/>
        <v>22415322.524780951</v>
      </c>
      <c r="O563" s="92">
        <f t="shared" si="769"/>
        <v>256896863.28686184</v>
      </c>
    </row>
    <row r="564" spans="1:25" x14ac:dyDescent="0.25">
      <c r="A564" s="82"/>
      <c r="B564" s="58" t="s">
        <v>84</v>
      </c>
      <c r="C564" s="89">
        <f t="shared" ref="C564:N564" si="771">C532*(1+$K$95)</f>
        <v>16899426.468397614</v>
      </c>
      <c r="D564" s="89">
        <f t="shared" si="771"/>
        <v>18450272.605989449</v>
      </c>
      <c r="E564" s="89">
        <f t="shared" si="771"/>
        <v>18514225.024034474</v>
      </c>
      <c r="F564" s="89">
        <f t="shared" si="771"/>
        <v>19121772.995462216</v>
      </c>
      <c r="G564" s="89">
        <f t="shared" si="771"/>
        <v>22623167.883427281</v>
      </c>
      <c r="H564" s="89">
        <f t="shared" si="771"/>
        <v>19569439.921777375</v>
      </c>
      <c r="I564" s="89">
        <f t="shared" si="771"/>
        <v>20320880.833806422</v>
      </c>
      <c r="J564" s="89">
        <f t="shared" si="771"/>
        <v>23390596.899967566</v>
      </c>
      <c r="K564" s="89">
        <f t="shared" si="771"/>
        <v>21408071.940571826</v>
      </c>
      <c r="L564" s="89">
        <f t="shared" si="771"/>
        <v>21376095.731549308</v>
      </c>
      <c r="M564" s="89">
        <f t="shared" si="771"/>
        <v>22878977.555607371</v>
      </c>
      <c r="N564" s="89">
        <f t="shared" si="771"/>
        <v>18370332.083433174</v>
      </c>
      <c r="O564" s="92">
        <f t="shared" si="769"/>
        <v>242923259.94402406</v>
      </c>
    </row>
    <row r="565" spans="1:25" x14ac:dyDescent="0.25">
      <c r="A565" s="82"/>
      <c r="B565" s="57" t="s">
        <v>85</v>
      </c>
      <c r="C565" s="89">
        <f t="shared" ref="C565:N565" si="772">C533*(1+$K$95)</f>
        <v>19633392.339822412</v>
      </c>
      <c r="D565" s="89">
        <f t="shared" si="772"/>
        <v>16803497.841330092</v>
      </c>
      <c r="E565" s="89">
        <f t="shared" si="772"/>
        <v>17395057.708246555</v>
      </c>
      <c r="F565" s="89">
        <f t="shared" si="772"/>
        <v>17666855.484937906</v>
      </c>
      <c r="G565" s="89">
        <f t="shared" si="772"/>
        <v>23758323.30372645</v>
      </c>
      <c r="H565" s="89">
        <f t="shared" si="772"/>
        <v>17443022.021780331</v>
      </c>
      <c r="I565" s="89">
        <f t="shared" si="772"/>
        <v>20240940.311250128</v>
      </c>
      <c r="J565" s="89">
        <f t="shared" si="772"/>
        <v>16020080.720278541</v>
      </c>
      <c r="K565" s="89">
        <f t="shared" si="772"/>
        <v>20832500.178166613</v>
      </c>
      <c r="L565" s="89">
        <f t="shared" si="772"/>
        <v>16547688.169149987</v>
      </c>
      <c r="M565" s="89">
        <f t="shared" si="772"/>
        <v>21072321.745835446</v>
      </c>
      <c r="N565" s="89">
        <f t="shared" si="772"/>
        <v>20065071.161626309</v>
      </c>
      <c r="O565" s="92">
        <f t="shared" si="769"/>
        <v>227478750.9861508</v>
      </c>
    </row>
    <row r="566" spans="1:25" x14ac:dyDescent="0.25">
      <c r="A566" s="84"/>
      <c r="B566" s="58" t="s">
        <v>249</v>
      </c>
      <c r="C566" s="89">
        <v>10000000</v>
      </c>
      <c r="D566" s="89">
        <v>10000000</v>
      </c>
      <c r="E566" s="89">
        <v>10000000</v>
      </c>
      <c r="F566" s="89">
        <v>10000000</v>
      </c>
      <c r="G566" s="89">
        <v>10000000</v>
      </c>
      <c r="H566" s="89">
        <v>10000000</v>
      </c>
      <c r="I566" s="89">
        <v>10000000</v>
      </c>
      <c r="J566" s="89">
        <v>10000000</v>
      </c>
      <c r="K566" s="89">
        <v>10000000</v>
      </c>
      <c r="L566" s="89">
        <v>10000000</v>
      </c>
      <c r="M566" s="89">
        <v>10000000</v>
      </c>
      <c r="N566" s="89">
        <v>10000000</v>
      </c>
      <c r="O566" s="92">
        <f t="shared" si="769"/>
        <v>120000000</v>
      </c>
    </row>
    <row r="567" spans="1:25" x14ac:dyDescent="0.25">
      <c r="A567" s="84"/>
      <c r="B567" s="58" t="s">
        <v>180</v>
      </c>
      <c r="C567" s="89">
        <f t="shared" ref="C567:N567" si="773">C535*(1+$K$95)</f>
        <v>16350611.904934566</v>
      </c>
      <c r="D567" s="89">
        <f t="shared" si="773"/>
        <v>13993886.899093032</v>
      </c>
      <c r="E567" s="89">
        <f t="shared" si="773"/>
        <v>14486535.629127694</v>
      </c>
      <c r="F567" s="89">
        <f t="shared" si="773"/>
        <v>14712887.748332812</v>
      </c>
      <c r="G567" s="89">
        <f t="shared" si="773"/>
        <v>19785838.184635796</v>
      </c>
      <c r="H567" s="89">
        <f t="shared" si="773"/>
        <v>14526480.120752139</v>
      </c>
      <c r="I567" s="89">
        <f t="shared" si="773"/>
        <v>16856575.465510719</v>
      </c>
      <c r="J567" s="89">
        <f t="shared" si="773"/>
        <v>13341460.202560617</v>
      </c>
      <c r="K567" s="89">
        <f t="shared" si="773"/>
        <v>17349224.195545398</v>
      </c>
      <c r="L567" s="89">
        <f t="shared" si="773"/>
        <v>13780849.610429386</v>
      </c>
      <c r="M567" s="89">
        <f t="shared" si="773"/>
        <v>17548946.653667558</v>
      </c>
      <c r="N567" s="89">
        <f t="shared" si="773"/>
        <v>16710112.329554459</v>
      </c>
      <c r="O567" s="92">
        <f t="shared" si="769"/>
        <v>189443408.94414419</v>
      </c>
    </row>
    <row r="568" spans="1:25" x14ac:dyDescent="0.25">
      <c r="A568" s="84"/>
      <c r="B568" s="58" t="s">
        <v>86</v>
      </c>
      <c r="C568" s="89">
        <f t="shared" ref="C568:N568" si="774">C536*(1+$K$95)</f>
        <v>14513793.936762251</v>
      </c>
      <c r="D568" s="89">
        <f t="shared" si="774"/>
        <v>14513793.936762251</v>
      </c>
      <c r="E568" s="89">
        <f t="shared" si="774"/>
        <v>14513793.936762251</v>
      </c>
      <c r="F568" s="89">
        <f t="shared" si="774"/>
        <v>14513793.936762251</v>
      </c>
      <c r="G568" s="89">
        <f t="shared" si="774"/>
        <v>14513793.936762251</v>
      </c>
      <c r="H568" s="89">
        <f t="shared" si="774"/>
        <v>14513793.936762251</v>
      </c>
      <c r="I568" s="89">
        <f t="shared" si="774"/>
        <v>14513793.936762251</v>
      </c>
      <c r="J568" s="89">
        <f t="shared" si="774"/>
        <v>14513793.936762251</v>
      </c>
      <c r="K568" s="89">
        <f t="shared" si="774"/>
        <v>14513793.936762251</v>
      </c>
      <c r="L568" s="89">
        <f t="shared" si="774"/>
        <v>14513793.936762251</v>
      </c>
      <c r="M568" s="89">
        <f t="shared" si="774"/>
        <v>14513793.936762251</v>
      </c>
      <c r="N568" s="89">
        <f t="shared" si="774"/>
        <v>14513793.936762251</v>
      </c>
      <c r="O568" s="92">
        <f t="shared" si="769"/>
        <v>174165527.24114695</v>
      </c>
    </row>
    <row r="569" spans="1:25" x14ac:dyDescent="0.25">
      <c r="A569" s="82"/>
      <c r="B569" s="46" t="s">
        <v>208</v>
      </c>
      <c r="C569" s="47">
        <f t="shared" ref="C569:N569" si="775">SUM(C562:C568)</f>
        <v>101795072.13409355</v>
      </c>
      <c r="D569" s="47">
        <f t="shared" si="775"/>
        <v>100717395.48915249</v>
      </c>
      <c r="E569" s="47">
        <f t="shared" si="775"/>
        <v>103864069.56805563</v>
      </c>
      <c r="F569" s="47">
        <f t="shared" si="775"/>
        <v>99006204.452681363</v>
      </c>
      <c r="G569" s="47">
        <f t="shared" si="775"/>
        <v>119012044.50249746</v>
      </c>
      <c r="H569" s="47">
        <f t="shared" si="775"/>
        <v>104319704.77697274</v>
      </c>
      <c r="I569" s="47">
        <f t="shared" si="775"/>
        <v>109447718.41120115</v>
      </c>
      <c r="J569" s="47">
        <f t="shared" si="775"/>
        <v>108282854.51140568</v>
      </c>
      <c r="K569" s="47">
        <f t="shared" si="775"/>
        <v>112962118.8938632</v>
      </c>
      <c r="L569" s="47">
        <f t="shared" si="775"/>
        <v>105220849.03130937</v>
      </c>
      <c r="M569" s="47">
        <f t="shared" si="775"/>
        <v>109532541.62793025</v>
      </c>
      <c r="N569" s="47">
        <f t="shared" si="775"/>
        <v>107846337.76472056</v>
      </c>
      <c r="O569" s="47">
        <f t="shared" si="769"/>
        <v>1282006911.1638837</v>
      </c>
    </row>
    <row r="570" spans="1:25" x14ac:dyDescent="0.25">
      <c r="A570" s="82"/>
      <c r="B570" s="60" t="s">
        <v>87</v>
      </c>
      <c r="C570" s="47">
        <f t="shared" ref="C570:N570" si="776">C560+C569</f>
        <v>111803625.55813983</v>
      </c>
      <c r="D570" s="47">
        <f t="shared" si="776"/>
        <v>109670734.01545587</v>
      </c>
      <c r="E570" s="47">
        <f t="shared" si="776"/>
        <v>112817408.09435901</v>
      </c>
      <c r="F570" s="47">
        <f t="shared" si="776"/>
        <v>107959542.97898474</v>
      </c>
      <c r="G570" s="47">
        <f t="shared" si="776"/>
        <v>127965383.02880085</v>
      </c>
      <c r="H570" s="47">
        <f t="shared" si="776"/>
        <v>113273043.30327612</v>
      </c>
      <c r="I570" s="47">
        <f t="shared" si="776"/>
        <v>118401056.93750453</v>
      </c>
      <c r="J570" s="47">
        <f t="shared" si="776"/>
        <v>117236193.03770906</v>
      </c>
      <c r="K570" s="47">
        <f t="shared" si="776"/>
        <v>121915457.42016658</v>
      </c>
      <c r="L570" s="47">
        <f t="shared" si="776"/>
        <v>114174187.55761275</v>
      </c>
      <c r="M570" s="47">
        <f t="shared" si="776"/>
        <v>118485880.15423363</v>
      </c>
      <c r="N570" s="47">
        <f t="shared" si="776"/>
        <v>116799676.29102394</v>
      </c>
      <c r="O570" s="47">
        <f t="shared" si="769"/>
        <v>1390502188.3772669</v>
      </c>
    </row>
    <row r="571" spans="1:25" s="11" customFormat="1" x14ac:dyDescent="0.25">
      <c r="A571" s="82"/>
      <c r="B571" s="108" t="s">
        <v>204</v>
      </c>
      <c r="C571" s="109">
        <f>$O570*(3/12)/12</f>
        <v>28968795.591193061</v>
      </c>
      <c r="D571" s="109">
        <f t="shared" ref="D571" si="777">$O570*(3/12)/12</f>
        <v>28968795.591193061</v>
      </c>
      <c r="E571" s="109">
        <f t="shared" ref="E571" si="778">$O570*(3/12)/12</f>
        <v>28968795.591193061</v>
      </c>
      <c r="F571" s="109">
        <f t="shared" ref="F571" si="779">$O570*(3/12)/12</f>
        <v>28968795.591193061</v>
      </c>
      <c r="G571" s="109">
        <f t="shared" ref="G571" si="780">$O570*(3/12)/12</f>
        <v>28968795.591193061</v>
      </c>
      <c r="H571" s="109">
        <f t="shared" ref="H571" si="781">$O570*(3/12)/12</f>
        <v>28968795.591193061</v>
      </c>
      <c r="I571" s="109">
        <f t="shared" ref="I571" si="782">$O570*(3/12)/12</f>
        <v>28968795.591193061</v>
      </c>
      <c r="J571" s="109">
        <f t="shared" ref="J571" si="783">$O570*(3/12)/12</f>
        <v>28968795.591193061</v>
      </c>
      <c r="K571" s="109">
        <f t="shared" ref="K571" si="784">$O570*(3/12)/12</f>
        <v>28968795.591193061</v>
      </c>
      <c r="L571" s="109">
        <f t="shared" ref="L571" si="785">$O570*(3/12)/12</f>
        <v>28968795.591193061</v>
      </c>
      <c r="M571" s="109">
        <f t="shared" ref="M571" si="786">$O570*(3/12)/12</f>
        <v>28968795.591193061</v>
      </c>
      <c r="N571" s="109">
        <f>$O570*(3/12)/12</f>
        <v>28968795.591193061</v>
      </c>
      <c r="O571" s="109">
        <f t="shared" ref="O571:O573" si="787">SUM(C571:N571)</f>
        <v>347625547.09431672</v>
      </c>
      <c r="P571" s="43"/>
      <c r="Q571" s="43"/>
      <c r="R571" s="40"/>
      <c r="S571" s="40"/>
      <c r="T571" s="40"/>
      <c r="U571" s="40"/>
      <c r="V571" s="40"/>
      <c r="W571" s="40"/>
      <c r="X571" s="40"/>
      <c r="Y571" s="40"/>
    </row>
    <row r="572" spans="1:25" s="11" customFormat="1" x14ac:dyDescent="0.25">
      <c r="A572" s="82"/>
      <c r="B572" s="108" t="s">
        <v>386</v>
      </c>
      <c r="C572" s="109">
        <f>C540*(1+$K$192)</f>
        <v>8761763.5221921075</v>
      </c>
      <c r="D572" s="109">
        <v>0</v>
      </c>
      <c r="E572" s="109">
        <v>0</v>
      </c>
      <c r="F572" s="109">
        <v>0</v>
      </c>
      <c r="G572" s="109">
        <v>0</v>
      </c>
      <c r="H572" s="109">
        <v>0</v>
      </c>
      <c r="I572" s="109">
        <v>0</v>
      </c>
      <c r="J572" s="109">
        <v>0</v>
      </c>
      <c r="K572" s="109">
        <v>0</v>
      </c>
      <c r="L572" s="109">
        <v>0</v>
      </c>
      <c r="M572" s="109">
        <v>0</v>
      </c>
      <c r="N572" s="109">
        <v>0</v>
      </c>
      <c r="O572" s="109">
        <f t="shared" si="787"/>
        <v>8761763.5221921075</v>
      </c>
      <c r="P572" s="43"/>
      <c r="Q572" s="43"/>
      <c r="R572" s="40"/>
      <c r="S572" s="40"/>
      <c r="T572" s="40"/>
      <c r="U572" s="40"/>
      <c r="V572" s="40"/>
      <c r="W572" s="40"/>
      <c r="X572" s="40"/>
      <c r="Y572" s="40"/>
    </row>
    <row r="573" spans="1:25" s="11" customFormat="1" x14ac:dyDescent="0.25">
      <c r="A573" s="82"/>
      <c r="B573" s="60" t="s">
        <v>206</v>
      </c>
      <c r="C573" s="61">
        <f>C554-C570-C571-C572</f>
        <v>-83350738.194854587</v>
      </c>
      <c r="D573" s="61">
        <f t="shared" ref="D573" si="788">D554-D570-D571-D572</f>
        <v>-72456083.129978523</v>
      </c>
      <c r="E573" s="61">
        <f t="shared" ref="E573" si="789">E554-E570-E571-E572</f>
        <v>-75602757.208881661</v>
      </c>
      <c r="F573" s="61">
        <f t="shared" ref="F573" si="790">F554-F570-F571-F572</f>
        <v>-70744892.093507394</v>
      </c>
      <c r="G573" s="61">
        <f t="shared" ref="G573" si="791">G554-G570-G571-G572</f>
        <v>-90750732.143323496</v>
      </c>
      <c r="H573" s="61">
        <f t="shared" ref="H573" si="792">H554-H570-H571-H572</f>
        <v>-76058392.417798772</v>
      </c>
      <c r="I573" s="61">
        <f t="shared" ref="I573" si="793">I554-I570-I571-I572</f>
        <v>-81186406.052027181</v>
      </c>
      <c r="J573" s="61">
        <f t="shared" ref="J573" si="794">J554-J570-J571-J572</f>
        <v>-80021542.152231708</v>
      </c>
      <c r="K573" s="61">
        <f t="shared" ref="K573" si="795">K554-K570-K571-K572</f>
        <v>-84700806.534689233</v>
      </c>
      <c r="L573" s="61">
        <f t="shared" ref="L573" si="796">L554-L570-L571-L572</f>
        <v>-76959536.672135398</v>
      </c>
      <c r="M573" s="61">
        <f t="shared" ref="M573" si="797">M554-M570-M571-M572</f>
        <v>-81271229.268756285</v>
      </c>
      <c r="N573" s="61">
        <f t="shared" ref="N573" si="798">N554-N570-N571-N572</f>
        <v>-79585025.405546591</v>
      </c>
      <c r="O573" s="47">
        <f t="shared" si="787"/>
        <v>-952688141.27373064</v>
      </c>
      <c r="P573" s="43"/>
      <c r="Q573" s="43"/>
      <c r="R573" s="40"/>
      <c r="S573" s="40"/>
      <c r="T573" s="40"/>
      <c r="U573" s="40"/>
      <c r="V573" s="40"/>
      <c r="W573" s="40"/>
      <c r="X573" s="40"/>
      <c r="Y573" s="40"/>
    </row>
    <row r="574" spans="1:25" x14ac:dyDescent="0.25">
      <c r="A574" s="85"/>
      <c r="B574" s="40"/>
      <c r="C574" s="40"/>
      <c r="D574" s="40"/>
      <c r="E574" s="40"/>
      <c r="F574" s="40"/>
      <c r="G574" s="40"/>
      <c r="H574" s="40"/>
      <c r="I574" s="40"/>
      <c r="J574" s="40"/>
      <c r="K574" s="40"/>
      <c r="L574" s="353" t="s">
        <v>217</v>
      </c>
      <c r="M574" s="354"/>
      <c r="N574" s="350">
        <f>SUM(C573:N573)+N542</f>
        <v>13512659760.70586</v>
      </c>
      <c r="O574" s="40"/>
    </row>
    <row r="575" spans="1:25" x14ac:dyDescent="0.25">
      <c r="A575" s="85"/>
      <c r="B575" s="40"/>
      <c r="C575" s="40"/>
      <c r="D575" s="40"/>
      <c r="E575" s="40"/>
      <c r="F575" s="40"/>
      <c r="G575" s="40"/>
      <c r="H575" s="40"/>
      <c r="I575" s="40"/>
      <c r="J575" s="40"/>
      <c r="K575" s="40"/>
      <c r="L575" s="320"/>
      <c r="M575" s="355"/>
      <c r="N575" s="351"/>
      <c r="O575" s="40"/>
    </row>
    <row r="576" spans="1:25" x14ac:dyDescent="0.25">
      <c r="A576" s="85"/>
      <c r="B576" s="319" t="s">
        <v>632</v>
      </c>
      <c r="C576" s="352" t="s">
        <v>173</v>
      </c>
      <c r="D576" s="352"/>
      <c r="E576" s="352"/>
      <c r="F576" s="352"/>
      <c r="G576" s="352"/>
      <c r="H576" s="352"/>
      <c r="I576" s="40"/>
      <c r="J576" s="358" t="s">
        <v>231</v>
      </c>
      <c r="K576" s="359">
        <v>0.04</v>
      </c>
      <c r="L576" s="40"/>
      <c r="M576" s="40"/>
      <c r="N576" s="40"/>
      <c r="O576" s="361"/>
    </row>
    <row r="577" spans="1:15" x14ac:dyDescent="0.25">
      <c r="A577" s="85"/>
      <c r="B577" s="319"/>
      <c r="C577" s="352"/>
      <c r="D577" s="352"/>
      <c r="E577" s="352"/>
      <c r="F577" s="352"/>
      <c r="G577" s="352"/>
      <c r="H577" s="352"/>
      <c r="I577" s="40"/>
      <c r="J577" s="358"/>
      <c r="K577" s="360"/>
      <c r="L577" s="40"/>
      <c r="M577" s="40"/>
      <c r="N577" s="40"/>
      <c r="O577" s="362"/>
    </row>
    <row r="578" spans="1:15" x14ac:dyDescent="0.25">
      <c r="A578" s="85"/>
      <c r="B578" s="319"/>
      <c r="C578" s="352"/>
      <c r="D578" s="352"/>
      <c r="E578" s="352"/>
      <c r="F578" s="352"/>
      <c r="G578" s="352"/>
      <c r="H578" s="352"/>
      <c r="I578" s="40"/>
      <c r="J578" s="40"/>
      <c r="K578" s="40"/>
      <c r="L578" s="40"/>
      <c r="M578" s="40"/>
      <c r="N578" s="40"/>
      <c r="O578" s="40"/>
    </row>
    <row r="581" spans="1:15" ht="24.6" x14ac:dyDescent="0.25">
      <c r="A581" s="96"/>
      <c r="B581" s="348" t="s">
        <v>296</v>
      </c>
      <c r="C581" s="348"/>
      <c r="D581" s="348"/>
      <c r="E581" s="348"/>
      <c r="F581" s="348"/>
      <c r="G581" s="348"/>
      <c r="H581" s="348"/>
      <c r="I581" s="348"/>
      <c r="J581" s="348"/>
      <c r="K581" s="348"/>
      <c r="L581" s="348"/>
      <c r="M581" s="348"/>
      <c r="N581" s="348"/>
      <c r="O581" s="348"/>
    </row>
    <row r="582" spans="1:15" ht="24.6" x14ac:dyDescent="0.25">
      <c r="A582" s="96"/>
      <c r="B582" s="349"/>
      <c r="C582" s="349"/>
      <c r="D582" s="349"/>
      <c r="E582" s="349"/>
      <c r="F582" s="349"/>
      <c r="G582" s="349"/>
      <c r="H582" s="349"/>
      <c r="I582" s="349"/>
      <c r="J582" s="349"/>
      <c r="K582" s="349"/>
      <c r="L582" s="349"/>
      <c r="M582" s="349"/>
      <c r="N582" s="349"/>
      <c r="O582" s="349"/>
    </row>
    <row r="583" spans="1:15" x14ac:dyDescent="0.25">
      <c r="A583" s="82"/>
      <c r="B583" s="41"/>
      <c r="C583" s="42" t="s">
        <v>66</v>
      </c>
      <c r="D583" s="42" t="s">
        <v>67</v>
      </c>
      <c r="E583" s="42" t="s">
        <v>68</v>
      </c>
      <c r="F583" s="42" t="s">
        <v>69</v>
      </c>
      <c r="G583" s="42" t="s">
        <v>70</v>
      </c>
      <c r="H583" s="42" t="s">
        <v>71</v>
      </c>
      <c r="I583" s="42" t="s">
        <v>72</v>
      </c>
      <c r="J583" s="42" t="s">
        <v>73</v>
      </c>
      <c r="K583" s="42" t="s">
        <v>74</v>
      </c>
      <c r="L583" s="42" t="s">
        <v>75</v>
      </c>
      <c r="M583" s="42" t="s">
        <v>76</v>
      </c>
      <c r="N583" s="42" t="s">
        <v>77</v>
      </c>
      <c r="O583" s="42" t="s">
        <v>236</v>
      </c>
    </row>
    <row r="584" spans="1:15" x14ac:dyDescent="0.25">
      <c r="A584" s="82"/>
      <c r="B584" s="44" t="s">
        <v>381</v>
      </c>
      <c r="C584" s="45">
        <f>'11.My pension value'!$D$16/12</f>
        <v>35611893.330636717</v>
      </c>
      <c r="D584" s="45">
        <f>'11.My pension value'!$D$16/12</f>
        <v>35611893.330636717</v>
      </c>
      <c r="E584" s="45">
        <f>'11.My pension value'!$D$16/12</f>
        <v>35611893.330636717</v>
      </c>
      <c r="F584" s="45">
        <f>'11.My pension value'!$D$16/12</f>
        <v>35611893.330636717</v>
      </c>
      <c r="G584" s="45">
        <f>'11.My pension value'!$D$16/12</f>
        <v>35611893.330636717</v>
      </c>
      <c r="H584" s="45">
        <f>'11.My pension value'!$D$16/12</f>
        <v>35611893.330636717</v>
      </c>
      <c r="I584" s="45">
        <f>'11.My pension value'!$D$16/12</f>
        <v>35611893.330636717</v>
      </c>
      <c r="J584" s="45">
        <f>'11.My pension value'!$D$16/12</f>
        <v>35611893.330636717</v>
      </c>
      <c r="K584" s="45">
        <f>'11.My pension value'!$D$16/12</f>
        <v>35611893.330636717</v>
      </c>
      <c r="L584" s="45">
        <f>'11.My pension value'!$D$16/12</f>
        <v>35611893.330636717</v>
      </c>
      <c r="M584" s="45">
        <f>'11.My pension value'!$D$16/12</f>
        <v>35611893.330636717</v>
      </c>
      <c r="N584" s="45">
        <f>'11.My pension value'!$D$16/12</f>
        <v>35611893.330636717</v>
      </c>
      <c r="O584" s="45" t="s">
        <v>173</v>
      </c>
    </row>
    <row r="585" spans="1:15" x14ac:dyDescent="0.25">
      <c r="A585" s="82"/>
      <c r="B585" s="44" t="s">
        <v>382</v>
      </c>
      <c r="C585" s="45">
        <f>'10.2. Wife''s retirement salary'!$O$10</f>
        <v>30571553.146033701</v>
      </c>
      <c r="D585" s="45">
        <f>'10.2. Wife''s retirement salary'!$O$10</f>
        <v>30571553.146033701</v>
      </c>
      <c r="E585" s="45">
        <f>'10.2. Wife''s retirement salary'!$O$10</f>
        <v>30571553.146033701</v>
      </c>
      <c r="F585" s="45">
        <f>'10.2. Wife''s retirement salary'!$O$10</f>
        <v>30571553.146033701</v>
      </c>
      <c r="G585" s="45">
        <f>'10.2. Wife''s retirement salary'!$O$10</f>
        <v>30571553.146033701</v>
      </c>
      <c r="H585" s="45">
        <f>'10.2. Wife''s retirement salary'!$O$10</f>
        <v>30571553.146033701</v>
      </c>
      <c r="I585" s="45">
        <f>'10.2. Wife''s retirement salary'!$O$10</f>
        <v>30571553.146033701</v>
      </c>
      <c r="J585" s="45">
        <f>'10.2. Wife''s retirement salary'!$O$10</f>
        <v>30571553.146033701</v>
      </c>
      <c r="K585" s="45">
        <f>'10.2. Wife''s retirement salary'!$O$10</f>
        <v>30571553.146033701</v>
      </c>
      <c r="L585" s="45">
        <f>'10.2. Wife''s retirement salary'!$O$10</f>
        <v>30571553.146033701</v>
      </c>
      <c r="M585" s="45">
        <f>'10.2. Wife''s retirement salary'!$O$10</f>
        <v>30571553.146033701</v>
      </c>
      <c r="N585" s="45">
        <f>'10.2. Wife''s retirement salary'!$O$10</f>
        <v>30571553.146033701</v>
      </c>
      <c r="O585" s="45" t="s">
        <v>173</v>
      </c>
    </row>
    <row r="586" spans="1:15" x14ac:dyDescent="0.25">
      <c r="A586" s="82"/>
      <c r="B586" s="46" t="s">
        <v>209</v>
      </c>
      <c r="C586" s="47">
        <f>SUM(C584:C585)</f>
        <v>66183446.476670414</v>
      </c>
      <c r="D586" s="47">
        <f t="shared" ref="D586:J586" si="799">SUM(D584:D585)</f>
        <v>66183446.476670414</v>
      </c>
      <c r="E586" s="47">
        <f t="shared" si="799"/>
        <v>66183446.476670414</v>
      </c>
      <c r="F586" s="47">
        <f t="shared" si="799"/>
        <v>66183446.476670414</v>
      </c>
      <c r="G586" s="47">
        <f t="shared" si="799"/>
        <v>66183446.476670414</v>
      </c>
      <c r="H586" s="47">
        <f t="shared" si="799"/>
        <v>66183446.476670414</v>
      </c>
      <c r="I586" s="47">
        <f t="shared" si="799"/>
        <v>66183446.476670414</v>
      </c>
      <c r="J586" s="47">
        <f t="shared" si="799"/>
        <v>66183446.476670414</v>
      </c>
      <c r="K586" s="47">
        <f>SUM(K584:K585)</f>
        <v>66183446.476670414</v>
      </c>
      <c r="L586" s="47">
        <f t="shared" ref="L586:N586" si="800">SUM(L584:L585)</f>
        <v>66183446.476670414</v>
      </c>
      <c r="M586" s="47">
        <f t="shared" si="800"/>
        <v>66183446.476670414</v>
      </c>
      <c r="N586" s="47">
        <f t="shared" si="800"/>
        <v>66183446.476670414</v>
      </c>
      <c r="O586" s="47">
        <f>SUM(C586:N586)</f>
        <v>794201357.72004473</v>
      </c>
    </row>
    <row r="587" spans="1:15" x14ac:dyDescent="0.25">
      <c r="A587" s="82"/>
      <c r="B587" s="52" t="s">
        <v>78</v>
      </c>
      <c r="C587" s="53" t="s">
        <v>173</v>
      </c>
      <c r="D587" s="53" t="s">
        <v>173</v>
      </c>
      <c r="E587" s="53" t="s">
        <v>173</v>
      </c>
      <c r="F587" s="53" t="s">
        <v>173</v>
      </c>
      <c r="G587" s="53" t="s">
        <v>173</v>
      </c>
      <c r="H587" s="53" t="s">
        <v>173</v>
      </c>
      <c r="I587" s="53" t="s">
        <v>173</v>
      </c>
      <c r="J587" s="53" t="s">
        <v>173</v>
      </c>
      <c r="K587" s="53" t="s">
        <v>173</v>
      </c>
      <c r="L587" s="53" t="s">
        <v>173</v>
      </c>
      <c r="M587" s="53" t="s">
        <v>173</v>
      </c>
      <c r="N587" s="53" t="s">
        <v>173</v>
      </c>
      <c r="O587" s="91" t="s">
        <v>173</v>
      </c>
    </row>
    <row r="588" spans="1:15" x14ac:dyDescent="0.25">
      <c r="A588" s="82"/>
      <c r="B588" s="48" t="s">
        <v>79</v>
      </c>
      <c r="C588" s="54" t="s">
        <v>173</v>
      </c>
      <c r="D588" s="54" t="s">
        <v>173</v>
      </c>
      <c r="E588" s="54" t="s">
        <v>173</v>
      </c>
      <c r="F588" s="54" t="s">
        <v>173</v>
      </c>
      <c r="G588" s="54" t="s">
        <v>173</v>
      </c>
      <c r="H588" s="54" t="s">
        <v>173</v>
      </c>
      <c r="I588" s="54" t="s">
        <v>173</v>
      </c>
      <c r="J588" s="54" t="s">
        <v>173</v>
      </c>
      <c r="K588" s="54" t="s">
        <v>173</v>
      </c>
      <c r="L588" s="54" t="s">
        <v>173</v>
      </c>
      <c r="M588" s="54" t="s">
        <v>173</v>
      </c>
      <c r="N588" s="54" t="s">
        <v>173</v>
      </c>
      <c r="O588" s="91" t="s">
        <v>173</v>
      </c>
    </row>
    <row r="589" spans="1:15" x14ac:dyDescent="0.25">
      <c r="A589" s="83"/>
      <c r="B589" s="49" t="s">
        <v>195</v>
      </c>
      <c r="C589" s="50">
        <f>C557*(1+$K$62)</f>
        <v>1097423.4936526134</v>
      </c>
      <c r="D589" s="50">
        <v>0</v>
      </c>
      <c r="E589" s="50">
        <v>0</v>
      </c>
      <c r="F589" s="50">
        <v>0</v>
      </c>
      <c r="G589" s="50">
        <v>0</v>
      </c>
      <c r="H589" s="50">
        <v>0</v>
      </c>
      <c r="I589" s="50">
        <v>0</v>
      </c>
      <c r="J589" s="50">
        <v>0</v>
      </c>
      <c r="K589" s="50">
        <v>0</v>
      </c>
      <c r="L589" s="50">
        <v>0</v>
      </c>
      <c r="M589" s="50">
        <v>0</v>
      </c>
      <c r="N589" s="50">
        <v>0</v>
      </c>
      <c r="O589" s="90">
        <f t="shared" ref="O589:O592" si="801">SUM(C589:N589)</f>
        <v>1097423.4936526134</v>
      </c>
    </row>
    <row r="590" spans="1:15" x14ac:dyDescent="0.25">
      <c r="A590" s="82"/>
      <c r="B590" s="51" t="s">
        <v>178</v>
      </c>
      <c r="C590" s="50">
        <f>C558*(1+$K$62)</f>
        <v>8313814.3458531359</v>
      </c>
      <c r="D590" s="50">
        <f t="shared" ref="D590:N590" si="802">D558*(1+$K$62)</f>
        <v>8313814.3458531359</v>
      </c>
      <c r="E590" s="50">
        <f t="shared" si="802"/>
        <v>8313814.3458531359</v>
      </c>
      <c r="F590" s="50">
        <f t="shared" si="802"/>
        <v>8313814.3458531359</v>
      </c>
      <c r="G590" s="50">
        <f t="shared" si="802"/>
        <v>8313814.3458531359</v>
      </c>
      <c r="H590" s="50">
        <f t="shared" si="802"/>
        <v>8313814.3458531359</v>
      </c>
      <c r="I590" s="50">
        <f t="shared" si="802"/>
        <v>8313814.3458531359</v>
      </c>
      <c r="J590" s="50">
        <f t="shared" si="802"/>
        <v>8313814.3458531359</v>
      </c>
      <c r="K590" s="50">
        <f t="shared" si="802"/>
        <v>8313814.3458531359</v>
      </c>
      <c r="L590" s="50">
        <f t="shared" si="802"/>
        <v>8313814.3458531359</v>
      </c>
      <c r="M590" s="50">
        <f t="shared" si="802"/>
        <v>8313814.3458531359</v>
      </c>
      <c r="N590" s="50">
        <f t="shared" si="802"/>
        <v>8313814.3458531359</v>
      </c>
      <c r="O590" s="90">
        <f t="shared" si="801"/>
        <v>99765772.150237635</v>
      </c>
    </row>
    <row r="591" spans="1:15" x14ac:dyDescent="0.25">
      <c r="A591" s="84"/>
      <c r="B591" s="51" t="s">
        <v>248</v>
      </c>
      <c r="C591" s="50">
        <f>C559*(1+$K$62)</f>
        <v>997657.72150237625</v>
      </c>
      <c r="D591" s="50">
        <f t="shared" ref="D591:N591" si="803">D559*(1+$K$62)</f>
        <v>997657.72150237625</v>
      </c>
      <c r="E591" s="50">
        <f t="shared" si="803"/>
        <v>997657.72150237625</v>
      </c>
      <c r="F591" s="50">
        <f t="shared" si="803"/>
        <v>997657.72150237625</v>
      </c>
      <c r="G591" s="50">
        <f t="shared" si="803"/>
        <v>997657.72150237625</v>
      </c>
      <c r="H591" s="50">
        <f t="shared" si="803"/>
        <v>997657.72150237625</v>
      </c>
      <c r="I591" s="50">
        <f t="shared" si="803"/>
        <v>997657.72150237625</v>
      </c>
      <c r="J591" s="50">
        <f t="shared" si="803"/>
        <v>997657.72150237625</v>
      </c>
      <c r="K591" s="50">
        <f t="shared" si="803"/>
        <v>997657.72150237625</v>
      </c>
      <c r="L591" s="50">
        <f t="shared" si="803"/>
        <v>997657.72150237625</v>
      </c>
      <c r="M591" s="50">
        <f t="shared" si="803"/>
        <v>997657.72150237625</v>
      </c>
      <c r="N591" s="50">
        <f t="shared" si="803"/>
        <v>997657.72150237625</v>
      </c>
      <c r="O591" s="90">
        <f t="shared" si="801"/>
        <v>11971892.658028519</v>
      </c>
    </row>
    <row r="592" spans="1:15" x14ac:dyDescent="0.25">
      <c r="A592" s="82"/>
      <c r="B592" s="46" t="s">
        <v>207</v>
      </c>
      <c r="C592" s="47">
        <f t="shared" ref="C592" si="804">SUM(C589:C591)</f>
        <v>10408895.561008126</v>
      </c>
      <c r="D592" s="47">
        <f t="shared" ref="D592" si="805">SUM(D589:D591)</f>
        <v>9311472.0673555117</v>
      </c>
      <c r="E592" s="47">
        <f t="shared" ref="E592" si="806">SUM(E589:E591)</f>
        <v>9311472.0673555117</v>
      </c>
      <c r="F592" s="47">
        <f t="shared" ref="F592" si="807">SUM(F589:F591)</f>
        <v>9311472.0673555117</v>
      </c>
      <c r="G592" s="47">
        <f t="shared" ref="G592" si="808">SUM(G589:G591)</f>
        <v>9311472.0673555117</v>
      </c>
      <c r="H592" s="47">
        <f t="shared" ref="H592" si="809">SUM(H589:H591)</f>
        <v>9311472.0673555117</v>
      </c>
      <c r="I592" s="47">
        <f t="shared" ref="I592" si="810">SUM(I589:I591)</f>
        <v>9311472.0673555117</v>
      </c>
      <c r="J592" s="47">
        <f t="shared" ref="J592" si="811">SUM(J589:J591)</f>
        <v>9311472.0673555117</v>
      </c>
      <c r="K592" s="47">
        <f t="shared" ref="K592" si="812">SUM(K589:K591)</f>
        <v>9311472.0673555117</v>
      </c>
      <c r="L592" s="47">
        <f t="shared" ref="L592" si="813">SUM(L589:L591)</f>
        <v>9311472.0673555117</v>
      </c>
      <c r="M592" s="47">
        <f t="shared" ref="M592" si="814">SUM(M589:M591)</f>
        <v>9311472.0673555117</v>
      </c>
      <c r="N592" s="47">
        <f t="shared" ref="N592" si="815">SUM(N589:N591)</f>
        <v>9311472.0673555117</v>
      </c>
      <c r="O592" s="47">
        <f t="shared" si="801"/>
        <v>112835088.30191877</v>
      </c>
    </row>
    <row r="593" spans="1:25" x14ac:dyDescent="0.25">
      <c r="A593" s="82"/>
      <c r="B593" s="55" t="s">
        <v>83</v>
      </c>
      <c r="C593" s="59" t="s">
        <v>173</v>
      </c>
      <c r="D593" s="59" t="s">
        <v>173</v>
      </c>
      <c r="E593" s="59" t="s">
        <v>173</v>
      </c>
      <c r="F593" s="59" t="s">
        <v>173</v>
      </c>
      <c r="G593" s="59" t="s">
        <v>173</v>
      </c>
      <c r="H593" s="59" t="s">
        <v>173</v>
      </c>
      <c r="I593" s="59" t="s">
        <v>173</v>
      </c>
      <c r="J593" s="59" t="s">
        <v>173</v>
      </c>
      <c r="K593" s="59" t="s">
        <v>173</v>
      </c>
      <c r="L593" s="59" t="s">
        <v>173</v>
      </c>
      <c r="M593" s="59" t="s">
        <v>173</v>
      </c>
      <c r="N593" s="59" t="s">
        <v>173</v>
      </c>
      <c r="O593" s="91" t="s">
        <v>173</v>
      </c>
    </row>
    <row r="594" spans="1:25" x14ac:dyDescent="0.25">
      <c r="A594" s="82"/>
      <c r="B594" s="57" t="s">
        <v>210</v>
      </c>
      <c r="C594" s="89">
        <f t="shared" ref="C594:N594" si="816">C562*(1+$K$95)</f>
        <v>5503745.096954775</v>
      </c>
      <c r="D594" s="89">
        <f t="shared" si="816"/>
        <v>6634423.8479908016</v>
      </c>
      <c r="E594" s="89">
        <f t="shared" si="816"/>
        <v>6118967.3585479036</v>
      </c>
      <c r="F594" s="89">
        <f t="shared" si="816"/>
        <v>5719904.2699469598</v>
      </c>
      <c r="G594" s="89">
        <f t="shared" si="816"/>
        <v>5254330.6665791795</v>
      </c>
      <c r="H594" s="89">
        <f t="shared" si="816"/>
        <v>6584540.9619156839</v>
      </c>
      <c r="I594" s="89">
        <f t="shared" si="816"/>
        <v>7681964.4555682959</v>
      </c>
      <c r="J594" s="89">
        <f t="shared" si="816"/>
        <v>7366039.5104258778</v>
      </c>
      <c r="K594" s="89">
        <f t="shared" si="816"/>
        <v>5686649.0125635434</v>
      </c>
      <c r="L594" s="89">
        <f t="shared" si="816"/>
        <v>5836297.6707889009</v>
      </c>
      <c r="M594" s="89">
        <f t="shared" si="816"/>
        <v>5553627.9830298945</v>
      </c>
      <c r="N594" s="89">
        <f t="shared" si="816"/>
        <v>6002573.9577059615</v>
      </c>
      <c r="O594" s="92">
        <f t="shared" ref="O594:O602" si="817">SUM(C594:N594)</f>
        <v>73943064.792017773</v>
      </c>
    </row>
    <row r="595" spans="1:25" x14ac:dyDescent="0.25">
      <c r="A595" s="82"/>
      <c r="B595" s="57" t="s">
        <v>203</v>
      </c>
      <c r="C595" s="89">
        <f t="shared" ref="C595:N595" si="818">C563*(1+$K$95)</f>
        <v>19870016.286588985</v>
      </c>
      <c r="D595" s="89">
        <f t="shared" si="818"/>
        <v>21399758.126225978</v>
      </c>
      <c r="E595" s="89">
        <f t="shared" si="818"/>
        <v>23993668.202132151</v>
      </c>
      <c r="F595" s="89">
        <f t="shared" si="818"/>
        <v>18190625.788726669</v>
      </c>
      <c r="G595" s="89">
        <f t="shared" si="818"/>
        <v>24209827.375124339</v>
      </c>
      <c r="H595" s="89">
        <f t="shared" si="818"/>
        <v>22813106.565020997</v>
      </c>
      <c r="I595" s="89">
        <f t="shared" si="818"/>
        <v>20934184.522858202</v>
      </c>
      <c r="J595" s="89">
        <f t="shared" si="818"/>
        <v>24891560.151484292</v>
      </c>
      <c r="K595" s="89">
        <f t="shared" si="818"/>
        <v>24326220.775966268</v>
      </c>
      <c r="L595" s="89">
        <f t="shared" si="818"/>
        <v>24326220.775966268</v>
      </c>
      <c r="M595" s="89">
        <f t="shared" si="818"/>
        <v>18905613.822470043</v>
      </c>
      <c r="N595" s="89">
        <f t="shared" si="818"/>
        <v>23311935.42577219</v>
      </c>
      <c r="O595" s="92">
        <f t="shared" si="817"/>
        <v>267172737.81833634</v>
      </c>
    </row>
    <row r="596" spans="1:25" x14ac:dyDescent="0.25">
      <c r="A596" s="82"/>
      <c r="B596" s="58" t="s">
        <v>84</v>
      </c>
      <c r="C596" s="89">
        <f t="shared" ref="C596:N596" si="819">C564*(1+$K$95)</f>
        <v>17575403.527133517</v>
      </c>
      <c r="D596" s="89">
        <f t="shared" si="819"/>
        <v>19188283.510229029</v>
      </c>
      <c r="E596" s="89">
        <f t="shared" si="819"/>
        <v>19254794.024995852</v>
      </c>
      <c r="F596" s="89">
        <f t="shared" si="819"/>
        <v>19886643.915280707</v>
      </c>
      <c r="G596" s="89">
        <f t="shared" si="819"/>
        <v>23528094.598764371</v>
      </c>
      <c r="H596" s="89">
        <f t="shared" si="819"/>
        <v>20352217.518648472</v>
      </c>
      <c r="I596" s="89">
        <f t="shared" si="819"/>
        <v>21133716.06715868</v>
      </c>
      <c r="J596" s="89">
        <f t="shared" si="819"/>
        <v>24326220.775966268</v>
      </c>
      <c r="K596" s="89">
        <f t="shared" si="819"/>
        <v>22264394.818194699</v>
      </c>
      <c r="L596" s="89">
        <f t="shared" si="819"/>
        <v>22231139.560811281</v>
      </c>
      <c r="M596" s="89">
        <f t="shared" si="819"/>
        <v>23794136.657831665</v>
      </c>
      <c r="N596" s="89">
        <f t="shared" si="819"/>
        <v>19105145.366770502</v>
      </c>
      <c r="O596" s="92">
        <f t="shared" si="817"/>
        <v>252640190.34178504</v>
      </c>
    </row>
    <row r="597" spans="1:25" x14ac:dyDescent="0.25">
      <c r="A597" s="82"/>
      <c r="B597" s="57" t="s">
        <v>85</v>
      </c>
      <c r="C597" s="89">
        <f t="shared" ref="C597:N597" si="820">C565*(1+$K$95)</f>
        <v>20418728.03341531</v>
      </c>
      <c r="D597" s="89">
        <f t="shared" si="820"/>
        <v>17475637.754983298</v>
      </c>
      <c r="E597" s="89">
        <f t="shared" si="820"/>
        <v>18090860.016576417</v>
      </c>
      <c r="F597" s="89">
        <f t="shared" si="820"/>
        <v>18373529.704335421</v>
      </c>
      <c r="G597" s="89">
        <f t="shared" si="820"/>
        <v>24708656.23587551</v>
      </c>
      <c r="H597" s="89">
        <f t="shared" si="820"/>
        <v>18140742.902651545</v>
      </c>
      <c r="I597" s="89">
        <f t="shared" si="820"/>
        <v>21050577.923700135</v>
      </c>
      <c r="J597" s="89">
        <f t="shared" si="820"/>
        <v>16660883.949089684</v>
      </c>
      <c r="K597" s="89">
        <f t="shared" si="820"/>
        <v>21665800.18529328</v>
      </c>
      <c r="L597" s="89">
        <f t="shared" si="820"/>
        <v>17209595.695915986</v>
      </c>
      <c r="M597" s="89">
        <f t="shared" si="820"/>
        <v>21915214.615668863</v>
      </c>
      <c r="N597" s="89">
        <f t="shared" si="820"/>
        <v>20867674.008091364</v>
      </c>
      <c r="O597" s="92">
        <f t="shared" si="817"/>
        <v>236577901.02559683</v>
      </c>
    </row>
    <row r="598" spans="1:25" x14ac:dyDescent="0.25">
      <c r="A598" s="84"/>
      <c r="B598" s="58" t="s">
        <v>249</v>
      </c>
      <c r="C598" s="89">
        <v>10000000</v>
      </c>
      <c r="D598" s="89">
        <v>10000000</v>
      </c>
      <c r="E598" s="89">
        <v>10000000</v>
      </c>
      <c r="F598" s="89">
        <v>10000000</v>
      </c>
      <c r="G598" s="89">
        <v>10000000</v>
      </c>
      <c r="H598" s="89">
        <v>10000000</v>
      </c>
      <c r="I598" s="89">
        <v>10000000</v>
      </c>
      <c r="J598" s="89">
        <v>10000000</v>
      </c>
      <c r="K598" s="89">
        <v>10000000</v>
      </c>
      <c r="L598" s="89">
        <v>10000000</v>
      </c>
      <c r="M598" s="89">
        <v>10000000</v>
      </c>
      <c r="N598" s="89">
        <v>10000000</v>
      </c>
      <c r="O598" s="92">
        <f t="shared" si="817"/>
        <v>120000000</v>
      </c>
    </row>
    <row r="599" spans="1:25" x14ac:dyDescent="0.25">
      <c r="A599" s="84"/>
      <c r="B599" s="58" t="s">
        <v>180</v>
      </c>
      <c r="C599" s="89">
        <f t="shared" ref="C599:N599" si="821">C567*(1+$K$95)</f>
        <v>17004636.381131951</v>
      </c>
      <c r="D599" s="89">
        <f t="shared" si="821"/>
        <v>14553642.375056753</v>
      </c>
      <c r="E599" s="89">
        <f t="shared" si="821"/>
        <v>15065997.054292802</v>
      </c>
      <c r="F599" s="89">
        <f t="shared" si="821"/>
        <v>15301403.258266125</v>
      </c>
      <c r="G599" s="89">
        <f t="shared" si="821"/>
        <v>20577271.712021228</v>
      </c>
      <c r="H599" s="89">
        <f t="shared" si="821"/>
        <v>15107539.325582225</v>
      </c>
      <c r="I599" s="89">
        <f t="shared" si="821"/>
        <v>17530838.484131146</v>
      </c>
      <c r="J599" s="89">
        <f t="shared" si="821"/>
        <v>13875118.610663041</v>
      </c>
      <c r="K599" s="89">
        <f t="shared" si="821"/>
        <v>18043193.163367216</v>
      </c>
      <c r="L599" s="89">
        <f t="shared" si="821"/>
        <v>14332083.594846562</v>
      </c>
      <c r="M599" s="89">
        <f t="shared" si="821"/>
        <v>18250904.51981426</v>
      </c>
      <c r="N599" s="89">
        <f t="shared" si="821"/>
        <v>17378516.82273664</v>
      </c>
      <c r="O599" s="92">
        <f t="shared" si="817"/>
        <v>197021145.30190995</v>
      </c>
    </row>
    <row r="600" spans="1:25" x14ac:dyDescent="0.25">
      <c r="A600" s="84"/>
      <c r="B600" s="58" t="s">
        <v>86</v>
      </c>
      <c r="C600" s="89">
        <f t="shared" ref="C600:N600" si="822">C568*(1+$K$95)</f>
        <v>15094345.694232741</v>
      </c>
      <c r="D600" s="89">
        <f t="shared" si="822"/>
        <v>15094345.694232741</v>
      </c>
      <c r="E600" s="89">
        <f t="shared" si="822"/>
        <v>15094345.694232741</v>
      </c>
      <c r="F600" s="89">
        <f t="shared" si="822"/>
        <v>15094345.694232741</v>
      </c>
      <c r="G600" s="89">
        <f t="shared" si="822"/>
        <v>15094345.694232741</v>
      </c>
      <c r="H600" s="89">
        <f t="shared" si="822"/>
        <v>15094345.694232741</v>
      </c>
      <c r="I600" s="89">
        <f t="shared" si="822"/>
        <v>15094345.694232741</v>
      </c>
      <c r="J600" s="89">
        <f t="shared" si="822"/>
        <v>15094345.694232741</v>
      </c>
      <c r="K600" s="89">
        <f t="shared" si="822"/>
        <v>15094345.694232741</v>
      </c>
      <c r="L600" s="89">
        <f t="shared" si="822"/>
        <v>15094345.694232741</v>
      </c>
      <c r="M600" s="89">
        <f t="shared" si="822"/>
        <v>15094345.694232741</v>
      </c>
      <c r="N600" s="89">
        <f t="shared" si="822"/>
        <v>15094345.694232741</v>
      </c>
      <c r="O600" s="92">
        <f t="shared" si="817"/>
        <v>181132148.33079287</v>
      </c>
    </row>
    <row r="601" spans="1:25" x14ac:dyDescent="0.25">
      <c r="A601" s="82"/>
      <c r="B601" s="46" t="s">
        <v>208</v>
      </c>
      <c r="C601" s="47">
        <f t="shared" ref="C601:N601" si="823">SUM(C594:C600)</f>
        <v>105466875.01945728</v>
      </c>
      <c r="D601" s="47">
        <f t="shared" si="823"/>
        <v>104346091.30871862</v>
      </c>
      <c r="E601" s="47">
        <f t="shared" si="823"/>
        <v>107618632.35077788</v>
      </c>
      <c r="F601" s="47">
        <f t="shared" si="823"/>
        <v>102566452.63078862</v>
      </c>
      <c r="G601" s="47">
        <f t="shared" si="823"/>
        <v>123372526.28259738</v>
      </c>
      <c r="H601" s="47">
        <f t="shared" si="823"/>
        <v>108092492.96805167</v>
      </c>
      <c r="I601" s="47">
        <f t="shared" si="823"/>
        <v>113425627.1476492</v>
      </c>
      <c r="J601" s="47">
        <f t="shared" si="823"/>
        <v>112214168.6918619</v>
      </c>
      <c r="K601" s="47">
        <f t="shared" si="823"/>
        <v>117080603.64961775</v>
      </c>
      <c r="L601" s="47">
        <f t="shared" si="823"/>
        <v>109029682.99256174</v>
      </c>
      <c r="M601" s="47">
        <f t="shared" si="823"/>
        <v>113513843.29304747</v>
      </c>
      <c r="N601" s="47">
        <f t="shared" si="823"/>
        <v>111760191.2753094</v>
      </c>
      <c r="O601" s="47">
        <f t="shared" si="817"/>
        <v>1328487187.6104388</v>
      </c>
    </row>
    <row r="602" spans="1:25" x14ac:dyDescent="0.25">
      <c r="A602" s="82"/>
      <c r="B602" s="60" t="s">
        <v>87</v>
      </c>
      <c r="C602" s="47">
        <f t="shared" ref="C602:N602" si="824">C592+C601</f>
        <v>115875770.58046541</v>
      </c>
      <c r="D602" s="47">
        <f t="shared" si="824"/>
        <v>113657563.37607414</v>
      </c>
      <c r="E602" s="47">
        <f t="shared" si="824"/>
        <v>116930104.41813339</v>
      </c>
      <c r="F602" s="47">
        <f t="shared" si="824"/>
        <v>111877924.69814414</v>
      </c>
      <c r="G602" s="47">
        <f t="shared" si="824"/>
        <v>132683998.34995289</v>
      </c>
      <c r="H602" s="47">
        <f t="shared" si="824"/>
        <v>117403965.03540719</v>
      </c>
      <c r="I602" s="47">
        <f t="shared" si="824"/>
        <v>122737099.21500471</v>
      </c>
      <c r="J602" s="47">
        <f t="shared" si="824"/>
        <v>121525640.75921741</v>
      </c>
      <c r="K602" s="47">
        <f t="shared" si="824"/>
        <v>126392075.71697326</v>
      </c>
      <c r="L602" s="47">
        <f t="shared" si="824"/>
        <v>118341155.05991726</v>
      </c>
      <c r="M602" s="47">
        <f t="shared" si="824"/>
        <v>122825315.36040299</v>
      </c>
      <c r="N602" s="47">
        <f t="shared" si="824"/>
        <v>121071663.34266491</v>
      </c>
      <c r="O602" s="47">
        <f t="shared" si="817"/>
        <v>1441322275.9123578</v>
      </c>
    </row>
    <row r="603" spans="1:25" s="11" customFormat="1" x14ac:dyDescent="0.25">
      <c r="A603" s="82"/>
      <c r="B603" s="108" t="s">
        <v>204</v>
      </c>
      <c r="C603" s="109">
        <f>$O602*(3/12)/12</f>
        <v>30027547.414840788</v>
      </c>
      <c r="D603" s="109">
        <f t="shared" ref="D603" si="825">$O602*(3/12)/12</f>
        <v>30027547.414840788</v>
      </c>
      <c r="E603" s="109">
        <f t="shared" ref="E603" si="826">$O602*(3/12)/12</f>
        <v>30027547.414840788</v>
      </c>
      <c r="F603" s="109">
        <f t="shared" ref="F603" si="827">$O602*(3/12)/12</f>
        <v>30027547.414840788</v>
      </c>
      <c r="G603" s="109">
        <f t="shared" ref="G603" si="828">$O602*(3/12)/12</f>
        <v>30027547.414840788</v>
      </c>
      <c r="H603" s="109">
        <f t="shared" ref="H603" si="829">$O602*(3/12)/12</f>
        <v>30027547.414840788</v>
      </c>
      <c r="I603" s="109">
        <f t="shared" ref="I603" si="830">$O602*(3/12)/12</f>
        <v>30027547.414840788</v>
      </c>
      <c r="J603" s="109">
        <f t="shared" ref="J603" si="831">$O602*(3/12)/12</f>
        <v>30027547.414840788</v>
      </c>
      <c r="K603" s="109">
        <f t="shared" ref="K603" si="832">$O602*(3/12)/12</f>
        <v>30027547.414840788</v>
      </c>
      <c r="L603" s="109">
        <f t="shared" ref="L603" si="833">$O602*(3/12)/12</f>
        <v>30027547.414840788</v>
      </c>
      <c r="M603" s="109">
        <f t="shared" ref="M603" si="834">$O602*(3/12)/12</f>
        <v>30027547.414840788</v>
      </c>
      <c r="N603" s="109">
        <f>$O602*(3/12)/12</f>
        <v>30027547.414840788</v>
      </c>
      <c r="O603" s="109">
        <f t="shared" ref="O603:O605" si="835">SUM(C603:N603)</f>
        <v>360330568.97808957</v>
      </c>
      <c r="P603" s="43"/>
      <c r="Q603" s="43"/>
      <c r="R603" s="40"/>
      <c r="S603" s="40"/>
      <c r="T603" s="40"/>
      <c r="U603" s="40"/>
      <c r="V603" s="40"/>
      <c r="W603" s="40"/>
      <c r="X603" s="40"/>
      <c r="Y603" s="40"/>
    </row>
    <row r="604" spans="1:25" s="11" customFormat="1" x14ac:dyDescent="0.25">
      <c r="A604" s="82"/>
      <c r="B604" s="108" t="s">
        <v>386</v>
      </c>
      <c r="C604" s="109">
        <f>C572*(1+$K$192)</f>
        <v>9112234.063079793</v>
      </c>
      <c r="D604" s="109">
        <v>0</v>
      </c>
      <c r="E604" s="109">
        <v>0</v>
      </c>
      <c r="F604" s="109">
        <v>0</v>
      </c>
      <c r="G604" s="109">
        <v>0</v>
      </c>
      <c r="H604" s="109">
        <v>0</v>
      </c>
      <c r="I604" s="109">
        <v>0</v>
      </c>
      <c r="J604" s="109">
        <v>0</v>
      </c>
      <c r="K604" s="109">
        <v>0</v>
      </c>
      <c r="L604" s="109">
        <v>0</v>
      </c>
      <c r="M604" s="109">
        <v>0</v>
      </c>
      <c r="N604" s="109">
        <v>0</v>
      </c>
      <c r="O604" s="109">
        <f t="shared" si="835"/>
        <v>9112234.063079793</v>
      </c>
      <c r="P604" s="43"/>
      <c r="Q604" s="43"/>
      <c r="R604" s="40"/>
      <c r="S604" s="40"/>
      <c r="T604" s="40"/>
      <c r="U604" s="40"/>
      <c r="V604" s="40"/>
      <c r="W604" s="40"/>
      <c r="X604" s="40"/>
      <c r="Y604" s="40"/>
    </row>
    <row r="605" spans="1:25" s="11" customFormat="1" x14ac:dyDescent="0.25">
      <c r="A605" s="82"/>
      <c r="B605" s="60" t="s">
        <v>206</v>
      </c>
      <c r="C605" s="61">
        <f>C586-C602-C603-C604</f>
        <v>-88832105.581715569</v>
      </c>
      <c r="D605" s="61">
        <f t="shared" ref="D605" si="836">D586-D602-D603-D604</f>
        <v>-77501664.314244509</v>
      </c>
      <c r="E605" s="61">
        <f t="shared" ref="E605" si="837">E586-E602-E603-E604</f>
        <v>-80774205.356303766</v>
      </c>
      <c r="F605" s="61">
        <f t="shared" ref="F605" si="838">F586-F602-F603-F604</f>
        <v>-75722025.636314511</v>
      </c>
      <c r="G605" s="61">
        <f t="shared" ref="G605" si="839">G586-G602-G603-G604</f>
        <v>-96528099.288123265</v>
      </c>
      <c r="H605" s="61">
        <f t="shared" ref="H605" si="840">H586-H602-H603-H604</f>
        <v>-81248065.973577559</v>
      </c>
      <c r="I605" s="61">
        <f t="shared" ref="I605" si="841">I586-I602-I603-I604</f>
        <v>-86581200.153175086</v>
      </c>
      <c r="J605" s="61">
        <f t="shared" ref="J605" si="842">J586-J602-J603-J604</f>
        <v>-85369741.697387785</v>
      </c>
      <c r="K605" s="61">
        <f t="shared" ref="K605" si="843">K586-K602-K603-K604</f>
        <v>-90236176.655143633</v>
      </c>
      <c r="L605" s="61">
        <f t="shared" ref="L605" si="844">L586-L602-L603-L604</f>
        <v>-82185255.99808763</v>
      </c>
      <c r="M605" s="61">
        <f t="shared" ref="M605" si="845">M586-M602-M603-M604</f>
        <v>-86669416.29857336</v>
      </c>
      <c r="N605" s="61">
        <f t="shared" ref="N605" si="846">N586-N602-N603-N604</f>
        <v>-84915764.280835286</v>
      </c>
      <c r="O605" s="47">
        <f t="shared" si="835"/>
        <v>-1016563721.233482</v>
      </c>
      <c r="P605" s="43"/>
      <c r="Q605" s="43"/>
      <c r="R605" s="40"/>
      <c r="S605" s="40"/>
      <c r="T605" s="40"/>
      <c r="U605" s="40"/>
      <c r="V605" s="40"/>
      <c r="W605" s="40"/>
      <c r="X605" s="40"/>
      <c r="Y605" s="40"/>
    </row>
    <row r="606" spans="1:25" x14ac:dyDescent="0.25">
      <c r="A606" s="85"/>
      <c r="B606" s="40"/>
      <c r="C606" s="40"/>
      <c r="D606" s="40"/>
      <c r="E606" s="40"/>
      <c r="F606" s="40"/>
      <c r="G606" s="40"/>
      <c r="H606" s="40"/>
      <c r="I606" s="40"/>
      <c r="J606" s="40"/>
      <c r="K606" s="40"/>
      <c r="L606" s="353" t="s">
        <v>217</v>
      </c>
      <c r="M606" s="354"/>
      <c r="N606" s="350">
        <f>SUM(C605:N605)+N574</f>
        <v>12496096039.472378</v>
      </c>
      <c r="O606" s="40"/>
    </row>
    <row r="607" spans="1:25" x14ac:dyDescent="0.25">
      <c r="A607" s="85"/>
      <c r="B607" s="40"/>
      <c r="C607" s="40"/>
      <c r="D607" s="40"/>
      <c r="E607" s="40"/>
      <c r="F607" s="40"/>
      <c r="G607" s="40"/>
      <c r="H607" s="40"/>
      <c r="I607" s="40"/>
      <c r="J607" s="40"/>
      <c r="K607" s="40"/>
      <c r="L607" s="320"/>
      <c r="M607" s="355"/>
      <c r="N607" s="351"/>
      <c r="O607" s="40"/>
    </row>
    <row r="608" spans="1:25" x14ac:dyDescent="0.25">
      <c r="A608" s="85"/>
      <c r="B608" s="319" t="s">
        <v>632</v>
      </c>
      <c r="C608" s="352" t="s">
        <v>173</v>
      </c>
      <c r="D608" s="352"/>
      <c r="E608" s="352"/>
      <c r="F608" s="352"/>
      <c r="G608" s="352"/>
      <c r="H608" s="352"/>
      <c r="I608" s="40"/>
      <c r="J608" s="358" t="s">
        <v>231</v>
      </c>
      <c r="K608" s="359">
        <v>0.04</v>
      </c>
      <c r="L608" s="40"/>
      <c r="M608" s="40"/>
      <c r="N608" s="40"/>
      <c r="O608" s="361"/>
    </row>
    <row r="609" spans="1:15" x14ac:dyDescent="0.25">
      <c r="A609" s="85"/>
      <c r="B609" s="319"/>
      <c r="C609" s="352"/>
      <c r="D609" s="352"/>
      <c r="E609" s="352"/>
      <c r="F609" s="352"/>
      <c r="G609" s="352"/>
      <c r="H609" s="352"/>
      <c r="I609" s="40"/>
      <c r="J609" s="358"/>
      <c r="K609" s="360"/>
      <c r="L609" s="40"/>
      <c r="M609" s="40"/>
      <c r="N609" s="40"/>
      <c r="O609" s="362"/>
    </row>
    <row r="610" spans="1:15" x14ac:dyDescent="0.25">
      <c r="A610" s="85"/>
      <c r="B610" s="319"/>
      <c r="C610" s="352"/>
      <c r="D610" s="352"/>
      <c r="E610" s="352"/>
      <c r="F610" s="352"/>
      <c r="G610" s="352"/>
      <c r="H610" s="352"/>
      <c r="I610" s="40"/>
      <c r="J610" s="40"/>
      <c r="K610" s="40"/>
      <c r="L610" s="40"/>
      <c r="M610" s="40"/>
      <c r="N610" s="40"/>
      <c r="O610" s="40"/>
    </row>
    <row r="613" spans="1:15" ht="24.6" x14ac:dyDescent="0.25">
      <c r="A613" s="96"/>
      <c r="B613" s="348" t="s">
        <v>297</v>
      </c>
      <c r="C613" s="348"/>
      <c r="D613" s="348"/>
      <c r="E613" s="348"/>
      <c r="F613" s="348"/>
      <c r="G613" s="348"/>
      <c r="H613" s="348"/>
      <c r="I613" s="348"/>
      <c r="J613" s="348"/>
      <c r="K613" s="348"/>
      <c r="L613" s="348"/>
      <c r="M613" s="348"/>
      <c r="N613" s="348"/>
      <c r="O613" s="348"/>
    </row>
    <row r="614" spans="1:15" ht="24.6" x14ac:dyDescent="0.25">
      <c r="A614" s="96"/>
      <c r="B614" s="349"/>
      <c r="C614" s="349"/>
      <c r="D614" s="349"/>
      <c r="E614" s="349"/>
      <c r="F614" s="349"/>
      <c r="G614" s="349"/>
      <c r="H614" s="349"/>
      <c r="I614" s="349"/>
      <c r="J614" s="349"/>
      <c r="K614" s="349"/>
      <c r="L614" s="349"/>
      <c r="M614" s="349"/>
      <c r="N614" s="349"/>
      <c r="O614" s="349"/>
    </row>
    <row r="615" spans="1:15" x14ac:dyDescent="0.25">
      <c r="A615" s="82"/>
      <c r="B615" s="41"/>
      <c r="C615" s="42" t="s">
        <v>66</v>
      </c>
      <c r="D615" s="42" t="s">
        <v>67</v>
      </c>
      <c r="E615" s="42" t="s">
        <v>68</v>
      </c>
      <c r="F615" s="42" t="s">
        <v>69</v>
      </c>
      <c r="G615" s="42" t="s">
        <v>70</v>
      </c>
      <c r="H615" s="42" t="s">
        <v>71</v>
      </c>
      <c r="I615" s="42" t="s">
        <v>72</v>
      </c>
      <c r="J615" s="42" t="s">
        <v>73</v>
      </c>
      <c r="K615" s="42" t="s">
        <v>74</v>
      </c>
      <c r="L615" s="42" t="s">
        <v>75</v>
      </c>
      <c r="M615" s="42" t="s">
        <v>76</v>
      </c>
      <c r="N615" s="42" t="s">
        <v>77</v>
      </c>
      <c r="O615" s="42" t="s">
        <v>236</v>
      </c>
    </row>
    <row r="616" spans="1:15" x14ac:dyDescent="0.25">
      <c r="A616" s="82"/>
      <c r="B616" s="44" t="s">
        <v>381</v>
      </c>
      <c r="C616" s="45">
        <f>'11.My pension value'!$D$17/12</f>
        <v>35611893.330636717</v>
      </c>
      <c r="D616" s="45">
        <f>'11.My pension value'!$D$17/12</f>
        <v>35611893.330636717</v>
      </c>
      <c r="E616" s="45">
        <f>'11.My pension value'!$D$17/12</f>
        <v>35611893.330636717</v>
      </c>
      <c r="F616" s="45">
        <f>'11.My pension value'!$D$17/12</f>
        <v>35611893.330636717</v>
      </c>
      <c r="G616" s="45">
        <f>'11.My pension value'!$D$17/12</f>
        <v>35611893.330636717</v>
      </c>
      <c r="H616" s="45">
        <f>'11.My pension value'!$D$17/12</f>
        <v>35611893.330636717</v>
      </c>
      <c r="I616" s="45">
        <f>'11.My pension value'!$D$17/12</f>
        <v>35611893.330636717</v>
      </c>
      <c r="J616" s="45">
        <f>'11.My pension value'!$D$17/12</f>
        <v>35611893.330636717</v>
      </c>
      <c r="K616" s="45">
        <f>'11.My pension value'!$D$17/12</f>
        <v>35611893.330636717</v>
      </c>
      <c r="L616" s="45">
        <f>'11.My pension value'!$D$17/12</f>
        <v>35611893.330636717</v>
      </c>
      <c r="M616" s="45">
        <f>'11.My pension value'!$D$17/12</f>
        <v>35611893.330636717</v>
      </c>
      <c r="N616" s="45">
        <f>'11.My pension value'!$D$17/12</f>
        <v>35611893.330636717</v>
      </c>
      <c r="O616" s="45" t="s">
        <v>173</v>
      </c>
    </row>
    <row r="617" spans="1:15" x14ac:dyDescent="0.25">
      <c r="A617" s="82"/>
      <c r="B617" s="44" t="s">
        <v>382</v>
      </c>
      <c r="C617" s="45">
        <f>'10.2. Wife''s retirement salary'!$O$10</f>
        <v>30571553.146033701</v>
      </c>
      <c r="D617" s="45">
        <f>'10.2. Wife''s retirement salary'!$O$10</f>
        <v>30571553.146033701</v>
      </c>
      <c r="E617" s="45">
        <f>'10.2. Wife''s retirement salary'!$O$10</f>
        <v>30571553.146033701</v>
      </c>
      <c r="F617" s="45">
        <f>'10.2. Wife''s retirement salary'!$O$10</f>
        <v>30571553.146033701</v>
      </c>
      <c r="G617" s="45">
        <f>'10.2. Wife''s retirement salary'!$O$10</f>
        <v>30571553.146033701</v>
      </c>
      <c r="H617" s="45">
        <f>'10.2. Wife''s retirement salary'!$O$10</f>
        <v>30571553.146033701</v>
      </c>
      <c r="I617" s="45">
        <f>'10.2. Wife''s retirement salary'!$O$10</f>
        <v>30571553.146033701</v>
      </c>
      <c r="J617" s="45">
        <f>'10.2. Wife''s retirement salary'!$O$10</f>
        <v>30571553.146033701</v>
      </c>
      <c r="K617" s="45">
        <f>'10.2. Wife''s retirement salary'!$O$10</f>
        <v>30571553.146033701</v>
      </c>
      <c r="L617" s="45">
        <f>'10.2. Wife''s retirement salary'!$O$10</f>
        <v>30571553.146033701</v>
      </c>
      <c r="M617" s="45">
        <f>'10.2. Wife''s retirement salary'!$O$10</f>
        <v>30571553.146033701</v>
      </c>
      <c r="N617" s="45">
        <f>'10.2. Wife''s retirement salary'!$O$10</f>
        <v>30571553.146033701</v>
      </c>
      <c r="O617" s="45" t="s">
        <v>173</v>
      </c>
    </row>
    <row r="618" spans="1:15" x14ac:dyDescent="0.25">
      <c r="A618" s="82"/>
      <c r="B618" s="46" t="s">
        <v>209</v>
      </c>
      <c r="C618" s="47">
        <f>SUM(C616:C617)</f>
        <v>66183446.476670414</v>
      </c>
      <c r="D618" s="47">
        <f t="shared" ref="D618:J618" si="847">SUM(D616:D617)</f>
        <v>66183446.476670414</v>
      </c>
      <c r="E618" s="47">
        <f t="shared" si="847"/>
        <v>66183446.476670414</v>
      </c>
      <c r="F618" s="47">
        <f t="shared" si="847"/>
        <v>66183446.476670414</v>
      </c>
      <c r="G618" s="47">
        <f t="shared" si="847"/>
        <v>66183446.476670414</v>
      </c>
      <c r="H618" s="47">
        <f t="shared" si="847"/>
        <v>66183446.476670414</v>
      </c>
      <c r="I618" s="47">
        <f t="shared" si="847"/>
        <v>66183446.476670414</v>
      </c>
      <c r="J618" s="47">
        <f t="shared" si="847"/>
        <v>66183446.476670414</v>
      </c>
      <c r="K618" s="47">
        <f>SUM(K616:K617)</f>
        <v>66183446.476670414</v>
      </c>
      <c r="L618" s="47">
        <f t="shared" ref="L618:N618" si="848">SUM(L616:L617)</f>
        <v>66183446.476670414</v>
      </c>
      <c r="M618" s="47">
        <f t="shared" si="848"/>
        <v>66183446.476670414</v>
      </c>
      <c r="N618" s="47">
        <f t="shared" si="848"/>
        <v>66183446.476670414</v>
      </c>
      <c r="O618" s="47">
        <f>SUM(C618:N618)</f>
        <v>794201357.72004473</v>
      </c>
    </row>
    <row r="619" spans="1:15" x14ac:dyDescent="0.25">
      <c r="A619" s="82"/>
      <c r="B619" s="52" t="s">
        <v>78</v>
      </c>
      <c r="C619" s="53" t="s">
        <v>173</v>
      </c>
      <c r="D619" s="53" t="s">
        <v>173</v>
      </c>
      <c r="E619" s="53" t="s">
        <v>173</v>
      </c>
      <c r="F619" s="53" t="s">
        <v>173</v>
      </c>
      <c r="G619" s="53" t="s">
        <v>173</v>
      </c>
      <c r="H619" s="53" t="s">
        <v>173</v>
      </c>
      <c r="I619" s="53" t="s">
        <v>173</v>
      </c>
      <c r="J619" s="53" t="s">
        <v>173</v>
      </c>
      <c r="K619" s="53" t="s">
        <v>173</v>
      </c>
      <c r="L619" s="53" t="s">
        <v>173</v>
      </c>
      <c r="M619" s="53" t="s">
        <v>173</v>
      </c>
      <c r="N619" s="53" t="s">
        <v>173</v>
      </c>
      <c r="O619" s="91" t="s">
        <v>173</v>
      </c>
    </row>
    <row r="620" spans="1:15" x14ac:dyDescent="0.25">
      <c r="A620" s="82"/>
      <c r="B620" s="48" t="s">
        <v>79</v>
      </c>
      <c r="C620" s="54" t="s">
        <v>173</v>
      </c>
      <c r="D620" s="54" t="s">
        <v>173</v>
      </c>
      <c r="E620" s="54" t="s">
        <v>173</v>
      </c>
      <c r="F620" s="54" t="s">
        <v>173</v>
      </c>
      <c r="G620" s="54" t="s">
        <v>173</v>
      </c>
      <c r="H620" s="54" t="s">
        <v>173</v>
      </c>
      <c r="I620" s="54" t="s">
        <v>173</v>
      </c>
      <c r="J620" s="54" t="s">
        <v>173</v>
      </c>
      <c r="K620" s="54" t="s">
        <v>173</v>
      </c>
      <c r="L620" s="54" t="s">
        <v>173</v>
      </c>
      <c r="M620" s="54" t="s">
        <v>173</v>
      </c>
      <c r="N620" s="54" t="s">
        <v>173</v>
      </c>
      <c r="O620" s="91" t="s">
        <v>173</v>
      </c>
    </row>
    <row r="621" spans="1:15" x14ac:dyDescent="0.25">
      <c r="A621" s="83"/>
      <c r="B621" s="49" t="s">
        <v>195</v>
      </c>
      <c r="C621" s="50">
        <f>C589*(1+$K$62)</f>
        <v>1141320.433398718</v>
      </c>
      <c r="D621" s="50">
        <v>0</v>
      </c>
      <c r="E621" s="50">
        <v>0</v>
      </c>
      <c r="F621" s="50">
        <v>0</v>
      </c>
      <c r="G621" s="50">
        <v>0</v>
      </c>
      <c r="H621" s="50">
        <v>0</v>
      </c>
      <c r="I621" s="50">
        <v>0</v>
      </c>
      <c r="J621" s="50">
        <v>0</v>
      </c>
      <c r="K621" s="50">
        <v>0</v>
      </c>
      <c r="L621" s="50">
        <v>0</v>
      </c>
      <c r="M621" s="50">
        <v>0</v>
      </c>
      <c r="N621" s="50">
        <v>0</v>
      </c>
      <c r="O621" s="90">
        <f t="shared" ref="O621:O624" si="849">SUM(C621:N621)</f>
        <v>1141320.433398718</v>
      </c>
    </row>
    <row r="622" spans="1:15" x14ac:dyDescent="0.25">
      <c r="A622" s="82"/>
      <c r="B622" s="51" t="s">
        <v>178</v>
      </c>
      <c r="C622" s="50">
        <f>C590*(1+$K$62)</f>
        <v>8646366.9196872618</v>
      </c>
      <c r="D622" s="50">
        <f t="shared" ref="D622:N622" si="850">D590*(1+$K$62)</f>
        <v>8646366.9196872618</v>
      </c>
      <c r="E622" s="50">
        <f t="shared" si="850"/>
        <v>8646366.9196872618</v>
      </c>
      <c r="F622" s="50">
        <f t="shared" si="850"/>
        <v>8646366.9196872618</v>
      </c>
      <c r="G622" s="50">
        <f t="shared" si="850"/>
        <v>8646366.9196872618</v>
      </c>
      <c r="H622" s="50">
        <f t="shared" si="850"/>
        <v>8646366.9196872618</v>
      </c>
      <c r="I622" s="50">
        <f t="shared" si="850"/>
        <v>8646366.9196872618</v>
      </c>
      <c r="J622" s="50">
        <f t="shared" si="850"/>
        <v>8646366.9196872618</v>
      </c>
      <c r="K622" s="50">
        <f t="shared" si="850"/>
        <v>8646366.9196872618</v>
      </c>
      <c r="L622" s="50">
        <f t="shared" si="850"/>
        <v>8646366.9196872618</v>
      </c>
      <c r="M622" s="50">
        <f t="shared" si="850"/>
        <v>8646366.9196872618</v>
      </c>
      <c r="N622" s="50">
        <f t="shared" si="850"/>
        <v>8646366.9196872618</v>
      </c>
      <c r="O622" s="90">
        <f t="shared" si="849"/>
        <v>103756403.03624712</v>
      </c>
    </row>
    <row r="623" spans="1:15" x14ac:dyDescent="0.25">
      <c r="A623" s="84"/>
      <c r="B623" s="51" t="s">
        <v>248</v>
      </c>
      <c r="C623" s="50">
        <f>C591*(1+$K$62)</f>
        <v>1037564.0303624714</v>
      </c>
      <c r="D623" s="50">
        <f t="shared" ref="D623:N623" si="851">D591*(1+$K$62)</f>
        <v>1037564.0303624714</v>
      </c>
      <c r="E623" s="50">
        <f t="shared" si="851"/>
        <v>1037564.0303624714</v>
      </c>
      <c r="F623" s="50">
        <f t="shared" si="851"/>
        <v>1037564.0303624714</v>
      </c>
      <c r="G623" s="50">
        <f t="shared" si="851"/>
        <v>1037564.0303624714</v>
      </c>
      <c r="H623" s="50">
        <f t="shared" si="851"/>
        <v>1037564.0303624714</v>
      </c>
      <c r="I623" s="50">
        <f t="shared" si="851"/>
        <v>1037564.0303624714</v>
      </c>
      <c r="J623" s="50">
        <f t="shared" si="851"/>
        <v>1037564.0303624714</v>
      </c>
      <c r="K623" s="50">
        <f t="shared" si="851"/>
        <v>1037564.0303624714</v>
      </c>
      <c r="L623" s="50">
        <f t="shared" si="851"/>
        <v>1037564.0303624714</v>
      </c>
      <c r="M623" s="50">
        <f t="shared" si="851"/>
        <v>1037564.0303624714</v>
      </c>
      <c r="N623" s="50">
        <f t="shared" si="851"/>
        <v>1037564.0303624714</v>
      </c>
      <c r="O623" s="90">
        <f t="shared" si="849"/>
        <v>12450768.364349658</v>
      </c>
    </row>
    <row r="624" spans="1:15" x14ac:dyDescent="0.25">
      <c r="A624" s="82"/>
      <c r="B624" s="46" t="s">
        <v>207</v>
      </c>
      <c r="C624" s="47">
        <f t="shared" ref="C624" si="852">SUM(C621:C623)</f>
        <v>10825251.383448452</v>
      </c>
      <c r="D624" s="47">
        <f t="shared" ref="D624" si="853">SUM(D621:D623)</f>
        <v>9683930.9500497337</v>
      </c>
      <c r="E624" s="47">
        <f t="shared" ref="E624" si="854">SUM(E621:E623)</f>
        <v>9683930.9500497337</v>
      </c>
      <c r="F624" s="47">
        <f t="shared" ref="F624" si="855">SUM(F621:F623)</f>
        <v>9683930.9500497337</v>
      </c>
      <c r="G624" s="47">
        <f t="shared" ref="G624" si="856">SUM(G621:G623)</f>
        <v>9683930.9500497337</v>
      </c>
      <c r="H624" s="47">
        <f t="shared" ref="H624" si="857">SUM(H621:H623)</f>
        <v>9683930.9500497337</v>
      </c>
      <c r="I624" s="47">
        <f t="shared" ref="I624" si="858">SUM(I621:I623)</f>
        <v>9683930.9500497337</v>
      </c>
      <c r="J624" s="47">
        <f t="shared" ref="J624" si="859">SUM(J621:J623)</f>
        <v>9683930.9500497337</v>
      </c>
      <c r="K624" s="47">
        <f t="shared" ref="K624" si="860">SUM(K621:K623)</f>
        <v>9683930.9500497337</v>
      </c>
      <c r="L624" s="47">
        <f t="shared" ref="L624" si="861">SUM(L621:L623)</f>
        <v>9683930.9500497337</v>
      </c>
      <c r="M624" s="47">
        <f t="shared" ref="M624" si="862">SUM(M621:M623)</f>
        <v>9683930.9500497337</v>
      </c>
      <c r="N624" s="47">
        <f t="shared" ref="N624" si="863">SUM(N621:N623)</f>
        <v>9683930.9500497337</v>
      </c>
      <c r="O624" s="47">
        <f t="shared" si="849"/>
        <v>117348491.83399551</v>
      </c>
    </row>
    <row r="625" spans="1:25" x14ac:dyDescent="0.25">
      <c r="A625" s="82"/>
      <c r="B625" s="55" t="s">
        <v>83</v>
      </c>
      <c r="C625" s="59" t="s">
        <v>173</v>
      </c>
      <c r="D625" s="59" t="s">
        <v>173</v>
      </c>
      <c r="E625" s="59" t="s">
        <v>173</v>
      </c>
      <c r="F625" s="59" t="s">
        <v>173</v>
      </c>
      <c r="G625" s="59" t="s">
        <v>173</v>
      </c>
      <c r="H625" s="59" t="s">
        <v>173</v>
      </c>
      <c r="I625" s="59" t="s">
        <v>173</v>
      </c>
      <c r="J625" s="59" t="s">
        <v>173</v>
      </c>
      <c r="K625" s="59" t="s">
        <v>173</v>
      </c>
      <c r="L625" s="59" t="s">
        <v>173</v>
      </c>
      <c r="M625" s="59" t="s">
        <v>173</v>
      </c>
      <c r="N625" s="59" t="s">
        <v>173</v>
      </c>
      <c r="O625" s="91" t="s">
        <v>173</v>
      </c>
    </row>
    <row r="626" spans="1:25" x14ac:dyDescent="0.25">
      <c r="A626" s="82"/>
      <c r="B626" s="57" t="s">
        <v>210</v>
      </c>
      <c r="C626" s="89">
        <f t="shared" ref="C626:N626" si="864">C594*(1+$K$95)</f>
        <v>5723894.900832966</v>
      </c>
      <c r="D626" s="89">
        <f t="shared" si="864"/>
        <v>6899800.8019104339</v>
      </c>
      <c r="E626" s="89">
        <f t="shared" si="864"/>
        <v>6363726.0528898202</v>
      </c>
      <c r="F626" s="89">
        <f t="shared" si="864"/>
        <v>5948700.4407448387</v>
      </c>
      <c r="G626" s="89">
        <f t="shared" si="864"/>
        <v>5464503.8932423471</v>
      </c>
      <c r="H626" s="89">
        <f t="shared" si="864"/>
        <v>6847922.6003923118</v>
      </c>
      <c r="I626" s="89">
        <f t="shared" si="864"/>
        <v>7989243.033791028</v>
      </c>
      <c r="J626" s="89">
        <f t="shared" si="864"/>
        <v>7660681.0908429129</v>
      </c>
      <c r="K626" s="89">
        <f t="shared" si="864"/>
        <v>5914114.973066085</v>
      </c>
      <c r="L626" s="89">
        <f t="shared" si="864"/>
        <v>6069749.5776204569</v>
      </c>
      <c r="M626" s="89">
        <f t="shared" si="864"/>
        <v>5775773.1023510909</v>
      </c>
      <c r="N626" s="89">
        <f t="shared" si="864"/>
        <v>6242676.9160142001</v>
      </c>
      <c r="O626" s="92">
        <f t="shared" ref="O626:O634" si="865">SUM(C626:N626)</f>
        <v>76900787.383698478</v>
      </c>
    </row>
    <row r="627" spans="1:25" x14ac:dyDescent="0.25">
      <c r="A627" s="82"/>
      <c r="B627" s="57" t="s">
        <v>203</v>
      </c>
      <c r="C627" s="89">
        <f t="shared" ref="C627:N627" si="866">C595*(1+$K$95)</f>
        <v>20664816.938052546</v>
      </c>
      <c r="D627" s="89">
        <f t="shared" si="866"/>
        <v>22255748.451275017</v>
      </c>
      <c r="E627" s="89">
        <f t="shared" si="866"/>
        <v>24953414.930217437</v>
      </c>
      <c r="F627" s="89">
        <f t="shared" si="866"/>
        <v>18918250.820275735</v>
      </c>
      <c r="G627" s="89">
        <f t="shared" si="866"/>
        <v>25178220.470129315</v>
      </c>
      <c r="H627" s="89">
        <f t="shared" si="866"/>
        <v>23725630.827621836</v>
      </c>
      <c r="I627" s="89">
        <f t="shared" si="866"/>
        <v>21771551.903772533</v>
      </c>
      <c r="J627" s="89">
        <f t="shared" si="866"/>
        <v>25887222.557543665</v>
      </c>
      <c r="K627" s="89">
        <f t="shared" si="866"/>
        <v>25299269.607004918</v>
      </c>
      <c r="L627" s="89">
        <f t="shared" si="866"/>
        <v>25299269.607004918</v>
      </c>
      <c r="M627" s="89">
        <f t="shared" si="866"/>
        <v>19661838.375368845</v>
      </c>
      <c r="N627" s="89">
        <f t="shared" si="866"/>
        <v>24244412.84280308</v>
      </c>
      <c r="O627" s="92">
        <f t="shared" si="865"/>
        <v>277859647.33106983</v>
      </c>
    </row>
    <row r="628" spans="1:25" x14ac:dyDescent="0.25">
      <c r="A628" s="82"/>
      <c r="B628" s="58" t="s">
        <v>84</v>
      </c>
      <c r="C628" s="89">
        <f t="shared" ref="C628:N628" si="867">C596*(1+$K$95)</f>
        <v>18278419.668218859</v>
      </c>
      <c r="D628" s="89">
        <f t="shared" si="867"/>
        <v>19955814.850638192</v>
      </c>
      <c r="E628" s="89">
        <f t="shared" si="867"/>
        <v>20024985.785995688</v>
      </c>
      <c r="F628" s="89">
        <f t="shared" si="867"/>
        <v>20682109.671891935</v>
      </c>
      <c r="G628" s="89">
        <f t="shared" si="867"/>
        <v>24469218.382714946</v>
      </c>
      <c r="H628" s="89">
        <f t="shared" si="867"/>
        <v>21166306.219394412</v>
      </c>
      <c r="I628" s="89">
        <f t="shared" si="867"/>
        <v>21979064.709845029</v>
      </c>
      <c r="J628" s="89">
        <f t="shared" si="867"/>
        <v>25299269.607004918</v>
      </c>
      <c r="K628" s="89">
        <f t="shared" si="867"/>
        <v>23154970.610922486</v>
      </c>
      <c r="L628" s="89">
        <f t="shared" si="867"/>
        <v>23120385.143243734</v>
      </c>
      <c r="M628" s="89">
        <f t="shared" si="867"/>
        <v>24745902.124144934</v>
      </c>
      <c r="N628" s="89">
        <f t="shared" si="867"/>
        <v>19869351.181441322</v>
      </c>
      <c r="O628" s="92">
        <f t="shared" si="865"/>
        <v>262745797.95545644</v>
      </c>
    </row>
    <row r="629" spans="1:25" x14ac:dyDescent="0.25">
      <c r="A629" s="82"/>
      <c r="B629" s="57" t="s">
        <v>85</v>
      </c>
      <c r="C629" s="89">
        <f t="shared" ref="C629:N629" si="868">C597*(1+$K$95)</f>
        <v>21235477.154751923</v>
      </c>
      <c r="D629" s="89">
        <f t="shared" si="868"/>
        <v>18174663.265182629</v>
      </c>
      <c r="E629" s="89">
        <f t="shared" si="868"/>
        <v>18814494.417239472</v>
      </c>
      <c r="F629" s="89">
        <f t="shared" si="868"/>
        <v>19108470.892508838</v>
      </c>
      <c r="G629" s="89">
        <f t="shared" si="868"/>
        <v>25697002.485310532</v>
      </c>
      <c r="H629" s="89">
        <f t="shared" si="868"/>
        <v>18866372.618757606</v>
      </c>
      <c r="I629" s="89">
        <f t="shared" si="868"/>
        <v>21892601.04064814</v>
      </c>
      <c r="J629" s="89">
        <f t="shared" si="868"/>
        <v>17327319.307053272</v>
      </c>
      <c r="K629" s="89">
        <f t="shared" si="868"/>
        <v>22532432.192705013</v>
      </c>
      <c r="L629" s="89">
        <f t="shared" si="868"/>
        <v>17897979.523752626</v>
      </c>
      <c r="M629" s="89">
        <f t="shared" si="868"/>
        <v>22791823.20029562</v>
      </c>
      <c r="N629" s="89">
        <f t="shared" si="868"/>
        <v>21702380.968415018</v>
      </c>
      <c r="O629" s="92">
        <f t="shared" si="865"/>
        <v>246041017.06662068</v>
      </c>
    </row>
    <row r="630" spans="1:25" x14ac:dyDescent="0.25">
      <c r="A630" s="84"/>
      <c r="B630" s="58" t="s">
        <v>249</v>
      </c>
      <c r="C630" s="89">
        <v>10000000</v>
      </c>
      <c r="D630" s="89">
        <v>10000000</v>
      </c>
      <c r="E630" s="89">
        <v>10000000</v>
      </c>
      <c r="F630" s="89">
        <v>10000000</v>
      </c>
      <c r="G630" s="89">
        <v>10000000</v>
      </c>
      <c r="H630" s="89">
        <v>10000000</v>
      </c>
      <c r="I630" s="89">
        <v>10000000</v>
      </c>
      <c r="J630" s="89">
        <v>10000000</v>
      </c>
      <c r="K630" s="89">
        <v>10000000</v>
      </c>
      <c r="L630" s="89">
        <v>10000000</v>
      </c>
      <c r="M630" s="89">
        <v>10000000</v>
      </c>
      <c r="N630" s="89">
        <v>10000000</v>
      </c>
      <c r="O630" s="92">
        <f t="shared" si="865"/>
        <v>120000000</v>
      </c>
    </row>
    <row r="631" spans="1:25" x14ac:dyDescent="0.25">
      <c r="A631" s="84"/>
      <c r="B631" s="58" t="s">
        <v>180</v>
      </c>
      <c r="C631" s="89">
        <f t="shared" ref="C631:N631" si="869">C599*(1+$K$95)</f>
        <v>17684821.83637723</v>
      </c>
      <c r="D631" s="89">
        <f t="shared" si="869"/>
        <v>15135788.070059024</v>
      </c>
      <c r="E631" s="89">
        <f t="shared" si="869"/>
        <v>15668636.936464515</v>
      </c>
      <c r="F631" s="89">
        <f t="shared" si="869"/>
        <v>15913459.388596771</v>
      </c>
      <c r="G631" s="89">
        <f t="shared" si="869"/>
        <v>21400362.580502078</v>
      </c>
      <c r="H631" s="89">
        <f t="shared" si="869"/>
        <v>15711840.898605514</v>
      </c>
      <c r="I631" s="89">
        <f t="shared" si="869"/>
        <v>18232072.023496393</v>
      </c>
      <c r="J631" s="89">
        <f t="shared" si="869"/>
        <v>14430123.355089564</v>
      </c>
      <c r="K631" s="89">
        <f t="shared" si="869"/>
        <v>18764920.889901906</v>
      </c>
      <c r="L631" s="89">
        <f t="shared" si="869"/>
        <v>14905366.938640425</v>
      </c>
      <c r="M631" s="89">
        <f t="shared" si="869"/>
        <v>18980940.70060683</v>
      </c>
      <c r="N631" s="89">
        <f t="shared" si="869"/>
        <v>18073657.495646104</v>
      </c>
      <c r="O631" s="92">
        <f t="shared" si="865"/>
        <v>204901991.11398631</v>
      </c>
    </row>
    <row r="632" spans="1:25" x14ac:dyDescent="0.25">
      <c r="A632" s="84"/>
      <c r="B632" s="58" t="s">
        <v>86</v>
      </c>
      <c r="C632" s="89">
        <f t="shared" ref="C632:N632" si="870">C600*(1+$K$95)</f>
        <v>15698119.522002051</v>
      </c>
      <c r="D632" s="89">
        <f t="shared" si="870"/>
        <v>15698119.522002051</v>
      </c>
      <c r="E632" s="89">
        <f t="shared" si="870"/>
        <v>15698119.522002051</v>
      </c>
      <c r="F632" s="89">
        <f t="shared" si="870"/>
        <v>15698119.522002051</v>
      </c>
      <c r="G632" s="89">
        <f t="shared" si="870"/>
        <v>15698119.522002051</v>
      </c>
      <c r="H632" s="89">
        <f t="shared" si="870"/>
        <v>15698119.522002051</v>
      </c>
      <c r="I632" s="89">
        <f t="shared" si="870"/>
        <v>15698119.522002051</v>
      </c>
      <c r="J632" s="89">
        <f t="shared" si="870"/>
        <v>15698119.522002051</v>
      </c>
      <c r="K632" s="89">
        <f t="shared" si="870"/>
        <v>15698119.522002051</v>
      </c>
      <c r="L632" s="89">
        <f t="shared" si="870"/>
        <v>15698119.522002051</v>
      </c>
      <c r="M632" s="89">
        <f t="shared" si="870"/>
        <v>15698119.522002051</v>
      </c>
      <c r="N632" s="89">
        <f t="shared" si="870"/>
        <v>15698119.522002051</v>
      </c>
      <c r="O632" s="92">
        <f t="shared" si="865"/>
        <v>188377434.26402459</v>
      </c>
    </row>
    <row r="633" spans="1:25" x14ac:dyDescent="0.25">
      <c r="A633" s="82"/>
      <c r="B633" s="46" t="s">
        <v>208</v>
      </c>
      <c r="C633" s="47">
        <f t="shared" ref="C633:N633" si="871">SUM(C626:C632)</f>
        <v>109285550.02023558</v>
      </c>
      <c r="D633" s="47">
        <f t="shared" si="871"/>
        <v>108119934.96106736</v>
      </c>
      <c r="E633" s="47">
        <f t="shared" si="871"/>
        <v>111523377.64480899</v>
      </c>
      <c r="F633" s="47">
        <f t="shared" si="871"/>
        <v>106269110.73602018</v>
      </c>
      <c r="G633" s="47">
        <f t="shared" si="871"/>
        <v>127907427.33390129</v>
      </c>
      <c r="H633" s="47">
        <f t="shared" si="871"/>
        <v>112016192.68677373</v>
      </c>
      <c r="I633" s="47">
        <f t="shared" si="871"/>
        <v>117562652.23355518</v>
      </c>
      <c r="J633" s="47">
        <f t="shared" si="871"/>
        <v>116302735.43953638</v>
      </c>
      <c r="K633" s="47">
        <f t="shared" si="871"/>
        <v>121363827.79560246</v>
      </c>
      <c r="L633" s="47">
        <f t="shared" si="871"/>
        <v>112990870.31226422</v>
      </c>
      <c r="M633" s="47">
        <f t="shared" si="871"/>
        <v>117654397.02476938</v>
      </c>
      <c r="N633" s="47">
        <f t="shared" si="871"/>
        <v>115830598.92632177</v>
      </c>
      <c r="O633" s="47">
        <f t="shared" si="865"/>
        <v>1376826675.1148565</v>
      </c>
    </row>
    <row r="634" spans="1:25" x14ac:dyDescent="0.25">
      <c r="A634" s="82"/>
      <c r="B634" s="60" t="s">
        <v>87</v>
      </c>
      <c r="C634" s="47">
        <f t="shared" ref="C634:N634" si="872">C624+C633</f>
        <v>120110801.40368403</v>
      </c>
      <c r="D634" s="47">
        <f t="shared" si="872"/>
        <v>117803865.91111709</v>
      </c>
      <c r="E634" s="47">
        <f t="shared" si="872"/>
        <v>121207308.59485872</v>
      </c>
      <c r="F634" s="47">
        <f t="shared" si="872"/>
        <v>115953041.68606991</v>
      </c>
      <c r="G634" s="47">
        <f t="shared" si="872"/>
        <v>137591358.28395101</v>
      </c>
      <c r="H634" s="47">
        <f t="shared" si="872"/>
        <v>121700123.63682346</v>
      </c>
      <c r="I634" s="47">
        <f t="shared" si="872"/>
        <v>127246583.18360491</v>
      </c>
      <c r="J634" s="47">
        <f t="shared" si="872"/>
        <v>125986666.38958611</v>
      </c>
      <c r="K634" s="47">
        <f t="shared" si="872"/>
        <v>131047758.74565218</v>
      </c>
      <c r="L634" s="47">
        <f t="shared" si="872"/>
        <v>122674801.26231395</v>
      </c>
      <c r="M634" s="47">
        <f t="shared" si="872"/>
        <v>127338327.97481911</v>
      </c>
      <c r="N634" s="47">
        <f t="shared" si="872"/>
        <v>125514529.8763715</v>
      </c>
      <c r="O634" s="47">
        <f t="shared" si="865"/>
        <v>1494175166.9488521</v>
      </c>
    </row>
    <row r="635" spans="1:25" s="11" customFormat="1" x14ac:dyDescent="0.25">
      <c r="A635" s="82"/>
      <c r="B635" s="108" t="s">
        <v>204</v>
      </c>
      <c r="C635" s="109">
        <f>$O634*(3/12)/12</f>
        <v>31128649.311434418</v>
      </c>
      <c r="D635" s="109">
        <f t="shared" ref="D635" si="873">$O634*(3/12)/12</f>
        <v>31128649.311434418</v>
      </c>
      <c r="E635" s="109">
        <f t="shared" ref="E635" si="874">$O634*(3/12)/12</f>
        <v>31128649.311434418</v>
      </c>
      <c r="F635" s="109">
        <f t="shared" ref="F635" si="875">$O634*(3/12)/12</f>
        <v>31128649.311434418</v>
      </c>
      <c r="G635" s="109">
        <f t="shared" ref="G635" si="876">$O634*(3/12)/12</f>
        <v>31128649.311434418</v>
      </c>
      <c r="H635" s="109">
        <f t="shared" ref="H635" si="877">$O634*(3/12)/12</f>
        <v>31128649.311434418</v>
      </c>
      <c r="I635" s="109">
        <f t="shared" ref="I635" si="878">$O634*(3/12)/12</f>
        <v>31128649.311434418</v>
      </c>
      <c r="J635" s="109">
        <f t="shared" ref="J635" si="879">$O634*(3/12)/12</f>
        <v>31128649.311434418</v>
      </c>
      <c r="K635" s="109">
        <f t="shared" ref="K635" si="880">$O634*(3/12)/12</f>
        <v>31128649.311434418</v>
      </c>
      <c r="L635" s="109">
        <f t="shared" ref="L635" si="881">$O634*(3/12)/12</f>
        <v>31128649.311434418</v>
      </c>
      <c r="M635" s="109">
        <f t="shared" ref="M635" si="882">$O634*(3/12)/12</f>
        <v>31128649.311434418</v>
      </c>
      <c r="N635" s="109">
        <f>$O634*(3/12)/12</f>
        <v>31128649.311434418</v>
      </c>
      <c r="O635" s="109">
        <f t="shared" ref="O635:O637" si="883">SUM(C635:N635)</f>
        <v>373543791.7372129</v>
      </c>
      <c r="P635" s="43"/>
      <c r="Q635" s="43"/>
      <c r="R635" s="40"/>
      <c r="S635" s="40"/>
      <c r="T635" s="40"/>
      <c r="U635" s="40"/>
      <c r="V635" s="40"/>
      <c r="W635" s="40"/>
      <c r="X635" s="40"/>
      <c r="Y635" s="40"/>
    </row>
    <row r="636" spans="1:25" s="11" customFormat="1" x14ac:dyDescent="0.25">
      <c r="A636" s="82"/>
      <c r="B636" s="108" t="s">
        <v>386</v>
      </c>
      <c r="C636" s="109">
        <f>C604*(1+$K$192)</f>
        <v>9476723.4256029855</v>
      </c>
      <c r="D636" s="109">
        <v>0</v>
      </c>
      <c r="E636" s="109">
        <v>0</v>
      </c>
      <c r="F636" s="109">
        <v>0</v>
      </c>
      <c r="G636" s="109">
        <v>0</v>
      </c>
      <c r="H636" s="109">
        <v>0</v>
      </c>
      <c r="I636" s="109">
        <v>0</v>
      </c>
      <c r="J636" s="109">
        <v>0</v>
      </c>
      <c r="K636" s="109">
        <v>0</v>
      </c>
      <c r="L636" s="109">
        <v>0</v>
      </c>
      <c r="M636" s="109">
        <v>0</v>
      </c>
      <c r="N636" s="109">
        <v>0</v>
      </c>
      <c r="O636" s="109">
        <f t="shared" si="883"/>
        <v>9476723.4256029855</v>
      </c>
      <c r="P636" s="43"/>
      <c r="Q636" s="43"/>
      <c r="R636" s="40"/>
      <c r="S636" s="40"/>
      <c r="T636" s="40"/>
      <c r="U636" s="40"/>
      <c r="V636" s="40"/>
      <c r="W636" s="40"/>
      <c r="X636" s="40"/>
      <c r="Y636" s="40"/>
    </row>
    <row r="637" spans="1:25" s="11" customFormat="1" x14ac:dyDescent="0.25">
      <c r="A637" s="82"/>
      <c r="B637" s="60" t="s">
        <v>206</v>
      </c>
      <c r="C637" s="61">
        <f>C618-C634-C635-C636</f>
        <v>-94532727.664051026</v>
      </c>
      <c r="D637" s="61">
        <f t="shared" ref="D637" si="884">D618-D634-D635-D636</f>
        <v>-82749068.745881096</v>
      </c>
      <c r="E637" s="61">
        <f t="shared" ref="E637" si="885">E618-E634-E635-E636</f>
        <v>-86152511.429622725</v>
      </c>
      <c r="F637" s="61">
        <f t="shared" ref="F637" si="886">F618-F634-F635-F636</f>
        <v>-80898244.52083391</v>
      </c>
      <c r="G637" s="61">
        <f t="shared" ref="G637" si="887">G618-G634-G635-G636</f>
        <v>-102536561.11871502</v>
      </c>
      <c r="H637" s="61">
        <f t="shared" ref="H637" si="888">H618-H634-H635-H636</f>
        <v>-86645326.471587464</v>
      </c>
      <c r="I637" s="61">
        <f t="shared" ref="I637" si="889">I618-I634-I635-I636</f>
        <v>-92191786.018368915</v>
      </c>
      <c r="J637" s="61">
        <f t="shared" ref="J637" si="890">J618-J634-J635-J636</f>
        <v>-90931869.22435011</v>
      </c>
      <c r="K637" s="61">
        <f t="shared" ref="K637" si="891">K618-K634-K635-K636</f>
        <v>-95992961.580416188</v>
      </c>
      <c r="L637" s="61">
        <f t="shared" ref="L637" si="892">L618-L634-L635-L636</f>
        <v>-87620004.097077951</v>
      </c>
      <c r="M637" s="61">
        <f t="shared" ref="M637" si="893">M618-M634-M635-M636</f>
        <v>-92283530.809583113</v>
      </c>
      <c r="N637" s="61">
        <f t="shared" ref="N637" si="894">N618-N634-N635-N636</f>
        <v>-90459732.711135507</v>
      </c>
      <c r="O637" s="47">
        <f t="shared" si="883"/>
        <v>-1082994324.391623</v>
      </c>
      <c r="P637" s="43"/>
      <c r="Q637" s="43"/>
      <c r="R637" s="40"/>
      <c r="S637" s="40"/>
      <c r="T637" s="40"/>
      <c r="U637" s="40"/>
      <c r="V637" s="40"/>
      <c r="W637" s="40"/>
      <c r="X637" s="40"/>
      <c r="Y637" s="40"/>
    </row>
    <row r="638" spans="1:25" x14ac:dyDescent="0.25">
      <c r="A638" s="85"/>
      <c r="B638" s="40"/>
      <c r="C638" s="40"/>
      <c r="D638" s="40"/>
      <c r="E638" s="40"/>
      <c r="F638" s="40"/>
      <c r="G638" s="40"/>
      <c r="H638" s="40"/>
      <c r="I638" s="40"/>
      <c r="J638" s="40"/>
      <c r="K638" s="40"/>
      <c r="L638" s="353" t="s">
        <v>217</v>
      </c>
      <c r="M638" s="354"/>
      <c r="N638" s="350">
        <f>SUM(C637:N637)+N606</f>
        <v>11413101715.080755</v>
      </c>
      <c r="O638" s="40"/>
    </row>
    <row r="639" spans="1:25" x14ac:dyDescent="0.25">
      <c r="A639" s="85"/>
      <c r="B639" s="40"/>
      <c r="C639" s="40"/>
      <c r="D639" s="40"/>
      <c r="E639" s="40"/>
      <c r="F639" s="40"/>
      <c r="G639" s="40"/>
      <c r="H639" s="40"/>
      <c r="I639" s="40"/>
      <c r="J639" s="40"/>
      <c r="K639" s="40"/>
      <c r="L639" s="320"/>
      <c r="M639" s="355"/>
      <c r="N639" s="351"/>
      <c r="O639" s="40"/>
    </row>
    <row r="640" spans="1:25" x14ac:dyDescent="0.25">
      <c r="A640" s="85"/>
      <c r="B640" s="319" t="s">
        <v>632</v>
      </c>
      <c r="C640" s="352" t="s">
        <v>173</v>
      </c>
      <c r="D640" s="352"/>
      <c r="E640" s="352"/>
      <c r="F640" s="352"/>
      <c r="G640" s="352"/>
      <c r="H640" s="352"/>
      <c r="I640" s="40"/>
      <c r="J640" s="358" t="s">
        <v>231</v>
      </c>
      <c r="K640" s="359">
        <v>0.04</v>
      </c>
      <c r="L640" s="40"/>
      <c r="M640" s="40"/>
      <c r="N640" s="40"/>
      <c r="O640" s="361"/>
    </row>
    <row r="641" spans="1:15" x14ac:dyDescent="0.25">
      <c r="A641" s="85"/>
      <c r="B641" s="319"/>
      <c r="C641" s="352"/>
      <c r="D641" s="352"/>
      <c r="E641" s="352"/>
      <c r="F641" s="352"/>
      <c r="G641" s="352"/>
      <c r="H641" s="352"/>
      <c r="I641" s="40"/>
      <c r="J641" s="358"/>
      <c r="K641" s="360"/>
      <c r="L641" s="40"/>
      <c r="M641" s="40"/>
      <c r="N641" s="40"/>
      <c r="O641" s="362"/>
    </row>
    <row r="642" spans="1:15" x14ac:dyDescent="0.25">
      <c r="A642" s="85"/>
      <c r="B642" s="319"/>
      <c r="C642" s="352"/>
      <c r="D642" s="352"/>
      <c r="E642" s="352"/>
      <c r="F642" s="352"/>
      <c r="G642" s="352"/>
      <c r="H642" s="352"/>
      <c r="I642" s="40"/>
      <c r="J642" s="40"/>
      <c r="K642" s="40"/>
      <c r="L642" s="40"/>
      <c r="M642" s="40"/>
      <c r="N642" s="40"/>
      <c r="O642" s="40"/>
    </row>
    <row r="645" spans="1:15" ht="24.6" x14ac:dyDescent="0.25">
      <c r="A645" s="96"/>
      <c r="B645" s="348" t="s">
        <v>298</v>
      </c>
      <c r="C645" s="348"/>
      <c r="D645" s="348"/>
      <c r="E645" s="348"/>
      <c r="F645" s="348"/>
      <c r="G645" s="348"/>
      <c r="H645" s="348"/>
      <c r="I645" s="348"/>
      <c r="J645" s="348"/>
      <c r="K645" s="348"/>
      <c r="L645" s="348"/>
      <c r="M645" s="348"/>
      <c r="N645" s="348"/>
      <c r="O645" s="348"/>
    </row>
    <row r="646" spans="1:15" ht="24.6" x14ac:dyDescent="0.25">
      <c r="A646" s="96"/>
      <c r="B646" s="349"/>
      <c r="C646" s="349"/>
      <c r="D646" s="349"/>
      <c r="E646" s="349"/>
      <c r="F646" s="349"/>
      <c r="G646" s="349"/>
      <c r="H646" s="349"/>
      <c r="I646" s="349"/>
      <c r="J646" s="349"/>
      <c r="K646" s="349"/>
      <c r="L646" s="349"/>
      <c r="M646" s="349"/>
      <c r="N646" s="349"/>
      <c r="O646" s="349"/>
    </row>
    <row r="647" spans="1:15" x14ac:dyDescent="0.25">
      <c r="A647" s="82"/>
      <c r="B647" s="41"/>
      <c r="C647" s="42" t="s">
        <v>66</v>
      </c>
      <c r="D647" s="42" t="s">
        <v>67</v>
      </c>
      <c r="E647" s="42" t="s">
        <v>68</v>
      </c>
      <c r="F647" s="42" t="s">
        <v>69</v>
      </c>
      <c r="G647" s="42" t="s">
        <v>70</v>
      </c>
      <c r="H647" s="42" t="s">
        <v>71</v>
      </c>
      <c r="I647" s="42" t="s">
        <v>72</v>
      </c>
      <c r="J647" s="42" t="s">
        <v>73</v>
      </c>
      <c r="K647" s="42" t="s">
        <v>74</v>
      </c>
      <c r="L647" s="42" t="s">
        <v>75</v>
      </c>
      <c r="M647" s="42" t="s">
        <v>76</v>
      </c>
      <c r="N647" s="42" t="s">
        <v>77</v>
      </c>
      <c r="O647" s="42" t="s">
        <v>236</v>
      </c>
    </row>
    <row r="648" spans="1:15" x14ac:dyDescent="0.25">
      <c r="A648" s="82"/>
      <c r="B648" s="44" t="s">
        <v>381</v>
      </c>
      <c r="C648" s="45">
        <f>'11.My pension value'!$D$18/12</f>
        <v>35611893.330636717</v>
      </c>
      <c r="D648" s="45">
        <f>'11.My pension value'!$D$18/12</f>
        <v>35611893.330636717</v>
      </c>
      <c r="E648" s="45">
        <f>'11.My pension value'!$D$18/12</f>
        <v>35611893.330636717</v>
      </c>
      <c r="F648" s="45">
        <f>'11.My pension value'!$D$18/12</f>
        <v>35611893.330636717</v>
      </c>
      <c r="G648" s="45">
        <f>'11.My pension value'!$D$18/12</f>
        <v>35611893.330636717</v>
      </c>
      <c r="H648" s="45">
        <f>'11.My pension value'!$D$18/12</f>
        <v>35611893.330636717</v>
      </c>
      <c r="I648" s="45">
        <f>'11.My pension value'!$D$18/12</f>
        <v>35611893.330636717</v>
      </c>
      <c r="J648" s="45">
        <f>'11.My pension value'!$D$18/12</f>
        <v>35611893.330636717</v>
      </c>
      <c r="K648" s="45">
        <f>'11.My pension value'!$D$18/12</f>
        <v>35611893.330636717</v>
      </c>
      <c r="L648" s="45">
        <f>'11.My pension value'!$D$18/12</f>
        <v>35611893.330636717</v>
      </c>
      <c r="M648" s="45">
        <f>'11.My pension value'!$D$18/12</f>
        <v>35611893.330636717</v>
      </c>
      <c r="N648" s="45">
        <f>'11.My pension value'!$D$18/12</f>
        <v>35611893.330636717</v>
      </c>
      <c r="O648" s="45" t="s">
        <v>173</v>
      </c>
    </row>
    <row r="649" spans="1:15" x14ac:dyDescent="0.25">
      <c r="A649" s="82"/>
      <c r="B649" s="44" t="s">
        <v>382</v>
      </c>
      <c r="C649" s="45">
        <f>'10.2. Wife''s retirement salary'!$O$10</f>
        <v>30571553.146033701</v>
      </c>
      <c r="D649" s="45">
        <f>'10.2. Wife''s retirement salary'!$O$10</f>
        <v>30571553.146033701</v>
      </c>
      <c r="E649" s="45">
        <f>'10.2. Wife''s retirement salary'!$O$10</f>
        <v>30571553.146033701</v>
      </c>
      <c r="F649" s="45">
        <f>'10.2. Wife''s retirement salary'!$O$10</f>
        <v>30571553.146033701</v>
      </c>
      <c r="G649" s="45">
        <f>'10.2. Wife''s retirement salary'!$O$10</f>
        <v>30571553.146033701</v>
      </c>
      <c r="H649" s="45">
        <f>'10.2. Wife''s retirement salary'!$O$10</f>
        <v>30571553.146033701</v>
      </c>
      <c r="I649" s="45">
        <f>'10.2. Wife''s retirement salary'!$O$10</f>
        <v>30571553.146033701</v>
      </c>
      <c r="J649" s="45">
        <f>'10.2. Wife''s retirement salary'!$O$10</f>
        <v>30571553.146033701</v>
      </c>
      <c r="K649" s="45">
        <f>'10.2. Wife''s retirement salary'!$O$10</f>
        <v>30571553.146033701</v>
      </c>
      <c r="L649" s="45">
        <f>'10.2. Wife''s retirement salary'!$O$10</f>
        <v>30571553.146033701</v>
      </c>
      <c r="M649" s="45">
        <f>'10.2. Wife''s retirement salary'!$O$10</f>
        <v>30571553.146033701</v>
      </c>
      <c r="N649" s="45">
        <f>'10.2. Wife''s retirement salary'!$O$10</f>
        <v>30571553.146033701</v>
      </c>
      <c r="O649" s="45" t="s">
        <v>173</v>
      </c>
    </row>
    <row r="650" spans="1:15" x14ac:dyDescent="0.25">
      <c r="A650" s="82"/>
      <c r="B650" s="46" t="s">
        <v>209</v>
      </c>
      <c r="C650" s="47">
        <f>SUM(C648:C649)</f>
        <v>66183446.476670414</v>
      </c>
      <c r="D650" s="47">
        <f t="shared" ref="D650:J650" si="895">SUM(D648:D649)</f>
        <v>66183446.476670414</v>
      </c>
      <c r="E650" s="47">
        <f t="shared" si="895"/>
        <v>66183446.476670414</v>
      </c>
      <c r="F650" s="47">
        <f t="shared" si="895"/>
        <v>66183446.476670414</v>
      </c>
      <c r="G650" s="47">
        <f t="shared" si="895"/>
        <v>66183446.476670414</v>
      </c>
      <c r="H650" s="47">
        <f t="shared" si="895"/>
        <v>66183446.476670414</v>
      </c>
      <c r="I650" s="47">
        <f t="shared" si="895"/>
        <v>66183446.476670414</v>
      </c>
      <c r="J650" s="47">
        <f t="shared" si="895"/>
        <v>66183446.476670414</v>
      </c>
      <c r="K650" s="47">
        <f>SUM(K648:K649)</f>
        <v>66183446.476670414</v>
      </c>
      <c r="L650" s="47">
        <f t="shared" ref="L650:N650" si="896">SUM(L648:L649)</f>
        <v>66183446.476670414</v>
      </c>
      <c r="M650" s="47">
        <f t="shared" si="896"/>
        <v>66183446.476670414</v>
      </c>
      <c r="N650" s="47">
        <f t="shared" si="896"/>
        <v>66183446.476670414</v>
      </c>
      <c r="O650" s="47">
        <f>SUM(C650:N650)</f>
        <v>794201357.72004473</v>
      </c>
    </row>
    <row r="651" spans="1:15" x14ac:dyDescent="0.25">
      <c r="A651" s="82"/>
      <c r="B651" s="52" t="s">
        <v>78</v>
      </c>
      <c r="C651" s="53" t="s">
        <v>173</v>
      </c>
      <c r="D651" s="53" t="s">
        <v>173</v>
      </c>
      <c r="E651" s="53" t="s">
        <v>173</v>
      </c>
      <c r="F651" s="53" t="s">
        <v>173</v>
      </c>
      <c r="G651" s="53" t="s">
        <v>173</v>
      </c>
      <c r="H651" s="53" t="s">
        <v>173</v>
      </c>
      <c r="I651" s="53" t="s">
        <v>173</v>
      </c>
      <c r="J651" s="53" t="s">
        <v>173</v>
      </c>
      <c r="K651" s="53" t="s">
        <v>173</v>
      </c>
      <c r="L651" s="53" t="s">
        <v>173</v>
      </c>
      <c r="M651" s="53" t="s">
        <v>173</v>
      </c>
      <c r="N651" s="53" t="s">
        <v>173</v>
      </c>
      <c r="O651" s="91" t="s">
        <v>173</v>
      </c>
    </row>
    <row r="652" spans="1:15" x14ac:dyDescent="0.25">
      <c r="A652" s="82"/>
      <c r="B652" s="48" t="s">
        <v>79</v>
      </c>
      <c r="C652" s="54" t="s">
        <v>173</v>
      </c>
      <c r="D652" s="54" t="s">
        <v>173</v>
      </c>
      <c r="E652" s="54" t="s">
        <v>173</v>
      </c>
      <c r="F652" s="54" t="s">
        <v>173</v>
      </c>
      <c r="G652" s="54" t="s">
        <v>173</v>
      </c>
      <c r="H652" s="54" t="s">
        <v>173</v>
      </c>
      <c r="I652" s="54" t="s">
        <v>173</v>
      </c>
      <c r="J652" s="54" t="s">
        <v>173</v>
      </c>
      <c r="K652" s="54" t="s">
        <v>173</v>
      </c>
      <c r="L652" s="54" t="s">
        <v>173</v>
      </c>
      <c r="M652" s="54" t="s">
        <v>173</v>
      </c>
      <c r="N652" s="54" t="s">
        <v>173</v>
      </c>
      <c r="O652" s="91" t="s">
        <v>173</v>
      </c>
    </row>
    <row r="653" spans="1:15" x14ac:dyDescent="0.25">
      <c r="A653" s="83"/>
      <c r="B653" s="49" t="s">
        <v>195</v>
      </c>
      <c r="C653" s="50">
        <f>C621*(1+$K$62)</f>
        <v>1186973.2507346668</v>
      </c>
      <c r="D653" s="50">
        <v>0</v>
      </c>
      <c r="E653" s="50">
        <v>0</v>
      </c>
      <c r="F653" s="50">
        <v>0</v>
      </c>
      <c r="G653" s="50">
        <v>0</v>
      </c>
      <c r="H653" s="50">
        <v>0</v>
      </c>
      <c r="I653" s="50">
        <v>0</v>
      </c>
      <c r="J653" s="50">
        <v>0</v>
      </c>
      <c r="K653" s="50">
        <v>0</v>
      </c>
      <c r="L653" s="50">
        <v>0</v>
      </c>
      <c r="M653" s="50">
        <v>0</v>
      </c>
      <c r="N653" s="50">
        <v>0</v>
      </c>
      <c r="O653" s="90">
        <f t="shared" ref="O653:O656" si="897">SUM(C653:N653)</f>
        <v>1186973.2507346668</v>
      </c>
    </row>
    <row r="654" spans="1:15" x14ac:dyDescent="0.25">
      <c r="A654" s="82"/>
      <c r="B654" s="51" t="s">
        <v>178</v>
      </c>
      <c r="C654" s="50">
        <f>C622*(1+$K$62)</f>
        <v>8992221.5964747518</v>
      </c>
      <c r="D654" s="50">
        <f t="shared" ref="D654:N654" si="898">D622*(1+$K$62)</f>
        <v>8992221.5964747518</v>
      </c>
      <c r="E654" s="50">
        <f t="shared" si="898"/>
        <v>8992221.5964747518</v>
      </c>
      <c r="F654" s="50">
        <f t="shared" si="898"/>
        <v>8992221.5964747518</v>
      </c>
      <c r="G654" s="50">
        <f t="shared" si="898"/>
        <v>8992221.5964747518</v>
      </c>
      <c r="H654" s="50">
        <f t="shared" si="898"/>
        <v>8992221.5964747518</v>
      </c>
      <c r="I654" s="50">
        <f t="shared" si="898"/>
        <v>8992221.5964747518</v>
      </c>
      <c r="J654" s="50">
        <f t="shared" si="898"/>
        <v>8992221.5964747518</v>
      </c>
      <c r="K654" s="50">
        <f t="shared" si="898"/>
        <v>8992221.5964747518</v>
      </c>
      <c r="L654" s="50">
        <f t="shared" si="898"/>
        <v>8992221.5964747518</v>
      </c>
      <c r="M654" s="50">
        <f t="shared" si="898"/>
        <v>8992221.5964747518</v>
      </c>
      <c r="N654" s="50">
        <f t="shared" si="898"/>
        <v>8992221.5964747518</v>
      </c>
      <c r="O654" s="90">
        <f t="shared" si="897"/>
        <v>107906659.15769702</v>
      </c>
    </row>
    <row r="655" spans="1:15" x14ac:dyDescent="0.25">
      <c r="A655" s="84"/>
      <c r="B655" s="51" t="s">
        <v>248</v>
      </c>
      <c r="C655" s="50">
        <f>C623*(1+$K$62)</f>
        <v>1079066.5915769702</v>
      </c>
      <c r="D655" s="50">
        <f t="shared" ref="D655:N655" si="899">D623*(1+$K$62)</f>
        <v>1079066.5915769702</v>
      </c>
      <c r="E655" s="50">
        <f t="shared" si="899"/>
        <v>1079066.5915769702</v>
      </c>
      <c r="F655" s="50">
        <f t="shared" si="899"/>
        <v>1079066.5915769702</v>
      </c>
      <c r="G655" s="50">
        <f t="shared" si="899"/>
        <v>1079066.5915769702</v>
      </c>
      <c r="H655" s="50">
        <f t="shared" si="899"/>
        <v>1079066.5915769702</v>
      </c>
      <c r="I655" s="50">
        <f t="shared" si="899"/>
        <v>1079066.5915769702</v>
      </c>
      <c r="J655" s="50">
        <f t="shared" si="899"/>
        <v>1079066.5915769702</v>
      </c>
      <c r="K655" s="50">
        <f t="shared" si="899"/>
        <v>1079066.5915769702</v>
      </c>
      <c r="L655" s="50">
        <f t="shared" si="899"/>
        <v>1079066.5915769702</v>
      </c>
      <c r="M655" s="50">
        <f t="shared" si="899"/>
        <v>1079066.5915769702</v>
      </c>
      <c r="N655" s="50">
        <f t="shared" si="899"/>
        <v>1079066.5915769702</v>
      </c>
      <c r="O655" s="90">
        <f t="shared" si="897"/>
        <v>12948799.098923646</v>
      </c>
    </row>
    <row r="656" spans="1:15" x14ac:dyDescent="0.25">
      <c r="A656" s="82"/>
      <c r="B656" s="46" t="s">
        <v>207</v>
      </c>
      <c r="C656" s="47">
        <f t="shared" ref="C656" si="900">SUM(C653:C655)</f>
        <v>11258261.438786387</v>
      </c>
      <c r="D656" s="47">
        <f t="shared" ref="D656" si="901">SUM(D653:D655)</f>
        <v>10071288.188051723</v>
      </c>
      <c r="E656" s="47">
        <f t="shared" ref="E656" si="902">SUM(E653:E655)</f>
        <v>10071288.188051723</v>
      </c>
      <c r="F656" s="47">
        <f t="shared" ref="F656" si="903">SUM(F653:F655)</f>
        <v>10071288.188051723</v>
      </c>
      <c r="G656" s="47">
        <f t="shared" ref="G656" si="904">SUM(G653:G655)</f>
        <v>10071288.188051723</v>
      </c>
      <c r="H656" s="47">
        <f t="shared" ref="H656" si="905">SUM(H653:H655)</f>
        <v>10071288.188051723</v>
      </c>
      <c r="I656" s="47">
        <f t="shared" ref="I656" si="906">SUM(I653:I655)</f>
        <v>10071288.188051723</v>
      </c>
      <c r="J656" s="47">
        <f t="shared" ref="J656" si="907">SUM(J653:J655)</f>
        <v>10071288.188051723</v>
      </c>
      <c r="K656" s="47">
        <f t="shared" ref="K656" si="908">SUM(K653:K655)</f>
        <v>10071288.188051723</v>
      </c>
      <c r="L656" s="47">
        <f t="shared" ref="L656" si="909">SUM(L653:L655)</f>
        <v>10071288.188051723</v>
      </c>
      <c r="M656" s="47">
        <f t="shared" ref="M656" si="910">SUM(M653:M655)</f>
        <v>10071288.188051723</v>
      </c>
      <c r="N656" s="47">
        <f t="shared" ref="N656" si="911">SUM(N653:N655)</f>
        <v>10071288.188051723</v>
      </c>
      <c r="O656" s="47">
        <f t="shared" si="897"/>
        <v>122042431.50735536</v>
      </c>
    </row>
    <row r="657" spans="1:25" x14ac:dyDescent="0.25">
      <c r="A657" s="82"/>
      <c r="B657" s="55" t="s">
        <v>83</v>
      </c>
      <c r="C657" s="59" t="s">
        <v>173</v>
      </c>
      <c r="D657" s="59" t="s">
        <v>173</v>
      </c>
      <c r="E657" s="59" t="s">
        <v>173</v>
      </c>
      <c r="F657" s="59" t="s">
        <v>173</v>
      </c>
      <c r="G657" s="59" t="s">
        <v>173</v>
      </c>
      <c r="H657" s="59" t="s">
        <v>173</v>
      </c>
      <c r="I657" s="59" t="s">
        <v>173</v>
      </c>
      <c r="J657" s="59" t="s">
        <v>173</v>
      </c>
      <c r="K657" s="59" t="s">
        <v>173</v>
      </c>
      <c r="L657" s="59" t="s">
        <v>173</v>
      </c>
      <c r="M657" s="59" t="s">
        <v>173</v>
      </c>
      <c r="N657" s="59" t="s">
        <v>173</v>
      </c>
      <c r="O657" s="91" t="s">
        <v>173</v>
      </c>
    </row>
    <row r="658" spans="1:25" x14ac:dyDescent="0.25">
      <c r="A658" s="82"/>
      <c r="B658" s="57" t="s">
        <v>210</v>
      </c>
      <c r="C658" s="89">
        <f t="shared" ref="C658:N658" si="912">C626*(1+$K$95)</f>
        <v>5952850.6968662851</v>
      </c>
      <c r="D658" s="89">
        <f t="shared" si="912"/>
        <v>7175792.8339868514</v>
      </c>
      <c r="E658" s="89">
        <f t="shared" si="912"/>
        <v>6618275.0950054135</v>
      </c>
      <c r="F658" s="89">
        <f t="shared" si="912"/>
        <v>6186648.4583746325</v>
      </c>
      <c r="G658" s="89">
        <f t="shared" si="912"/>
        <v>5683084.0489720413</v>
      </c>
      <c r="H658" s="89">
        <f t="shared" si="912"/>
        <v>7121839.5044080047</v>
      </c>
      <c r="I658" s="89">
        <f t="shared" si="912"/>
        <v>8308812.7551426692</v>
      </c>
      <c r="J658" s="89">
        <f t="shared" si="912"/>
        <v>7967108.3344766293</v>
      </c>
      <c r="K658" s="89">
        <f t="shared" si="912"/>
        <v>6150679.5719887288</v>
      </c>
      <c r="L658" s="89">
        <f t="shared" si="912"/>
        <v>6312539.5607252754</v>
      </c>
      <c r="M658" s="89">
        <f t="shared" si="912"/>
        <v>6006804.0264451345</v>
      </c>
      <c r="N658" s="89">
        <f t="shared" si="912"/>
        <v>6492383.9926547688</v>
      </c>
      <c r="O658" s="92">
        <f t="shared" ref="O658:O666" si="913">SUM(C658:N658)</f>
        <v>79976818.87904644</v>
      </c>
    </row>
    <row r="659" spans="1:25" x14ac:dyDescent="0.25">
      <c r="A659" s="82"/>
      <c r="B659" s="57" t="s">
        <v>203</v>
      </c>
      <c r="C659" s="89">
        <f t="shared" ref="C659:N659" si="914">C627*(1+$K$95)</f>
        <v>21491409.61557465</v>
      </c>
      <c r="D659" s="89">
        <f t="shared" si="914"/>
        <v>23145978.389326017</v>
      </c>
      <c r="E659" s="89">
        <f t="shared" si="914"/>
        <v>25951551.527426135</v>
      </c>
      <c r="F659" s="89">
        <f t="shared" si="914"/>
        <v>19674980.853086766</v>
      </c>
      <c r="G659" s="89">
        <f t="shared" si="914"/>
        <v>26185349.288934488</v>
      </c>
      <c r="H659" s="89">
        <f t="shared" si="914"/>
        <v>24674656.06072671</v>
      </c>
      <c r="I659" s="89">
        <f t="shared" si="914"/>
        <v>22642413.979923435</v>
      </c>
      <c r="J659" s="89">
        <f t="shared" si="914"/>
        <v>26922711.459845413</v>
      </c>
      <c r="K659" s="89">
        <f t="shared" si="914"/>
        <v>26311240.391285114</v>
      </c>
      <c r="L659" s="89">
        <f t="shared" si="914"/>
        <v>26311240.391285114</v>
      </c>
      <c r="M659" s="89">
        <f t="shared" si="914"/>
        <v>20448311.910383601</v>
      </c>
      <c r="N659" s="89">
        <f t="shared" si="914"/>
        <v>25214189.356515203</v>
      </c>
      <c r="O659" s="92">
        <f t="shared" si="913"/>
        <v>288974033.22431266</v>
      </c>
    </row>
    <row r="660" spans="1:25" x14ac:dyDescent="0.25">
      <c r="A660" s="82"/>
      <c r="B660" s="58" t="s">
        <v>84</v>
      </c>
      <c r="C660" s="89">
        <f t="shared" ref="C660:N660" si="915">C628*(1+$K$95)</f>
        <v>19009556.454947613</v>
      </c>
      <c r="D660" s="89">
        <f t="shared" si="915"/>
        <v>20754047.444663722</v>
      </c>
      <c r="E660" s="89">
        <f t="shared" si="915"/>
        <v>20825985.217435516</v>
      </c>
      <c r="F660" s="89">
        <f t="shared" si="915"/>
        <v>21509394.058767613</v>
      </c>
      <c r="G660" s="89">
        <f t="shared" si="915"/>
        <v>25447987.118023545</v>
      </c>
      <c r="H660" s="89">
        <f t="shared" si="915"/>
        <v>22012958.468170188</v>
      </c>
      <c r="I660" s="89">
        <f t="shared" si="915"/>
        <v>22858227.298238833</v>
      </c>
      <c r="J660" s="89">
        <f t="shared" si="915"/>
        <v>26311240.391285114</v>
      </c>
      <c r="K660" s="89">
        <f t="shared" si="915"/>
        <v>24081169.435359385</v>
      </c>
      <c r="L660" s="89">
        <f t="shared" si="915"/>
        <v>24045200.548973486</v>
      </c>
      <c r="M660" s="89">
        <f t="shared" si="915"/>
        <v>25735738.209110733</v>
      </c>
      <c r="N660" s="89">
        <f t="shared" si="915"/>
        <v>20664125.228698976</v>
      </c>
      <c r="O660" s="92">
        <f t="shared" si="913"/>
        <v>273255629.87367475</v>
      </c>
    </row>
    <row r="661" spans="1:25" x14ac:dyDescent="0.25">
      <c r="A661" s="82"/>
      <c r="B661" s="57" t="s">
        <v>85</v>
      </c>
      <c r="C661" s="89">
        <f t="shared" ref="C661:N661" si="916">C629*(1+$K$95)</f>
        <v>22084896.240942001</v>
      </c>
      <c r="D661" s="89">
        <f t="shared" si="916"/>
        <v>18901649.795789935</v>
      </c>
      <c r="E661" s="89">
        <f t="shared" si="916"/>
        <v>19567074.19392905</v>
      </c>
      <c r="F661" s="89">
        <f t="shared" si="916"/>
        <v>19872809.728209194</v>
      </c>
      <c r="G661" s="89">
        <f t="shared" si="916"/>
        <v>26724882.584722955</v>
      </c>
      <c r="H661" s="89">
        <f t="shared" si="916"/>
        <v>19621027.523507912</v>
      </c>
      <c r="I661" s="89">
        <f t="shared" si="916"/>
        <v>22768305.082274068</v>
      </c>
      <c r="J661" s="89">
        <f t="shared" si="916"/>
        <v>18020412.079335403</v>
      </c>
      <c r="K661" s="89">
        <f t="shared" si="916"/>
        <v>23433729.480413213</v>
      </c>
      <c r="L661" s="89">
        <f t="shared" si="916"/>
        <v>18613898.704702731</v>
      </c>
      <c r="M661" s="89">
        <f t="shared" si="916"/>
        <v>23703496.128307447</v>
      </c>
      <c r="N661" s="89">
        <f t="shared" si="916"/>
        <v>22570476.207151618</v>
      </c>
      <c r="O661" s="92">
        <f t="shared" si="913"/>
        <v>255882657.74928555</v>
      </c>
    </row>
    <row r="662" spans="1:25" x14ac:dyDescent="0.25">
      <c r="A662" s="84"/>
      <c r="B662" s="58" t="s">
        <v>249</v>
      </c>
      <c r="C662" s="89">
        <v>10000000</v>
      </c>
      <c r="D662" s="89">
        <v>10000000</v>
      </c>
      <c r="E662" s="89">
        <v>10000000</v>
      </c>
      <c r="F662" s="89">
        <v>10000000</v>
      </c>
      <c r="G662" s="89">
        <v>10000000</v>
      </c>
      <c r="H662" s="89">
        <v>10000000</v>
      </c>
      <c r="I662" s="89">
        <v>10000000</v>
      </c>
      <c r="J662" s="89">
        <v>10000000</v>
      </c>
      <c r="K662" s="89">
        <v>10000000</v>
      </c>
      <c r="L662" s="89">
        <v>10000000</v>
      </c>
      <c r="M662" s="89">
        <v>10000000</v>
      </c>
      <c r="N662" s="89">
        <v>10000000</v>
      </c>
      <c r="O662" s="92">
        <f t="shared" si="913"/>
        <v>120000000</v>
      </c>
    </row>
    <row r="663" spans="1:25" x14ac:dyDescent="0.25">
      <c r="A663" s="84"/>
      <c r="B663" s="58" t="s">
        <v>180</v>
      </c>
      <c r="C663" s="89">
        <f t="shared" ref="C663:N663" si="917">C631*(1+$K$95)</f>
        <v>18392214.709832318</v>
      </c>
      <c r="D663" s="89">
        <f t="shared" si="917"/>
        <v>15741219.592861386</v>
      </c>
      <c r="E663" s="89">
        <f t="shared" si="917"/>
        <v>16295382.413923096</v>
      </c>
      <c r="F663" s="89">
        <f t="shared" si="917"/>
        <v>16549997.764140643</v>
      </c>
      <c r="G663" s="89">
        <f t="shared" si="917"/>
        <v>22256377.083722163</v>
      </c>
      <c r="H663" s="89">
        <f t="shared" si="917"/>
        <v>16340314.534549735</v>
      </c>
      <c r="I663" s="89">
        <f t="shared" si="917"/>
        <v>18961354.904436249</v>
      </c>
      <c r="J663" s="89">
        <f t="shared" si="917"/>
        <v>15007328.289293148</v>
      </c>
      <c r="K663" s="89">
        <f t="shared" si="917"/>
        <v>19515517.725497983</v>
      </c>
      <c r="L663" s="89">
        <f t="shared" si="917"/>
        <v>15501581.616186043</v>
      </c>
      <c r="M663" s="89">
        <f t="shared" si="917"/>
        <v>19740178.328631103</v>
      </c>
      <c r="N663" s="89">
        <f t="shared" si="917"/>
        <v>18796603.795471948</v>
      </c>
      <c r="O663" s="92">
        <f t="shared" si="913"/>
        <v>213098070.75854582</v>
      </c>
    </row>
    <row r="664" spans="1:25" x14ac:dyDescent="0.25">
      <c r="A664" s="84"/>
      <c r="B664" s="58" t="s">
        <v>86</v>
      </c>
      <c r="C664" s="89">
        <f t="shared" ref="C664:N664" si="918">C632*(1+$K$95)</f>
        <v>16326044.302882133</v>
      </c>
      <c r="D664" s="89">
        <f t="shared" si="918"/>
        <v>16326044.302882133</v>
      </c>
      <c r="E664" s="89">
        <f t="shared" si="918"/>
        <v>16326044.302882133</v>
      </c>
      <c r="F664" s="89">
        <f t="shared" si="918"/>
        <v>16326044.302882133</v>
      </c>
      <c r="G664" s="89">
        <f t="shared" si="918"/>
        <v>16326044.302882133</v>
      </c>
      <c r="H664" s="89">
        <f t="shared" si="918"/>
        <v>16326044.302882133</v>
      </c>
      <c r="I664" s="89">
        <f t="shared" si="918"/>
        <v>16326044.302882133</v>
      </c>
      <c r="J664" s="89">
        <f t="shared" si="918"/>
        <v>16326044.302882133</v>
      </c>
      <c r="K664" s="89">
        <f t="shared" si="918"/>
        <v>16326044.302882133</v>
      </c>
      <c r="L664" s="89">
        <f t="shared" si="918"/>
        <v>16326044.302882133</v>
      </c>
      <c r="M664" s="89">
        <f t="shared" si="918"/>
        <v>16326044.302882133</v>
      </c>
      <c r="N664" s="89">
        <f t="shared" si="918"/>
        <v>16326044.302882133</v>
      </c>
      <c r="O664" s="92">
        <f t="shared" si="913"/>
        <v>195912531.63458559</v>
      </c>
    </row>
    <row r="665" spans="1:25" x14ac:dyDescent="0.25">
      <c r="A665" s="82"/>
      <c r="B665" s="46" t="s">
        <v>208</v>
      </c>
      <c r="C665" s="47">
        <f t="shared" ref="C665:N665" si="919">SUM(C658:C664)</f>
        <v>113256972.021045</v>
      </c>
      <c r="D665" s="47">
        <f t="shared" si="919"/>
        <v>112044732.35951003</v>
      </c>
      <c r="E665" s="47">
        <f t="shared" si="919"/>
        <v>115584312.75060135</v>
      </c>
      <c r="F665" s="47">
        <f t="shared" si="919"/>
        <v>110119875.16546097</v>
      </c>
      <c r="G665" s="47">
        <f t="shared" si="919"/>
        <v>132623724.42725731</v>
      </c>
      <c r="H665" s="47">
        <f t="shared" si="919"/>
        <v>116096840.39424467</v>
      </c>
      <c r="I665" s="47">
        <f t="shared" si="919"/>
        <v>121865158.32289739</v>
      </c>
      <c r="J665" s="47">
        <f t="shared" si="919"/>
        <v>120554844.85711783</v>
      </c>
      <c r="K665" s="47">
        <f t="shared" si="919"/>
        <v>125818380.90742657</v>
      </c>
      <c r="L665" s="47">
        <f t="shared" si="919"/>
        <v>117110505.12475479</v>
      </c>
      <c r="M665" s="47">
        <f t="shared" si="919"/>
        <v>121960572.90576015</v>
      </c>
      <c r="N665" s="47">
        <f t="shared" si="919"/>
        <v>120063822.88337465</v>
      </c>
      <c r="O665" s="47">
        <f t="shared" si="913"/>
        <v>1427099742.1194508</v>
      </c>
    </row>
    <row r="666" spans="1:25" x14ac:dyDescent="0.25">
      <c r="A666" s="82"/>
      <c r="B666" s="60" t="s">
        <v>87</v>
      </c>
      <c r="C666" s="47">
        <f t="shared" ref="C666:N666" si="920">C656+C665</f>
        <v>124515233.45983139</v>
      </c>
      <c r="D666" s="47">
        <f t="shared" si="920"/>
        <v>122116020.54756176</v>
      </c>
      <c r="E666" s="47">
        <f t="shared" si="920"/>
        <v>125655600.93865308</v>
      </c>
      <c r="F666" s="47">
        <f t="shared" si="920"/>
        <v>120191163.3535127</v>
      </c>
      <c r="G666" s="47">
        <f t="shared" si="920"/>
        <v>142695012.61530903</v>
      </c>
      <c r="H666" s="47">
        <f t="shared" si="920"/>
        <v>126168128.5822964</v>
      </c>
      <c r="I666" s="47">
        <f t="shared" si="920"/>
        <v>131936446.51094911</v>
      </c>
      <c r="J666" s="47">
        <f t="shared" si="920"/>
        <v>130626133.04516956</v>
      </c>
      <c r="K666" s="47">
        <f t="shared" si="920"/>
        <v>135889669.0954783</v>
      </c>
      <c r="L666" s="47">
        <f t="shared" si="920"/>
        <v>127181793.31280652</v>
      </c>
      <c r="M666" s="47">
        <f t="shared" si="920"/>
        <v>132031861.09381187</v>
      </c>
      <c r="N666" s="47">
        <f t="shared" si="920"/>
        <v>130135111.07142636</v>
      </c>
      <c r="O666" s="47">
        <f t="shared" si="913"/>
        <v>1549142173.6268063</v>
      </c>
    </row>
    <row r="667" spans="1:25" s="11" customFormat="1" x14ac:dyDescent="0.25">
      <c r="A667" s="82"/>
      <c r="B667" s="108" t="s">
        <v>204</v>
      </c>
      <c r="C667" s="109">
        <f>$O666*(3/12)/12</f>
        <v>32273795.283891797</v>
      </c>
      <c r="D667" s="109">
        <f t="shared" ref="D667" si="921">$O666*(3/12)/12</f>
        <v>32273795.283891797</v>
      </c>
      <c r="E667" s="109">
        <f t="shared" ref="E667" si="922">$O666*(3/12)/12</f>
        <v>32273795.283891797</v>
      </c>
      <c r="F667" s="109">
        <f t="shared" ref="F667" si="923">$O666*(3/12)/12</f>
        <v>32273795.283891797</v>
      </c>
      <c r="G667" s="109">
        <f t="shared" ref="G667" si="924">$O666*(3/12)/12</f>
        <v>32273795.283891797</v>
      </c>
      <c r="H667" s="109">
        <f t="shared" ref="H667" si="925">$O666*(3/12)/12</f>
        <v>32273795.283891797</v>
      </c>
      <c r="I667" s="109">
        <f t="shared" ref="I667" si="926">$O666*(3/12)/12</f>
        <v>32273795.283891797</v>
      </c>
      <c r="J667" s="109">
        <f t="shared" ref="J667" si="927">$O666*(3/12)/12</f>
        <v>32273795.283891797</v>
      </c>
      <c r="K667" s="109">
        <f t="shared" ref="K667" si="928">$O666*(3/12)/12</f>
        <v>32273795.283891797</v>
      </c>
      <c r="L667" s="109">
        <f t="shared" ref="L667" si="929">$O666*(3/12)/12</f>
        <v>32273795.283891797</v>
      </c>
      <c r="M667" s="109">
        <f t="shared" ref="M667" si="930">$O666*(3/12)/12</f>
        <v>32273795.283891797</v>
      </c>
      <c r="N667" s="109">
        <f>$O666*(3/12)/12</f>
        <v>32273795.283891797</v>
      </c>
      <c r="O667" s="109">
        <f t="shared" ref="O667:O669" si="931">SUM(C667:N667)</f>
        <v>387285543.40670156</v>
      </c>
      <c r="P667" s="43"/>
      <c r="Q667" s="43"/>
      <c r="R667" s="40"/>
      <c r="S667" s="40"/>
      <c r="T667" s="40"/>
      <c r="U667" s="40"/>
      <c r="V667" s="40"/>
      <c r="W667" s="40"/>
      <c r="X667" s="40"/>
      <c r="Y667" s="40"/>
    </row>
    <row r="668" spans="1:25" s="11" customFormat="1" x14ac:dyDescent="0.25">
      <c r="A668" s="82"/>
      <c r="B668" s="108" t="s">
        <v>386</v>
      </c>
      <c r="C668" s="109">
        <f>C636*(1+$K$192)</f>
        <v>9855792.3626271058</v>
      </c>
      <c r="D668" s="109">
        <v>0</v>
      </c>
      <c r="E668" s="109">
        <v>0</v>
      </c>
      <c r="F668" s="109">
        <v>0</v>
      </c>
      <c r="G668" s="109">
        <v>0</v>
      </c>
      <c r="H668" s="109">
        <v>0</v>
      </c>
      <c r="I668" s="109">
        <v>0</v>
      </c>
      <c r="J668" s="109">
        <v>0</v>
      </c>
      <c r="K668" s="109">
        <v>0</v>
      </c>
      <c r="L668" s="109">
        <v>0</v>
      </c>
      <c r="M668" s="109">
        <v>0</v>
      </c>
      <c r="N668" s="109">
        <v>0</v>
      </c>
      <c r="O668" s="109">
        <f t="shared" si="931"/>
        <v>9855792.3626271058</v>
      </c>
      <c r="P668" s="43"/>
      <c r="Q668" s="43"/>
      <c r="R668" s="40"/>
      <c r="S668" s="40"/>
      <c r="T668" s="40"/>
      <c r="U668" s="40"/>
      <c r="V668" s="40"/>
      <c r="W668" s="40"/>
      <c r="X668" s="40"/>
      <c r="Y668" s="40"/>
    </row>
    <row r="669" spans="1:25" s="11" customFormat="1" x14ac:dyDescent="0.25">
      <c r="A669" s="82"/>
      <c r="B669" s="60" t="s">
        <v>206</v>
      </c>
      <c r="C669" s="61">
        <f>C650-C666-C667-C668</f>
        <v>-100461374.62967987</v>
      </c>
      <c r="D669" s="61">
        <f t="shared" ref="D669" si="932">D650-D666-D667-D668</f>
        <v>-88206369.354783148</v>
      </c>
      <c r="E669" s="61">
        <f t="shared" ref="E669" si="933">E650-E666-E667-E668</f>
        <v>-91745949.745874465</v>
      </c>
      <c r="F669" s="61">
        <f t="shared" ref="F669" si="934">F650-F666-F667-F668</f>
        <v>-86281512.160734087</v>
      </c>
      <c r="G669" s="61">
        <f t="shared" ref="G669" si="935">G650-G666-G667-G668</f>
        <v>-108785361.42253041</v>
      </c>
      <c r="H669" s="61">
        <f t="shared" ref="H669" si="936">H650-H666-H667-H668</f>
        <v>-92258477.389517784</v>
      </c>
      <c r="I669" s="61">
        <f t="shared" ref="I669" si="937">I650-I666-I667-I668</f>
        <v>-98026795.318170488</v>
      </c>
      <c r="J669" s="61">
        <f t="shared" ref="J669" si="938">J650-J666-J667-J668</f>
        <v>-96716481.852390945</v>
      </c>
      <c r="K669" s="61">
        <f t="shared" ref="K669" si="939">K650-K666-K667-K668</f>
        <v>-101980017.90269968</v>
      </c>
      <c r="L669" s="61">
        <f t="shared" ref="L669" si="940">L650-L666-L667-L668</f>
        <v>-93272142.1200279</v>
      </c>
      <c r="M669" s="61">
        <f t="shared" ref="M669" si="941">M650-M666-M667-M668</f>
        <v>-98122209.901033252</v>
      </c>
      <c r="N669" s="61">
        <f t="shared" ref="N669" si="942">N650-N666-N667-N668</f>
        <v>-96225459.878647745</v>
      </c>
      <c r="O669" s="47">
        <f t="shared" si="931"/>
        <v>-1152082151.67609</v>
      </c>
      <c r="P669" s="43"/>
      <c r="Q669" s="43"/>
      <c r="R669" s="40"/>
      <c r="S669" s="40"/>
      <c r="T669" s="40"/>
      <c r="U669" s="40"/>
      <c r="V669" s="40"/>
      <c r="W669" s="40"/>
      <c r="X669" s="40"/>
      <c r="Y669" s="40"/>
    </row>
    <row r="670" spans="1:25" x14ac:dyDescent="0.25">
      <c r="A670" s="85"/>
      <c r="B670" s="40"/>
      <c r="C670" s="40"/>
      <c r="D670" s="40"/>
      <c r="E670" s="40"/>
      <c r="F670" s="40"/>
      <c r="G670" s="40"/>
      <c r="H670" s="40"/>
      <c r="I670" s="40"/>
      <c r="J670" s="40"/>
      <c r="K670" s="40"/>
      <c r="L670" s="353" t="s">
        <v>217</v>
      </c>
      <c r="M670" s="354"/>
      <c r="N670" s="350">
        <f>SUM(C669:N669)+N638</f>
        <v>10261019563.404665</v>
      </c>
      <c r="O670" s="40"/>
    </row>
    <row r="671" spans="1:25" x14ac:dyDescent="0.25">
      <c r="A671" s="85"/>
      <c r="B671" s="40"/>
      <c r="C671" s="40"/>
      <c r="D671" s="40"/>
      <c r="E671" s="40"/>
      <c r="F671" s="40"/>
      <c r="G671" s="40"/>
      <c r="H671" s="40"/>
      <c r="I671" s="40"/>
      <c r="J671" s="40"/>
      <c r="K671" s="40"/>
      <c r="L671" s="320"/>
      <c r="M671" s="355"/>
      <c r="N671" s="351"/>
      <c r="O671" s="40"/>
    </row>
    <row r="672" spans="1:25" x14ac:dyDescent="0.25">
      <c r="A672" s="85"/>
      <c r="B672" s="319" t="s">
        <v>632</v>
      </c>
      <c r="C672" s="352" t="s">
        <v>173</v>
      </c>
      <c r="D672" s="352"/>
      <c r="E672" s="352"/>
      <c r="F672" s="352"/>
      <c r="G672" s="352"/>
      <c r="H672" s="352"/>
      <c r="I672" s="40"/>
      <c r="J672" s="358" t="s">
        <v>231</v>
      </c>
      <c r="K672" s="359">
        <v>0.04</v>
      </c>
      <c r="L672" s="40"/>
      <c r="M672" s="40"/>
      <c r="N672" s="40"/>
      <c r="O672" s="361"/>
    </row>
    <row r="673" spans="1:15" x14ac:dyDescent="0.25">
      <c r="A673" s="85"/>
      <c r="B673" s="319"/>
      <c r="C673" s="352"/>
      <c r="D673" s="352"/>
      <c r="E673" s="352"/>
      <c r="F673" s="352"/>
      <c r="G673" s="352"/>
      <c r="H673" s="352"/>
      <c r="I673" s="40"/>
      <c r="J673" s="358"/>
      <c r="K673" s="360"/>
      <c r="L673" s="40"/>
      <c r="M673" s="40"/>
      <c r="N673" s="40"/>
      <c r="O673" s="362"/>
    </row>
    <row r="674" spans="1:15" x14ac:dyDescent="0.25">
      <c r="A674" s="85"/>
      <c r="B674" s="319"/>
      <c r="C674" s="352"/>
      <c r="D674" s="352"/>
      <c r="E674" s="352"/>
      <c r="F674" s="352"/>
      <c r="G674" s="352"/>
      <c r="H674" s="352"/>
      <c r="I674" s="40"/>
      <c r="J674" s="40"/>
      <c r="K674" s="40"/>
      <c r="L674" s="40"/>
      <c r="M674" s="40"/>
      <c r="N674" s="40"/>
      <c r="O674" s="40"/>
    </row>
    <row r="677" spans="1:15" ht="24.6" x14ac:dyDescent="0.25">
      <c r="A677" s="96"/>
      <c r="B677" s="348" t="s">
        <v>299</v>
      </c>
      <c r="C677" s="348"/>
      <c r="D677" s="348"/>
      <c r="E677" s="348"/>
      <c r="F677" s="348"/>
      <c r="G677" s="348"/>
      <c r="H677" s="348"/>
      <c r="I677" s="348"/>
      <c r="J677" s="348"/>
      <c r="K677" s="348"/>
      <c r="L677" s="348"/>
      <c r="M677" s="348"/>
      <c r="N677" s="348"/>
      <c r="O677" s="348"/>
    </row>
    <row r="678" spans="1:15" ht="24.6" x14ac:dyDescent="0.25">
      <c r="A678" s="96"/>
      <c r="B678" s="349"/>
      <c r="C678" s="349"/>
      <c r="D678" s="349"/>
      <c r="E678" s="349"/>
      <c r="F678" s="349"/>
      <c r="G678" s="349"/>
      <c r="H678" s="349"/>
      <c r="I678" s="349"/>
      <c r="J678" s="349"/>
      <c r="K678" s="349"/>
      <c r="L678" s="349"/>
      <c r="M678" s="349"/>
      <c r="N678" s="349"/>
      <c r="O678" s="349"/>
    </row>
    <row r="679" spans="1:15" x14ac:dyDescent="0.25">
      <c r="A679" s="82"/>
      <c r="B679" s="41"/>
      <c r="C679" s="42" t="s">
        <v>66</v>
      </c>
      <c r="D679" s="42" t="s">
        <v>67</v>
      </c>
      <c r="E679" s="42" t="s">
        <v>68</v>
      </c>
      <c r="F679" s="42" t="s">
        <v>69</v>
      </c>
      <c r="G679" s="42" t="s">
        <v>70</v>
      </c>
      <c r="H679" s="42" t="s">
        <v>71</v>
      </c>
      <c r="I679" s="42" t="s">
        <v>72</v>
      </c>
      <c r="J679" s="42" t="s">
        <v>73</v>
      </c>
      <c r="K679" s="42" t="s">
        <v>74</v>
      </c>
      <c r="L679" s="42" t="s">
        <v>75</v>
      </c>
      <c r="M679" s="42" t="s">
        <v>76</v>
      </c>
      <c r="N679" s="42" t="s">
        <v>77</v>
      </c>
      <c r="O679" s="42" t="s">
        <v>236</v>
      </c>
    </row>
    <row r="680" spans="1:15" x14ac:dyDescent="0.25">
      <c r="A680" s="82"/>
      <c r="B680" s="44" t="s">
        <v>381</v>
      </c>
      <c r="C680" s="45">
        <f>'11.My pension value'!$D$19/12</f>
        <v>35611893.330636717</v>
      </c>
      <c r="D680" s="45">
        <f>'11.My pension value'!$D$19/12</f>
        <v>35611893.330636717</v>
      </c>
      <c r="E680" s="45">
        <f>'11.My pension value'!$D$19/12</f>
        <v>35611893.330636717</v>
      </c>
      <c r="F680" s="45">
        <f>'11.My pension value'!$D$19/12</f>
        <v>35611893.330636717</v>
      </c>
      <c r="G680" s="45">
        <f>'11.My pension value'!$D$19/12</f>
        <v>35611893.330636717</v>
      </c>
      <c r="H680" s="45">
        <f>'11.My pension value'!$D$19/12</f>
        <v>35611893.330636717</v>
      </c>
      <c r="I680" s="45">
        <f>'11.My pension value'!$D$19/12</f>
        <v>35611893.330636717</v>
      </c>
      <c r="J680" s="45">
        <f>'11.My pension value'!$D$19/12</f>
        <v>35611893.330636717</v>
      </c>
      <c r="K680" s="45">
        <f>'11.My pension value'!$D$19/12</f>
        <v>35611893.330636717</v>
      </c>
      <c r="L680" s="45">
        <f>'11.My pension value'!$D$19/12</f>
        <v>35611893.330636717</v>
      </c>
      <c r="M680" s="45">
        <f>'11.My pension value'!$D$19/12</f>
        <v>35611893.330636717</v>
      </c>
      <c r="N680" s="45">
        <f>'11.My pension value'!$D$19/12</f>
        <v>35611893.330636717</v>
      </c>
      <c r="O680" s="45" t="s">
        <v>173</v>
      </c>
    </row>
    <row r="681" spans="1:15" x14ac:dyDescent="0.25">
      <c r="A681" s="82"/>
      <c r="B681" s="44" t="s">
        <v>382</v>
      </c>
      <c r="C681" s="45">
        <f>'10.2. Wife''s retirement salary'!$O$10</f>
        <v>30571553.146033701</v>
      </c>
      <c r="D681" s="45">
        <f>'10.2. Wife''s retirement salary'!$O$10</f>
        <v>30571553.146033701</v>
      </c>
      <c r="E681" s="45">
        <f>'10.2. Wife''s retirement salary'!$O$10</f>
        <v>30571553.146033701</v>
      </c>
      <c r="F681" s="45">
        <f>'10.2. Wife''s retirement salary'!$O$10</f>
        <v>30571553.146033701</v>
      </c>
      <c r="G681" s="45">
        <f>'10.2. Wife''s retirement salary'!$O$10</f>
        <v>30571553.146033701</v>
      </c>
      <c r="H681" s="45">
        <f>'10.2. Wife''s retirement salary'!$O$10</f>
        <v>30571553.146033701</v>
      </c>
      <c r="I681" s="45">
        <f>'10.2. Wife''s retirement salary'!$O$10</f>
        <v>30571553.146033701</v>
      </c>
      <c r="J681" s="45">
        <f>'10.2. Wife''s retirement salary'!$O$10</f>
        <v>30571553.146033701</v>
      </c>
      <c r="K681" s="45">
        <f>'10.2. Wife''s retirement salary'!$O$10</f>
        <v>30571553.146033701</v>
      </c>
      <c r="L681" s="45">
        <f>'10.2. Wife''s retirement salary'!$O$10</f>
        <v>30571553.146033701</v>
      </c>
      <c r="M681" s="45">
        <f>'10.2. Wife''s retirement salary'!$O$10</f>
        <v>30571553.146033701</v>
      </c>
      <c r="N681" s="45">
        <f>'10.2. Wife''s retirement salary'!$O$10</f>
        <v>30571553.146033701</v>
      </c>
      <c r="O681" s="45" t="s">
        <v>173</v>
      </c>
    </row>
    <row r="682" spans="1:15" x14ac:dyDescent="0.25">
      <c r="A682" s="82"/>
      <c r="B682" s="46" t="s">
        <v>209</v>
      </c>
      <c r="C682" s="47">
        <f>SUM(C680:C681)</f>
        <v>66183446.476670414</v>
      </c>
      <c r="D682" s="47">
        <f t="shared" ref="D682:J682" si="943">SUM(D680:D681)</f>
        <v>66183446.476670414</v>
      </c>
      <c r="E682" s="47">
        <f t="shared" si="943"/>
        <v>66183446.476670414</v>
      </c>
      <c r="F682" s="47">
        <f t="shared" si="943"/>
        <v>66183446.476670414</v>
      </c>
      <c r="G682" s="47">
        <f t="shared" si="943"/>
        <v>66183446.476670414</v>
      </c>
      <c r="H682" s="47">
        <f t="shared" si="943"/>
        <v>66183446.476670414</v>
      </c>
      <c r="I682" s="47">
        <f t="shared" si="943"/>
        <v>66183446.476670414</v>
      </c>
      <c r="J682" s="47">
        <f t="shared" si="943"/>
        <v>66183446.476670414</v>
      </c>
      <c r="K682" s="47">
        <f>SUM(K680:K681)</f>
        <v>66183446.476670414</v>
      </c>
      <c r="L682" s="47">
        <f t="shared" ref="L682:N682" si="944">SUM(L680:L681)</f>
        <v>66183446.476670414</v>
      </c>
      <c r="M682" s="47">
        <f t="shared" si="944"/>
        <v>66183446.476670414</v>
      </c>
      <c r="N682" s="47">
        <f t="shared" si="944"/>
        <v>66183446.476670414</v>
      </c>
      <c r="O682" s="47">
        <f>SUM(C682:N682)</f>
        <v>794201357.72004473</v>
      </c>
    </row>
    <row r="683" spans="1:15" x14ac:dyDescent="0.25">
      <c r="A683" s="82"/>
      <c r="B683" s="52" t="s">
        <v>78</v>
      </c>
      <c r="C683" s="53" t="s">
        <v>173</v>
      </c>
      <c r="D683" s="53" t="s">
        <v>173</v>
      </c>
      <c r="E683" s="53" t="s">
        <v>173</v>
      </c>
      <c r="F683" s="53" t="s">
        <v>173</v>
      </c>
      <c r="G683" s="53" t="s">
        <v>173</v>
      </c>
      <c r="H683" s="53" t="s">
        <v>173</v>
      </c>
      <c r="I683" s="53" t="s">
        <v>173</v>
      </c>
      <c r="J683" s="53" t="s">
        <v>173</v>
      </c>
      <c r="K683" s="53" t="s">
        <v>173</v>
      </c>
      <c r="L683" s="53" t="s">
        <v>173</v>
      </c>
      <c r="M683" s="53" t="s">
        <v>173</v>
      </c>
      <c r="N683" s="53" t="s">
        <v>173</v>
      </c>
      <c r="O683" s="91" t="s">
        <v>173</v>
      </c>
    </row>
    <row r="684" spans="1:15" x14ac:dyDescent="0.25">
      <c r="A684" s="82"/>
      <c r="B684" s="48" t="s">
        <v>79</v>
      </c>
      <c r="C684" s="54" t="s">
        <v>173</v>
      </c>
      <c r="D684" s="54" t="s">
        <v>173</v>
      </c>
      <c r="E684" s="54" t="s">
        <v>173</v>
      </c>
      <c r="F684" s="54" t="s">
        <v>173</v>
      </c>
      <c r="G684" s="54" t="s">
        <v>173</v>
      </c>
      <c r="H684" s="54" t="s">
        <v>173</v>
      </c>
      <c r="I684" s="54" t="s">
        <v>173</v>
      </c>
      <c r="J684" s="54" t="s">
        <v>173</v>
      </c>
      <c r="K684" s="54" t="s">
        <v>173</v>
      </c>
      <c r="L684" s="54" t="s">
        <v>173</v>
      </c>
      <c r="M684" s="54" t="s">
        <v>173</v>
      </c>
      <c r="N684" s="54" t="s">
        <v>173</v>
      </c>
      <c r="O684" s="91" t="s">
        <v>173</v>
      </c>
    </row>
    <row r="685" spans="1:15" x14ac:dyDescent="0.25">
      <c r="A685" s="83"/>
      <c r="B685" s="49" t="s">
        <v>195</v>
      </c>
      <c r="C685" s="50">
        <f>C653*(1+$K$62)</f>
        <v>1234452.1807640535</v>
      </c>
      <c r="D685" s="50">
        <v>0</v>
      </c>
      <c r="E685" s="50">
        <v>0</v>
      </c>
      <c r="F685" s="50">
        <v>0</v>
      </c>
      <c r="G685" s="50">
        <v>0</v>
      </c>
      <c r="H685" s="50">
        <v>0</v>
      </c>
      <c r="I685" s="50">
        <v>0</v>
      </c>
      <c r="J685" s="50">
        <v>0</v>
      </c>
      <c r="K685" s="50">
        <v>0</v>
      </c>
      <c r="L685" s="50">
        <v>0</v>
      </c>
      <c r="M685" s="50">
        <v>0</v>
      </c>
      <c r="N685" s="50">
        <v>0</v>
      </c>
      <c r="O685" s="90">
        <f t="shared" ref="O685:O688" si="945">SUM(C685:N685)</f>
        <v>1234452.1807640535</v>
      </c>
    </row>
    <row r="686" spans="1:15" x14ac:dyDescent="0.25">
      <c r="A686" s="82"/>
      <c r="B686" s="51" t="s">
        <v>178</v>
      </c>
      <c r="C686" s="50">
        <f>C654*(1+$K$62)</f>
        <v>9351910.4603337422</v>
      </c>
      <c r="D686" s="50">
        <f t="shared" ref="D686:N686" si="946">D654*(1+$K$62)</f>
        <v>9351910.4603337422</v>
      </c>
      <c r="E686" s="50">
        <f t="shared" si="946"/>
        <v>9351910.4603337422</v>
      </c>
      <c r="F686" s="50">
        <f t="shared" si="946"/>
        <v>9351910.4603337422</v>
      </c>
      <c r="G686" s="50">
        <f t="shared" si="946"/>
        <v>9351910.4603337422</v>
      </c>
      <c r="H686" s="50">
        <f t="shared" si="946"/>
        <v>9351910.4603337422</v>
      </c>
      <c r="I686" s="50">
        <f t="shared" si="946"/>
        <v>9351910.4603337422</v>
      </c>
      <c r="J686" s="50">
        <f t="shared" si="946"/>
        <v>9351910.4603337422</v>
      </c>
      <c r="K686" s="50">
        <f t="shared" si="946"/>
        <v>9351910.4603337422</v>
      </c>
      <c r="L686" s="50">
        <f t="shared" si="946"/>
        <v>9351910.4603337422</v>
      </c>
      <c r="M686" s="50">
        <f t="shared" si="946"/>
        <v>9351910.4603337422</v>
      </c>
      <c r="N686" s="50">
        <f t="shared" si="946"/>
        <v>9351910.4603337422</v>
      </c>
      <c r="O686" s="90">
        <f t="shared" si="945"/>
        <v>112222925.52400488</v>
      </c>
    </row>
    <row r="687" spans="1:15" x14ac:dyDescent="0.25">
      <c r="A687" s="84"/>
      <c r="B687" s="51" t="s">
        <v>248</v>
      </c>
      <c r="C687" s="50">
        <f>C655*(1+$K$62)</f>
        <v>1122229.255240049</v>
      </c>
      <c r="D687" s="50">
        <f t="shared" ref="D687:N687" si="947">D655*(1+$K$62)</f>
        <v>1122229.255240049</v>
      </c>
      <c r="E687" s="50">
        <f t="shared" si="947"/>
        <v>1122229.255240049</v>
      </c>
      <c r="F687" s="50">
        <f t="shared" si="947"/>
        <v>1122229.255240049</v>
      </c>
      <c r="G687" s="50">
        <f t="shared" si="947"/>
        <v>1122229.255240049</v>
      </c>
      <c r="H687" s="50">
        <f t="shared" si="947"/>
        <v>1122229.255240049</v>
      </c>
      <c r="I687" s="50">
        <f t="shared" si="947"/>
        <v>1122229.255240049</v>
      </c>
      <c r="J687" s="50">
        <f t="shared" si="947"/>
        <v>1122229.255240049</v>
      </c>
      <c r="K687" s="50">
        <f t="shared" si="947"/>
        <v>1122229.255240049</v>
      </c>
      <c r="L687" s="50">
        <f t="shared" si="947"/>
        <v>1122229.255240049</v>
      </c>
      <c r="M687" s="50">
        <f t="shared" si="947"/>
        <v>1122229.255240049</v>
      </c>
      <c r="N687" s="50">
        <f t="shared" si="947"/>
        <v>1122229.255240049</v>
      </c>
      <c r="O687" s="90">
        <f t="shared" si="945"/>
        <v>13466751.062880589</v>
      </c>
    </row>
    <row r="688" spans="1:15" x14ac:dyDescent="0.25">
      <c r="A688" s="82"/>
      <c r="B688" s="46" t="s">
        <v>207</v>
      </c>
      <c r="C688" s="47">
        <f t="shared" ref="C688" si="948">SUM(C685:C687)</f>
        <v>11708591.896337844</v>
      </c>
      <c r="D688" s="47">
        <f t="shared" ref="D688" si="949">SUM(D685:D687)</f>
        <v>10474139.715573791</v>
      </c>
      <c r="E688" s="47">
        <f t="shared" ref="E688" si="950">SUM(E685:E687)</f>
        <v>10474139.715573791</v>
      </c>
      <c r="F688" s="47">
        <f t="shared" ref="F688" si="951">SUM(F685:F687)</f>
        <v>10474139.715573791</v>
      </c>
      <c r="G688" s="47">
        <f t="shared" ref="G688" si="952">SUM(G685:G687)</f>
        <v>10474139.715573791</v>
      </c>
      <c r="H688" s="47">
        <f t="shared" ref="H688" si="953">SUM(H685:H687)</f>
        <v>10474139.715573791</v>
      </c>
      <c r="I688" s="47">
        <f t="shared" ref="I688" si="954">SUM(I685:I687)</f>
        <v>10474139.715573791</v>
      </c>
      <c r="J688" s="47">
        <f t="shared" ref="J688" si="955">SUM(J685:J687)</f>
        <v>10474139.715573791</v>
      </c>
      <c r="K688" s="47">
        <f t="shared" ref="K688" si="956">SUM(K685:K687)</f>
        <v>10474139.715573791</v>
      </c>
      <c r="L688" s="47">
        <f t="shared" ref="L688" si="957">SUM(L685:L687)</f>
        <v>10474139.715573791</v>
      </c>
      <c r="M688" s="47">
        <f t="shared" ref="M688" si="958">SUM(M685:M687)</f>
        <v>10474139.715573791</v>
      </c>
      <c r="N688" s="47">
        <f t="shared" ref="N688" si="959">SUM(N685:N687)</f>
        <v>10474139.715573791</v>
      </c>
      <c r="O688" s="47">
        <f t="shared" si="945"/>
        <v>126924128.76764952</v>
      </c>
    </row>
    <row r="689" spans="1:25" x14ac:dyDescent="0.25">
      <c r="A689" s="82"/>
      <c r="B689" s="55" t="s">
        <v>83</v>
      </c>
      <c r="C689" s="59" t="s">
        <v>173</v>
      </c>
      <c r="D689" s="59" t="s">
        <v>173</v>
      </c>
      <c r="E689" s="59" t="s">
        <v>173</v>
      </c>
      <c r="F689" s="59" t="s">
        <v>173</v>
      </c>
      <c r="G689" s="59" t="s">
        <v>173</v>
      </c>
      <c r="H689" s="59" t="s">
        <v>173</v>
      </c>
      <c r="I689" s="59" t="s">
        <v>173</v>
      </c>
      <c r="J689" s="59" t="s">
        <v>173</v>
      </c>
      <c r="K689" s="59" t="s">
        <v>173</v>
      </c>
      <c r="L689" s="59" t="s">
        <v>173</v>
      </c>
      <c r="M689" s="59" t="s">
        <v>173</v>
      </c>
      <c r="N689" s="59" t="s">
        <v>173</v>
      </c>
      <c r="O689" s="91" t="s">
        <v>173</v>
      </c>
    </row>
    <row r="690" spans="1:25" x14ac:dyDescent="0.25">
      <c r="A690" s="82"/>
      <c r="B690" s="57" t="s">
        <v>210</v>
      </c>
      <c r="C690" s="89">
        <f t="shared" ref="C690:N690" si="960">C658*(1+$K$95)</f>
        <v>6190964.7247409364</v>
      </c>
      <c r="D690" s="89">
        <f t="shared" si="960"/>
        <v>7462824.5473463256</v>
      </c>
      <c r="E690" s="89">
        <f t="shared" si="960"/>
        <v>6883006.0988056306</v>
      </c>
      <c r="F690" s="89">
        <f t="shared" si="960"/>
        <v>6434114.3967096182</v>
      </c>
      <c r="G690" s="89">
        <f t="shared" si="960"/>
        <v>5910407.4109309232</v>
      </c>
      <c r="H690" s="89">
        <f t="shared" si="960"/>
        <v>7406713.0845843256</v>
      </c>
      <c r="I690" s="89">
        <f t="shared" si="960"/>
        <v>8641165.2653483767</v>
      </c>
      <c r="J690" s="89">
        <f t="shared" si="960"/>
        <v>8285792.6678556949</v>
      </c>
      <c r="K690" s="89">
        <f t="shared" si="960"/>
        <v>6396706.7548682783</v>
      </c>
      <c r="L690" s="89">
        <f t="shared" si="960"/>
        <v>6565041.1431542868</v>
      </c>
      <c r="M690" s="89">
        <f t="shared" si="960"/>
        <v>6247076.1875029402</v>
      </c>
      <c r="N690" s="89">
        <f t="shared" si="960"/>
        <v>6752079.3523609601</v>
      </c>
      <c r="O690" s="92">
        <f t="shared" ref="O690:O698" si="961">SUM(C690:N690)</f>
        <v>83175891.634208292</v>
      </c>
    </row>
    <row r="691" spans="1:25" x14ac:dyDescent="0.25">
      <c r="A691" s="82"/>
      <c r="B691" s="57" t="s">
        <v>203</v>
      </c>
      <c r="C691" s="89">
        <f t="shared" ref="C691:N691" si="962">C659*(1+$K$95)</f>
        <v>22351066.000197638</v>
      </c>
      <c r="D691" s="89">
        <f t="shared" si="962"/>
        <v>24071817.524899058</v>
      </c>
      <c r="E691" s="89">
        <f t="shared" si="962"/>
        <v>26989613.588523179</v>
      </c>
      <c r="F691" s="89">
        <f t="shared" si="962"/>
        <v>20461980.087210238</v>
      </c>
      <c r="G691" s="89">
        <f t="shared" si="962"/>
        <v>27232763.260491867</v>
      </c>
      <c r="H691" s="89">
        <f t="shared" si="962"/>
        <v>25661642.30315578</v>
      </c>
      <c r="I691" s="89">
        <f t="shared" si="962"/>
        <v>23548110.539120372</v>
      </c>
      <c r="J691" s="89">
        <f t="shared" si="962"/>
        <v>27999619.918239228</v>
      </c>
      <c r="K691" s="89">
        <f t="shared" si="962"/>
        <v>27363690.00693652</v>
      </c>
      <c r="L691" s="89">
        <f t="shared" si="962"/>
        <v>27363690.00693652</v>
      </c>
      <c r="M691" s="89">
        <f t="shared" si="962"/>
        <v>21266244.386798944</v>
      </c>
      <c r="N691" s="89">
        <f t="shared" si="962"/>
        <v>26222756.93077581</v>
      </c>
      <c r="O691" s="92">
        <f t="shared" si="961"/>
        <v>300532994.55328518</v>
      </c>
    </row>
    <row r="692" spans="1:25" x14ac:dyDescent="0.25">
      <c r="A692" s="82"/>
      <c r="B692" s="58" t="s">
        <v>84</v>
      </c>
      <c r="C692" s="89">
        <f t="shared" ref="C692:N692" si="963">C660*(1+$K$95)</f>
        <v>19769938.713145517</v>
      </c>
      <c r="D692" s="89">
        <f t="shared" si="963"/>
        <v>21584209.342450272</v>
      </c>
      <c r="E692" s="89">
        <f t="shared" si="963"/>
        <v>21659024.626132939</v>
      </c>
      <c r="F692" s="89">
        <f t="shared" si="963"/>
        <v>22369769.821118318</v>
      </c>
      <c r="G692" s="89">
        <f t="shared" si="963"/>
        <v>26465906.602744486</v>
      </c>
      <c r="H692" s="89">
        <f t="shared" si="963"/>
        <v>22893476.806896996</v>
      </c>
      <c r="I692" s="89">
        <f t="shared" si="963"/>
        <v>23772556.390168387</v>
      </c>
      <c r="J692" s="89">
        <f t="shared" si="963"/>
        <v>27363690.00693652</v>
      </c>
      <c r="K692" s="89">
        <f t="shared" si="963"/>
        <v>25044416.212773763</v>
      </c>
      <c r="L692" s="89">
        <f t="shared" si="963"/>
        <v>25007008.570932426</v>
      </c>
      <c r="M692" s="89">
        <f t="shared" si="963"/>
        <v>26765167.737475164</v>
      </c>
      <c r="N692" s="89">
        <f t="shared" si="963"/>
        <v>21490690.237846937</v>
      </c>
      <c r="O692" s="92">
        <f t="shared" si="961"/>
        <v>284185855.0686217</v>
      </c>
    </row>
    <row r="693" spans="1:25" x14ac:dyDescent="0.25">
      <c r="A693" s="82"/>
      <c r="B693" s="57" t="s">
        <v>85</v>
      </c>
      <c r="C693" s="89">
        <f t="shared" ref="C693:N693" si="964">C661*(1+$K$95)</f>
        <v>22968292.090579681</v>
      </c>
      <c r="D693" s="89">
        <f t="shared" si="964"/>
        <v>19657715.787621532</v>
      </c>
      <c r="E693" s="89">
        <f t="shared" si="964"/>
        <v>20349757.161686212</v>
      </c>
      <c r="F693" s="89">
        <f t="shared" si="964"/>
        <v>20667722.117337562</v>
      </c>
      <c r="G693" s="89">
        <f t="shared" si="964"/>
        <v>27793877.888111874</v>
      </c>
      <c r="H693" s="89">
        <f t="shared" si="964"/>
        <v>20405868.624448229</v>
      </c>
      <c r="I693" s="89">
        <f t="shared" si="964"/>
        <v>23679037.28556503</v>
      </c>
      <c r="J693" s="89">
        <f t="shared" si="964"/>
        <v>18741228.562508818</v>
      </c>
      <c r="K693" s="89">
        <f t="shared" si="964"/>
        <v>24371078.659629744</v>
      </c>
      <c r="L693" s="89">
        <f t="shared" si="964"/>
        <v>19358454.652890842</v>
      </c>
      <c r="M693" s="89">
        <f t="shared" si="964"/>
        <v>24651635.973439746</v>
      </c>
      <c r="N693" s="89">
        <f t="shared" si="964"/>
        <v>23473295.255437683</v>
      </c>
      <c r="O693" s="92">
        <f t="shared" si="961"/>
        <v>266117964.05925691</v>
      </c>
    </row>
    <row r="694" spans="1:25" x14ac:dyDescent="0.25">
      <c r="A694" s="84"/>
      <c r="B694" s="58" t="s">
        <v>249</v>
      </c>
      <c r="C694" s="89">
        <v>10000000</v>
      </c>
      <c r="D694" s="89">
        <v>10000000</v>
      </c>
      <c r="E694" s="89">
        <v>10000000</v>
      </c>
      <c r="F694" s="89">
        <v>10000000</v>
      </c>
      <c r="G694" s="89">
        <v>10000000</v>
      </c>
      <c r="H694" s="89">
        <v>10000000</v>
      </c>
      <c r="I694" s="89">
        <v>10000000</v>
      </c>
      <c r="J694" s="89">
        <v>10000000</v>
      </c>
      <c r="K694" s="89">
        <v>10000000</v>
      </c>
      <c r="L694" s="89">
        <v>10000000</v>
      </c>
      <c r="M694" s="89">
        <v>10000000</v>
      </c>
      <c r="N694" s="89">
        <v>10000000</v>
      </c>
      <c r="O694" s="92">
        <f t="shared" si="961"/>
        <v>120000000</v>
      </c>
    </row>
    <row r="695" spans="1:25" x14ac:dyDescent="0.25">
      <c r="A695" s="84"/>
      <c r="B695" s="58" t="s">
        <v>180</v>
      </c>
      <c r="C695" s="89">
        <f t="shared" ref="C695:N695" si="965">C663*(1+$K$95)</f>
        <v>19127903.298225611</v>
      </c>
      <c r="D695" s="89">
        <f t="shared" si="965"/>
        <v>16370868.376575842</v>
      </c>
      <c r="E695" s="89">
        <f t="shared" si="965"/>
        <v>16947197.710480019</v>
      </c>
      <c r="F695" s="89">
        <f t="shared" si="965"/>
        <v>17211997.674706269</v>
      </c>
      <c r="G695" s="89">
        <f t="shared" si="965"/>
        <v>23146632.167071052</v>
      </c>
      <c r="H695" s="89">
        <f t="shared" si="965"/>
        <v>16993927.115931727</v>
      </c>
      <c r="I695" s="89">
        <f t="shared" si="965"/>
        <v>19719809.100613698</v>
      </c>
      <c r="J695" s="89">
        <f t="shared" si="965"/>
        <v>15607621.420864874</v>
      </c>
      <c r="K695" s="89">
        <f t="shared" si="965"/>
        <v>20296138.434517905</v>
      </c>
      <c r="L695" s="89">
        <f t="shared" si="965"/>
        <v>16121644.880833486</v>
      </c>
      <c r="M695" s="89">
        <f t="shared" si="965"/>
        <v>20529785.46177635</v>
      </c>
      <c r="N695" s="89">
        <f t="shared" si="965"/>
        <v>19548467.947290827</v>
      </c>
      <c r="O695" s="92">
        <f t="shared" si="961"/>
        <v>221621993.58888763</v>
      </c>
    </row>
    <row r="696" spans="1:25" x14ac:dyDescent="0.25">
      <c r="A696" s="84"/>
      <c r="B696" s="58" t="s">
        <v>86</v>
      </c>
      <c r="C696" s="89">
        <f t="shared" ref="C696:N696" si="966">C664*(1+$K$95)</f>
        <v>16979086.074997418</v>
      </c>
      <c r="D696" s="89">
        <f t="shared" si="966"/>
        <v>16979086.074997418</v>
      </c>
      <c r="E696" s="89">
        <f t="shared" si="966"/>
        <v>16979086.074997418</v>
      </c>
      <c r="F696" s="89">
        <f t="shared" si="966"/>
        <v>16979086.074997418</v>
      </c>
      <c r="G696" s="89">
        <f t="shared" si="966"/>
        <v>16979086.074997418</v>
      </c>
      <c r="H696" s="89">
        <f t="shared" si="966"/>
        <v>16979086.074997418</v>
      </c>
      <c r="I696" s="89">
        <f t="shared" si="966"/>
        <v>16979086.074997418</v>
      </c>
      <c r="J696" s="89">
        <f t="shared" si="966"/>
        <v>16979086.074997418</v>
      </c>
      <c r="K696" s="89">
        <f t="shared" si="966"/>
        <v>16979086.074997418</v>
      </c>
      <c r="L696" s="89">
        <f t="shared" si="966"/>
        <v>16979086.074997418</v>
      </c>
      <c r="M696" s="89">
        <f t="shared" si="966"/>
        <v>16979086.074997418</v>
      </c>
      <c r="N696" s="89">
        <f t="shared" si="966"/>
        <v>16979086.074997418</v>
      </c>
      <c r="O696" s="92">
        <f t="shared" si="961"/>
        <v>203749032.89996907</v>
      </c>
    </row>
    <row r="697" spans="1:25" x14ac:dyDescent="0.25">
      <c r="A697" s="82"/>
      <c r="B697" s="46" t="s">
        <v>208</v>
      </c>
      <c r="C697" s="47">
        <f t="shared" ref="C697:N697" si="967">SUM(C690:C696)</f>
        <v>117387250.90188682</v>
      </c>
      <c r="D697" s="47">
        <f t="shared" si="967"/>
        <v>116126521.65389043</v>
      </c>
      <c r="E697" s="47">
        <f t="shared" si="967"/>
        <v>119807685.26062539</v>
      </c>
      <c r="F697" s="47">
        <f t="shared" si="967"/>
        <v>114124670.17207941</v>
      </c>
      <c r="G697" s="47">
        <f t="shared" si="967"/>
        <v>137528673.40434763</v>
      </c>
      <c r="H697" s="47">
        <f t="shared" si="967"/>
        <v>120340714.01001447</v>
      </c>
      <c r="I697" s="47">
        <f t="shared" si="967"/>
        <v>126339764.65581328</v>
      </c>
      <c r="J697" s="47">
        <f t="shared" si="967"/>
        <v>124977038.65140256</v>
      </c>
      <c r="K697" s="47">
        <f t="shared" si="967"/>
        <v>130451116.14372364</v>
      </c>
      <c r="L697" s="47">
        <f t="shared" si="967"/>
        <v>121394925.32974499</v>
      </c>
      <c r="M697" s="47">
        <f t="shared" si="967"/>
        <v>126438995.82199055</v>
      </c>
      <c r="N697" s="47">
        <f t="shared" si="967"/>
        <v>124466375.79870963</v>
      </c>
      <c r="O697" s="47">
        <f t="shared" si="961"/>
        <v>1479383731.8042288</v>
      </c>
    </row>
    <row r="698" spans="1:25" x14ac:dyDescent="0.25">
      <c r="A698" s="82"/>
      <c r="B698" s="60" t="s">
        <v>87</v>
      </c>
      <c r="C698" s="47">
        <f t="shared" ref="C698:N698" si="968">C688+C697</f>
        <v>129095842.79822466</v>
      </c>
      <c r="D698" s="47">
        <f t="shared" si="968"/>
        <v>126600661.36946422</v>
      </c>
      <c r="E698" s="47">
        <f t="shared" si="968"/>
        <v>130281824.97619918</v>
      </c>
      <c r="F698" s="47">
        <f t="shared" si="968"/>
        <v>124598809.8876532</v>
      </c>
      <c r="G698" s="47">
        <f t="shared" si="968"/>
        <v>148002813.11992142</v>
      </c>
      <c r="H698" s="47">
        <f t="shared" si="968"/>
        <v>130814853.72558826</v>
      </c>
      <c r="I698" s="47">
        <f t="shared" si="968"/>
        <v>136813904.37138706</v>
      </c>
      <c r="J698" s="47">
        <f t="shared" si="968"/>
        <v>135451178.36697635</v>
      </c>
      <c r="K698" s="47">
        <f t="shared" si="968"/>
        <v>140925255.85929742</v>
      </c>
      <c r="L698" s="47">
        <f t="shared" si="968"/>
        <v>131869065.04531878</v>
      </c>
      <c r="M698" s="47">
        <f t="shared" si="968"/>
        <v>136913135.53756434</v>
      </c>
      <c r="N698" s="47">
        <f t="shared" si="968"/>
        <v>134940515.51428342</v>
      </c>
      <c r="O698" s="47">
        <f t="shared" si="961"/>
        <v>1606307860.5718782</v>
      </c>
    </row>
    <row r="699" spans="1:25" s="11" customFormat="1" x14ac:dyDescent="0.25">
      <c r="A699" s="82"/>
      <c r="B699" s="108" t="s">
        <v>204</v>
      </c>
      <c r="C699" s="109">
        <f>$O698*(3/12)/12</f>
        <v>33464747.095247462</v>
      </c>
      <c r="D699" s="109">
        <f t="shared" ref="D699" si="969">$O698*(3/12)/12</f>
        <v>33464747.095247462</v>
      </c>
      <c r="E699" s="109">
        <f t="shared" ref="E699" si="970">$O698*(3/12)/12</f>
        <v>33464747.095247462</v>
      </c>
      <c r="F699" s="109">
        <f t="shared" ref="F699" si="971">$O698*(3/12)/12</f>
        <v>33464747.095247462</v>
      </c>
      <c r="G699" s="109">
        <f t="shared" ref="G699" si="972">$O698*(3/12)/12</f>
        <v>33464747.095247462</v>
      </c>
      <c r="H699" s="109">
        <f t="shared" ref="H699" si="973">$O698*(3/12)/12</f>
        <v>33464747.095247462</v>
      </c>
      <c r="I699" s="109">
        <f t="shared" ref="I699" si="974">$O698*(3/12)/12</f>
        <v>33464747.095247462</v>
      </c>
      <c r="J699" s="109">
        <f t="shared" ref="J699" si="975">$O698*(3/12)/12</f>
        <v>33464747.095247462</v>
      </c>
      <c r="K699" s="109">
        <f t="shared" ref="K699" si="976">$O698*(3/12)/12</f>
        <v>33464747.095247462</v>
      </c>
      <c r="L699" s="109">
        <f t="shared" ref="L699" si="977">$O698*(3/12)/12</f>
        <v>33464747.095247462</v>
      </c>
      <c r="M699" s="109">
        <f t="shared" ref="M699" si="978">$O698*(3/12)/12</f>
        <v>33464747.095247462</v>
      </c>
      <c r="N699" s="109">
        <f>$O698*(3/12)/12</f>
        <v>33464747.095247462</v>
      </c>
      <c r="O699" s="109">
        <f t="shared" ref="O699:O701" si="979">SUM(C699:N699)</f>
        <v>401576965.14296943</v>
      </c>
      <c r="P699" s="43"/>
      <c r="Q699" s="43"/>
      <c r="R699" s="40"/>
      <c r="S699" s="40"/>
      <c r="T699" s="40"/>
      <c r="U699" s="40"/>
      <c r="V699" s="40"/>
      <c r="W699" s="40"/>
      <c r="X699" s="40"/>
      <c r="Y699" s="40"/>
    </row>
    <row r="700" spans="1:25" s="11" customFormat="1" x14ac:dyDescent="0.25">
      <c r="A700" s="82"/>
      <c r="B700" s="108" t="s">
        <v>386</v>
      </c>
      <c r="C700" s="109">
        <f>C668*(1+$K$192)</f>
        <v>10250024.05713219</v>
      </c>
      <c r="D700" s="109">
        <v>0</v>
      </c>
      <c r="E700" s="109">
        <v>0</v>
      </c>
      <c r="F700" s="109">
        <v>0</v>
      </c>
      <c r="G700" s="109">
        <v>0</v>
      </c>
      <c r="H700" s="109">
        <v>0</v>
      </c>
      <c r="I700" s="109">
        <v>0</v>
      </c>
      <c r="J700" s="109">
        <v>0</v>
      </c>
      <c r="K700" s="109">
        <v>0</v>
      </c>
      <c r="L700" s="109">
        <v>0</v>
      </c>
      <c r="M700" s="109">
        <v>0</v>
      </c>
      <c r="N700" s="109">
        <v>0</v>
      </c>
      <c r="O700" s="109">
        <f t="shared" si="979"/>
        <v>10250024.05713219</v>
      </c>
      <c r="P700" s="43"/>
      <c r="Q700" s="43"/>
      <c r="R700" s="40"/>
      <c r="S700" s="40"/>
      <c r="T700" s="40"/>
      <c r="U700" s="40"/>
      <c r="V700" s="40"/>
      <c r="W700" s="40"/>
      <c r="X700" s="40"/>
      <c r="Y700" s="40"/>
    </row>
    <row r="701" spans="1:25" s="11" customFormat="1" x14ac:dyDescent="0.25">
      <c r="A701" s="82"/>
      <c r="B701" s="60" t="s">
        <v>206</v>
      </c>
      <c r="C701" s="61">
        <f>C682-C698-C699-C700</f>
        <v>-106627167.47393389</v>
      </c>
      <c r="D701" s="61">
        <f t="shared" ref="D701" si="980">D682-D698-D699-D700</f>
        <v>-93881961.988041267</v>
      </c>
      <c r="E701" s="61">
        <f t="shared" ref="E701" si="981">E682-E698-E699-E700</f>
        <v>-97563125.594776228</v>
      </c>
      <c r="F701" s="61">
        <f t="shared" ref="F701" si="982">F682-F698-F699-F700</f>
        <v>-91880110.50623025</v>
      </c>
      <c r="G701" s="61">
        <f t="shared" ref="G701" si="983">G682-G698-G699-G700</f>
        <v>-115284113.73849846</v>
      </c>
      <c r="H701" s="61">
        <f t="shared" ref="H701" si="984">H682-H698-H699-H700</f>
        <v>-98096154.34416531</v>
      </c>
      <c r="I701" s="61">
        <f t="shared" ref="I701" si="985">I682-I698-I699-I700</f>
        <v>-104095204.98996411</v>
      </c>
      <c r="J701" s="61">
        <f t="shared" ref="J701" si="986">J682-J698-J699-J700</f>
        <v>-102732478.9855534</v>
      </c>
      <c r="K701" s="61">
        <f t="shared" ref="K701" si="987">K682-K698-K699-K700</f>
        <v>-108206556.47787447</v>
      </c>
      <c r="L701" s="61">
        <f t="shared" ref="L701" si="988">L682-L698-L699-L700</f>
        <v>-99150365.663895831</v>
      </c>
      <c r="M701" s="61">
        <f t="shared" ref="M701" si="989">M682-M698-M699-M700</f>
        <v>-104194436.15614139</v>
      </c>
      <c r="N701" s="61">
        <f t="shared" ref="N701" si="990">N682-N698-N699-N700</f>
        <v>-102221816.13286047</v>
      </c>
      <c r="O701" s="47">
        <f t="shared" si="979"/>
        <v>-1223933492.051935</v>
      </c>
      <c r="P701" s="43"/>
      <c r="Q701" s="43"/>
      <c r="R701" s="40"/>
      <c r="S701" s="40"/>
      <c r="T701" s="40"/>
      <c r="U701" s="40"/>
      <c r="V701" s="40"/>
      <c r="W701" s="40"/>
      <c r="X701" s="40"/>
      <c r="Y701" s="40"/>
    </row>
    <row r="702" spans="1:25" x14ac:dyDescent="0.25">
      <c r="A702" s="85"/>
      <c r="B702" s="40"/>
      <c r="C702" s="40"/>
      <c r="D702" s="40"/>
      <c r="E702" s="40"/>
      <c r="F702" s="40"/>
      <c r="G702" s="40"/>
      <c r="H702" s="40"/>
      <c r="I702" s="40"/>
      <c r="J702" s="40"/>
      <c r="K702" s="40"/>
      <c r="L702" s="353" t="s">
        <v>217</v>
      </c>
      <c r="M702" s="354"/>
      <c r="N702" s="350">
        <f>SUM(C701:N701)+N670</f>
        <v>9037086071.3527298</v>
      </c>
      <c r="O702" s="40"/>
    </row>
    <row r="703" spans="1:25" x14ac:dyDescent="0.25">
      <c r="A703" s="85"/>
      <c r="B703" s="40"/>
      <c r="C703" s="40"/>
      <c r="D703" s="40"/>
      <c r="E703" s="40"/>
      <c r="F703" s="40"/>
      <c r="G703" s="40"/>
      <c r="H703" s="40"/>
      <c r="I703" s="40"/>
      <c r="J703" s="40"/>
      <c r="K703" s="40"/>
      <c r="L703" s="320"/>
      <c r="M703" s="355"/>
      <c r="N703" s="351"/>
      <c r="O703" s="40"/>
    </row>
    <row r="704" spans="1:25" x14ac:dyDescent="0.25">
      <c r="A704" s="85"/>
      <c r="B704" s="319" t="s">
        <v>632</v>
      </c>
      <c r="C704" s="352" t="s">
        <v>173</v>
      </c>
      <c r="D704" s="352"/>
      <c r="E704" s="352"/>
      <c r="F704" s="352"/>
      <c r="G704" s="352"/>
      <c r="H704" s="352"/>
      <c r="I704" s="40"/>
      <c r="J704" s="358" t="s">
        <v>231</v>
      </c>
      <c r="K704" s="359">
        <v>0.04</v>
      </c>
      <c r="L704" s="40"/>
      <c r="M704" s="40"/>
      <c r="N704" s="40"/>
      <c r="O704" s="361"/>
    </row>
    <row r="705" spans="1:15" x14ac:dyDescent="0.25">
      <c r="A705" s="85"/>
      <c r="B705" s="319"/>
      <c r="C705" s="352"/>
      <c r="D705" s="352"/>
      <c r="E705" s="352"/>
      <c r="F705" s="352"/>
      <c r="G705" s="352"/>
      <c r="H705" s="352"/>
      <c r="I705" s="40"/>
      <c r="J705" s="358"/>
      <c r="K705" s="360"/>
      <c r="L705" s="40"/>
      <c r="M705" s="40"/>
      <c r="N705" s="40"/>
      <c r="O705" s="362"/>
    </row>
    <row r="706" spans="1:15" x14ac:dyDescent="0.25">
      <c r="A706" s="85"/>
      <c r="B706" s="319"/>
      <c r="C706" s="352"/>
      <c r="D706" s="352"/>
      <c r="E706" s="352"/>
      <c r="F706" s="352"/>
      <c r="G706" s="352"/>
      <c r="H706" s="352"/>
      <c r="I706" s="40"/>
      <c r="J706" s="40"/>
      <c r="K706" s="40"/>
      <c r="L706" s="40"/>
      <c r="M706" s="40"/>
      <c r="N706" s="40"/>
      <c r="O706" s="40"/>
    </row>
    <row r="709" spans="1:15" ht="24.6" x14ac:dyDescent="0.25">
      <c r="A709" s="96"/>
      <c r="B709" s="348" t="s">
        <v>300</v>
      </c>
      <c r="C709" s="348"/>
      <c r="D709" s="348"/>
      <c r="E709" s="348"/>
      <c r="F709" s="348"/>
      <c r="G709" s="348"/>
      <c r="H709" s="348"/>
      <c r="I709" s="348"/>
      <c r="J709" s="348"/>
      <c r="K709" s="348"/>
      <c r="L709" s="348"/>
      <c r="M709" s="348"/>
      <c r="N709" s="348"/>
      <c r="O709" s="348"/>
    </row>
    <row r="710" spans="1:15" ht="24.6" x14ac:dyDescent="0.25">
      <c r="A710" s="96"/>
      <c r="B710" s="349"/>
      <c r="C710" s="349"/>
      <c r="D710" s="349"/>
      <c r="E710" s="349"/>
      <c r="F710" s="349"/>
      <c r="G710" s="349"/>
      <c r="H710" s="349"/>
      <c r="I710" s="349"/>
      <c r="J710" s="349"/>
      <c r="K710" s="349"/>
      <c r="L710" s="349"/>
      <c r="M710" s="349"/>
      <c r="N710" s="349"/>
      <c r="O710" s="349"/>
    </row>
    <row r="711" spans="1:15" x14ac:dyDescent="0.25">
      <c r="A711" s="82"/>
      <c r="B711" s="41"/>
      <c r="C711" s="42" t="s">
        <v>66</v>
      </c>
      <c r="D711" s="42" t="s">
        <v>67</v>
      </c>
      <c r="E711" s="42" t="s">
        <v>68</v>
      </c>
      <c r="F711" s="42" t="s">
        <v>69</v>
      </c>
      <c r="G711" s="42" t="s">
        <v>70</v>
      </c>
      <c r="H711" s="42" t="s">
        <v>71</v>
      </c>
      <c r="I711" s="42" t="s">
        <v>72</v>
      </c>
      <c r="J711" s="42" t="s">
        <v>73</v>
      </c>
      <c r="K711" s="42" t="s">
        <v>74</v>
      </c>
      <c r="L711" s="42" t="s">
        <v>75</v>
      </c>
      <c r="M711" s="42" t="s">
        <v>76</v>
      </c>
      <c r="N711" s="42" t="s">
        <v>77</v>
      </c>
      <c r="O711" s="42" t="s">
        <v>236</v>
      </c>
    </row>
    <row r="712" spans="1:15" x14ac:dyDescent="0.25">
      <c r="A712" s="82"/>
      <c r="B712" s="44" t="s">
        <v>381</v>
      </c>
      <c r="C712" s="45">
        <f>'11.My pension value'!$D$20/12</f>
        <v>35611893.330636717</v>
      </c>
      <c r="D712" s="45">
        <f>'11.My pension value'!$D$20/12</f>
        <v>35611893.330636717</v>
      </c>
      <c r="E712" s="45">
        <f>'11.My pension value'!$D$20/12</f>
        <v>35611893.330636717</v>
      </c>
      <c r="F712" s="45">
        <f>'11.My pension value'!$D$20/12</f>
        <v>35611893.330636717</v>
      </c>
      <c r="G712" s="45">
        <f>'11.My pension value'!$D$20/12</f>
        <v>35611893.330636717</v>
      </c>
      <c r="H712" s="45">
        <f>'11.My pension value'!$D$20/12</f>
        <v>35611893.330636717</v>
      </c>
      <c r="I712" s="45">
        <f>'11.My pension value'!$D$20/12</f>
        <v>35611893.330636717</v>
      </c>
      <c r="J712" s="45">
        <f>'11.My pension value'!$D$20/12</f>
        <v>35611893.330636717</v>
      </c>
      <c r="K712" s="45">
        <f>'11.My pension value'!$D$20/12</f>
        <v>35611893.330636717</v>
      </c>
      <c r="L712" s="45">
        <f>'11.My pension value'!$D$20/12</f>
        <v>35611893.330636717</v>
      </c>
      <c r="M712" s="45">
        <f>'11.My pension value'!$D$20/12</f>
        <v>35611893.330636717</v>
      </c>
      <c r="N712" s="45">
        <f>'11.My pension value'!$D$20/12</f>
        <v>35611893.330636717</v>
      </c>
      <c r="O712" s="45" t="s">
        <v>173</v>
      </c>
    </row>
    <row r="713" spans="1:15" x14ac:dyDescent="0.25">
      <c r="A713" s="82"/>
      <c r="B713" s="44" t="s">
        <v>382</v>
      </c>
      <c r="C713" s="45">
        <f>'10.2. Wife''s retirement salary'!$O$10</f>
        <v>30571553.146033701</v>
      </c>
      <c r="D713" s="45">
        <f>'10.2. Wife''s retirement salary'!$O$10</f>
        <v>30571553.146033701</v>
      </c>
      <c r="E713" s="45">
        <f>'10.2. Wife''s retirement salary'!$O$10</f>
        <v>30571553.146033701</v>
      </c>
      <c r="F713" s="45">
        <f>'10.2. Wife''s retirement salary'!$O$10</f>
        <v>30571553.146033701</v>
      </c>
      <c r="G713" s="45">
        <f>'10.2. Wife''s retirement salary'!$O$10</f>
        <v>30571553.146033701</v>
      </c>
      <c r="H713" s="45">
        <f>'10.2. Wife''s retirement salary'!$O$10</f>
        <v>30571553.146033701</v>
      </c>
      <c r="I713" s="45">
        <f>'10.2. Wife''s retirement salary'!$O$10</f>
        <v>30571553.146033701</v>
      </c>
      <c r="J713" s="45">
        <f>'10.2. Wife''s retirement salary'!$O$10</f>
        <v>30571553.146033701</v>
      </c>
      <c r="K713" s="45">
        <f>'10.2. Wife''s retirement salary'!$O$10</f>
        <v>30571553.146033701</v>
      </c>
      <c r="L713" s="45">
        <f>'10.2. Wife''s retirement salary'!$O$10</f>
        <v>30571553.146033701</v>
      </c>
      <c r="M713" s="45">
        <f>'10.2. Wife''s retirement salary'!$O$10</f>
        <v>30571553.146033701</v>
      </c>
      <c r="N713" s="45">
        <f>'10.2. Wife''s retirement salary'!$O$10</f>
        <v>30571553.146033701</v>
      </c>
      <c r="O713" s="45" t="s">
        <v>173</v>
      </c>
    </row>
    <row r="714" spans="1:15" x14ac:dyDescent="0.25">
      <c r="A714" s="82"/>
      <c r="B714" s="46" t="s">
        <v>209</v>
      </c>
      <c r="C714" s="47">
        <f>SUM(C712:C713)</f>
        <v>66183446.476670414</v>
      </c>
      <c r="D714" s="47">
        <f t="shared" ref="D714:J714" si="991">SUM(D712:D713)</f>
        <v>66183446.476670414</v>
      </c>
      <c r="E714" s="47">
        <f t="shared" si="991"/>
        <v>66183446.476670414</v>
      </c>
      <c r="F714" s="47">
        <f t="shared" si="991"/>
        <v>66183446.476670414</v>
      </c>
      <c r="G714" s="47">
        <f t="shared" si="991"/>
        <v>66183446.476670414</v>
      </c>
      <c r="H714" s="47">
        <f t="shared" si="991"/>
        <v>66183446.476670414</v>
      </c>
      <c r="I714" s="47">
        <f t="shared" si="991"/>
        <v>66183446.476670414</v>
      </c>
      <c r="J714" s="47">
        <f t="shared" si="991"/>
        <v>66183446.476670414</v>
      </c>
      <c r="K714" s="47">
        <f>SUM(K712:K713)</f>
        <v>66183446.476670414</v>
      </c>
      <c r="L714" s="47">
        <f t="shared" ref="L714:N714" si="992">SUM(L712:L713)</f>
        <v>66183446.476670414</v>
      </c>
      <c r="M714" s="47">
        <f t="shared" si="992"/>
        <v>66183446.476670414</v>
      </c>
      <c r="N714" s="47">
        <f t="shared" si="992"/>
        <v>66183446.476670414</v>
      </c>
      <c r="O714" s="47">
        <f>SUM(C714:N714)</f>
        <v>794201357.72004473</v>
      </c>
    </row>
    <row r="715" spans="1:15" x14ac:dyDescent="0.25">
      <c r="A715" s="82"/>
      <c r="B715" s="52" t="s">
        <v>78</v>
      </c>
      <c r="C715" s="53" t="s">
        <v>173</v>
      </c>
      <c r="D715" s="53" t="s">
        <v>173</v>
      </c>
      <c r="E715" s="53" t="s">
        <v>173</v>
      </c>
      <c r="F715" s="53" t="s">
        <v>173</v>
      </c>
      <c r="G715" s="53" t="s">
        <v>173</v>
      </c>
      <c r="H715" s="53" t="s">
        <v>173</v>
      </c>
      <c r="I715" s="53" t="s">
        <v>173</v>
      </c>
      <c r="J715" s="53" t="s">
        <v>173</v>
      </c>
      <c r="K715" s="53" t="s">
        <v>173</v>
      </c>
      <c r="L715" s="53" t="s">
        <v>173</v>
      </c>
      <c r="M715" s="53" t="s">
        <v>173</v>
      </c>
      <c r="N715" s="53" t="s">
        <v>173</v>
      </c>
      <c r="O715" s="91" t="s">
        <v>173</v>
      </c>
    </row>
    <row r="716" spans="1:15" x14ac:dyDescent="0.25">
      <c r="A716" s="82"/>
      <c r="B716" s="48" t="s">
        <v>79</v>
      </c>
      <c r="C716" s="54" t="s">
        <v>173</v>
      </c>
      <c r="D716" s="54" t="s">
        <v>173</v>
      </c>
      <c r="E716" s="54" t="s">
        <v>173</v>
      </c>
      <c r="F716" s="54" t="s">
        <v>173</v>
      </c>
      <c r="G716" s="54" t="s">
        <v>173</v>
      </c>
      <c r="H716" s="54" t="s">
        <v>173</v>
      </c>
      <c r="I716" s="54" t="s">
        <v>173</v>
      </c>
      <c r="J716" s="54" t="s">
        <v>173</v>
      </c>
      <c r="K716" s="54" t="s">
        <v>173</v>
      </c>
      <c r="L716" s="54" t="s">
        <v>173</v>
      </c>
      <c r="M716" s="54" t="s">
        <v>173</v>
      </c>
      <c r="N716" s="54" t="s">
        <v>173</v>
      </c>
      <c r="O716" s="91" t="s">
        <v>173</v>
      </c>
    </row>
    <row r="717" spans="1:15" x14ac:dyDescent="0.25">
      <c r="A717" s="83"/>
      <c r="B717" s="49" t="s">
        <v>195</v>
      </c>
      <c r="C717" s="50">
        <f>C685*(1+$K$62)</f>
        <v>1283830.2679946157</v>
      </c>
      <c r="D717" s="50">
        <v>0</v>
      </c>
      <c r="E717" s="50">
        <v>0</v>
      </c>
      <c r="F717" s="50">
        <v>0</v>
      </c>
      <c r="G717" s="50">
        <v>0</v>
      </c>
      <c r="H717" s="50">
        <v>0</v>
      </c>
      <c r="I717" s="50">
        <v>0</v>
      </c>
      <c r="J717" s="50">
        <v>0</v>
      </c>
      <c r="K717" s="50">
        <v>0</v>
      </c>
      <c r="L717" s="50">
        <v>0</v>
      </c>
      <c r="M717" s="50">
        <v>0</v>
      </c>
      <c r="N717" s="50">
        <v>0</v>
      </c>
      <c r="O717" s="90">
        <f t="shared" ref="O717:O720" si="993">SUM(C717:N717)</f>
        <v>1283830.2679946157</v>
      </c>
    </row>
    <row r="718" spans="1:15" x14ac:dyDescent="0.25">
      <c r="A718" s="82"/>
      <c r="B718" s="51" t="s">
        <v>178</v>
      </c>
      <c r="C718" s="50">
        <f>C686*(1+$K$62)</f>
        <v>9725986.8787470926</v>
      </c>
      <c r="D718" s="50">
        <f t="shared" ref="D718:N718" si="994">D686*(1+$K$62)</f>
        <v>9725986.8787470926</v>
      </c>
      <c r="E718" s="50">
        <f t="shared" si="994"/>
        <v>9725986.8787470926</v>
      </c>
      <c r="F718" s="50">
        <f t="shared" si="994"/>
        <v>9725986.8787470926</v>
      </c>
      <c r="G718" s="50">
        <f t="shared" si="994"/>
        <v>9725986.8787470926</v>
      </c>
      <c r="H718" s="50">
        <f t="shared" si="994"/>
        <v>9725986.8787470926</v>
      </c>
      <c r="I718" s="50">
        <f t="shared" si="994"/>
        <v>9725986.8787470926</v>
      </c>
      <c r="J718" s="50">
        <f t="shared" si="994"/>
        <v>9725986.8787470926</v>
      </c>
      <c r="K718" s="50">
        <f t="shared" si="994"/>
        <v>9725986.8787470926</v>
      </c>
      <c r="L718" s="50">
        <f t="shared" si="994"/>
        <v>9725986.8787470926</v>
      </c>
      <c r="M718" s="50">
        <f t="shared" si="994"/>
        <v>9725986.8787470926</v>
      </c>
      <c r="N718" s="50">
        <f t="shared" si="994"/>
        <v>9725986.8787470926</v>
      </c>
      <c r="O718" s="90">
        <f t="shared" si="993"/>
        <v>116711842.5449651</v>
      </c>
    </row>
    <row r="719" spans="1:15" x14ac:dyDescent="0.25">
      <c r="A719" s="84"/>
      <c r="B719" s="51" t="s">
        <v>248</v>
      </c>
      <c r="C719" s="50">
        <f>C687*(1+$K$62)</f>
        <v>1167118.425449651</v>
      </c>
      <c r="D719" s="50">
        <f t="shared" ref="D719:N719" si="995">D687*(1+$K$62)</f>
        <v>1167118.425449651</v>
      </c>
      <c r="E719" s="50">
        <f t="shared" si="995"/>
        <v>1167118.425449651</v>
      </c>
      <c r="F719" s="50">
        <f t="shared" si="995"/>
        <v>1167118.425449651</v>
      </c>
      <c r="G719" s="50">
        <f t="shared" si="995"/>
        <v>1167118.425449651</v>
      </c>
      <c r="H719" s="50">
        <f t="shared" si="995"/>
        <v>1167118.425449651</v>
      </c>
      <c r="I719" s="50">
        <f t="shared" si="995"/>
        <v>1167118.425449651</v>
      </c>
      <c r="J719" s="50">
        <f t="shared" si="995"/>
        <v>1167118.425449651</v>
      </c>
      <c r="K719" s="50">
        <f t="shared" si="995"/>
        <v>1167118.425449651</v>
      </c>
      <c r="L719" s="50">
        <f t="shared" si="995"/>
        <v>1167118.425449651</v>
      </c>
      <c r="M719" s="50">
        <f t="shared" si="995"/>
        <v>1167118.425449651</v>
      </c>
      <c r="N719" s="50">
        <f t="shared" si="995"/>
        <v>1167118.425449651</v>
      </c>
      <c r="O719" s="90">
        <f t="shared" si="993"/>
        <v>14005421.105395811</v>
      </c>
    </row>
    <row r="720" spans="1:15" x14ac:dyDescent="0.25">
      <c r="A720" s="82"/>
      <c r="B720" s="46" t="s">
        <v>207</v>
      </c>
      <c r="C720" s="47">
        <f t="shared" ref="C720" si="996">SUM(C717:C719)</f>
        <v>12176935.572191359</v>
      </c>
      <c r="D720" s="47">
        <f t="shared" ref="D720" si="997">SUM(D717:D719)</f>
        <v>10893105.304196743</v>
      </c>
      <c r="E720" s="47">
        <f t="shared" ref="E720" si="998">SUM(E717:E719)</f>
        <v>10893105.304196743</v>
      </c>
      <c r="F720" s="47">
        <f t="shared" ref="F720" si="999">SUM(F717:F719)</f>
        <v>10893105.304196743</v>
      </c>
      <c r="G720" s="47">
        <f t="shared" ref="G720" si="1000">SUM(G717:G719)</f>
        <v>10893105.304196743</v>
      </c>
      <c r="H720" s="47">
        <f t="shared" ref="H720" si="1001">SUM(H717:H719)</f>
        <v>10893105.304196743</v>
      </c>
      <c r="I720" s="47">
        <f t="shared" ref="I720" si="1002">SUM(I717:I719)</f>
        <v>10893105.304196743</v>
      </c>
      <c r="J720" s="47">
        <f t="shared" ref="J720" si="1003">SUM(J717:J719)</f>
        <v>10893105.304196743</v>
      </c>
      <c r="K720" s="47">
        <f t="shared" ref="K720" si="1004">SUM(K717:K719)</f>
        <v>10893105.304196743</v>
      </c>
      <c r="L720" s="47">
        <f t="shared" ref="L720" si="1005">SUM(L717:L719)</f>
        <v>10893105.304196743</v>
      </c>
      <c r="M720" s="47">
        <f t="shared" ref="M720" si="1006">SUM(M717:M719)</f>
        <v>10893105.304196743</v>
      </c>
      <c r="N720" s="47">
        <f t="shared" ref="N720" si="1007">SUM(N717:N719)</f>
        <v>10893105.304196743</v>
      </c>
      <c r="O720" s="47">
        <f t="shared" si="993"/>
        <v>132001093.91835555</v>
      </c>
    </row>
    <row r="721" spans="1:25" x14ac:dyDescent="0.25">
      <c r="A721" s="82"/>
      <c r="B721" s="55" t="s">
        <v>83</v>
      </c>
      <c r="C721" s="59" t="s">
        <v>173</v>
      </c>
      <c r="D721" s="59" t="s">
        <v>173</v>
      </c>
      <c r="E721" s="59" t="s">
        <v>173</v>
      </c>
      <c r="F721" s="59" t="s">
        <v>173</v>
      </c>
      <c r="G721" s="59" t="s">
        <v>173</v>
      </c>
      <c r="H721" s="59" t="s">
        <v>173</v>
      </c>
      <c r="I721" s="59" t="s">
        <v>173</v>
      </c>
      <c r="J721" s="59" t="s">
        <v>173</v>
      </c>
      <c r="K721" s="59" t="s">
        <v>173</v>
      </c>
      <c r="L721" s="59" t="s">
        <v>173</v>
      </c>
      <c r="M721" s="59" t="s">
        <v>173</v>
      </c>
      <c r="N721" s="59" t="s">
        <v>173</v>
      </c>
      <c r="O721" s="91" t="s">
        <v>173</v>
      </c>
    </row>
    <row r="722" spans="1:25" x14ac:dyDescent="0.25">
      <c r="A722" s="82"/>
      <c r="B722" s="57" t="s">
        <v>210</v>
      </c>
      <c r="C722" s="89">
        <f t="shared" ref="C722:N722" si="1008">C690*(1+$K$95)</f>
        <v>6438603.3137305742</v>
      </c>
      <c r="D722" s="89">
        <f t="shared" si="1008"/>
        <v>7761337.5292401789</v>
      </c>
      <c r="E722" s="89">
        <f t="shared" si="1008"/>
        <v>7158326.3427578565</v>
      </c>
      <c r="F722" s="89">
        <f t="shared" si="1008"/>
        <v>6691478.9725780031</v>
      </c>
      <c r="G722" s="89">
        <f t="shared" si="1008"/>
        <v>6146823.7073681606</v>
      </c>
      <c r="H722" s="89">
        <f t="shared" si="1008"/>
        <v>7702981.6079676989</v>
      </c>
      <c r="I722" s="89">
        <f t="shared" si="1008"/>
        <v>8986811.8759623114</v>
      </c>
      <c r="J722" s="89">
        <f t="shared" si="1008"/>
        <v>8617224.3745699227</v>
      </c>
      <c r="K722" s="89">
        <f t="shared" si="1008"/>
        <v>6652575.0250630099</v>
      </c>
      <c r="L722" s="89">
        <f t="shared" si="1008"/>
        <v>6827642.7888804581</v>
      </c>
      <c r="M722" s="89">
        <f t="shared" si="1008"/>
        <v>6496959.2350030579</v>
      </c>
      <c r="N722" s="89">
        <f t="shared" si="1008"/>
        <v>7022162.5264553986</v>
      </c>
      <c r="O722" s="92">
        <f t="shared" ref="O722:O730" si="1009">SUM(C722:N722)</f>
        <v>86502927.299576625</v>
      </c>
    </row>
    <row r="723" spans="1:25" x14ac:dyDescent="0.25">
      <c r="A723" s="82"/>
      <c r="B723" s="57" t="s">
        <v>203</v>
      </c>
      <c r="C723" s="89">
        <f t="shared" ref="C723:N723" si="1010">C691*(1+$K$95)</f>
        <v>23245108.640205543</v>
      </c>
      <c r="D723" s="89">
        <f t="shared" si="1010"/>
        <v>25034690.225895021</v>
      </c>
      <c r="E723" s="89">
        <f t="shared" si="1010"/>
        <v>28069198.132064108</v>
      </c>
      <c r="F723" s="89">
        <f t="shared" si="1010"/>
        <v>21280459.290698647</v>
      </c>
      <c r="G723" s="89">
        <f t="shared" si="1010"/>
        <v>28322073.79091154</v>
      </c>
      <c r="H723" s="89">
        <f t="shared" si="1010"/>
        <v>26688107.995282013</v>
      </c>
      <c r="I723" s="89">
        <f t="shared" si="1010"/>
        <v>24490034.96068519</v>
      </c>
      <c r="J723" s="89">
        <f t="shared" si="1010"/>
        <v>29119604.714968797</v>
      </c>
      <c r="K723" s="89">
        <f t="shared" si="1010"/>
        <v>28458237.607213981</v>
      </c>
      <c r="L723" s="89">
        <f t="shared" si="1010"/>
        <v>28458237.607213981</v>
      </c>
      <c r="M723" s="89">
        <f t="shared" si="1010"/>
        <v>22116894.162270904</v>
      </c>
      <c r="N723" s="89">
        <f t="shared" si="1010"/>
        <v>27271667.208006844</v>
      </c>
      <c r="O723" s="92">
        <f t="shared" si="1009"/>
        <v>312554314.33541656</v>
      </c>
    </row>
    <row r="724" spans="1:25" x14ac:dyDescent="0.25">
      <c r="A724" s="82"/>
      <c r="B724" s="58" t="s">
        <v>84</v>
      </c>
      <c r="C724" s="89">
        <f t="shared" ref="C724:N724" si="1011">C692*(1+$K$95)</f>
        <v>20560736.261671338</v>
      </c>
      <c r="D724" s="89">
        <f t="shared" si="1011"/>
        <v>22447577.716148283</v>
      </c>
      <c r="E724" s="89">
        <f t="shared" si="1011"/>
        <v>22525385.611178257</v>
      </c>
      <c r="F724" s="89">
        <f t="shared" si="1011"/>
        <v>23264560.613963053</v>
      </c>
      <c r="G724" s="89">
        <f t="shared" si="1011"/>
        <v>27524542.866854265</v>
      </c>
      <c r="H724" s="89">
        <f t="shared" si="1011"/>
        <v>23809215.879172876</v>
      </c>
      <c r="I724" s="89">
        <f t="shared" si="1011"/>
        <v>24723458.645775124</v>
      </c>
      <c r="J724" s="89">
        <f t="shared" si="1011"/>
        <v>28458237.607213981</v>
      </c>
      <c r="K724" s="89">
        <f t="shared" si="1011"/>
        <v>26046192.861284714</v>
      </c>
      <c r="L724" s="89">
        <f t="shared" si="1011"/>
        <v>26007288.913769722</v>
      </c>
      <c r="M724" s="89">
        <f t="shared" si="1011"/>
        <v>27835774.446974173</v>
      </c>
      <c r="N724" s="89">
        <f t="shared" si="1011"/>
        <v>22350317.847360816</v>
      </c>
      <c r="O724" s="92">
        <f t="shared" si="1009"/>
        <v>295553289.2713666</v>
      </c>
    </row>
    <row r="725" spans="1:25" x14ac:dyDescent="0.25">
      <c r="A725" s="82"/>
      <c r="B725" s="57" t="s">
        <v>85</v>
      </c>
      <c r="C725" s="89">
        <f t="shared" ref="C725:N725" si="1012">C693*(1+$K$95)</f>
        <v>23887023.774202868</v>
      </c>
      <c r="D725" s="89">
        <f t="shared" si="1012"/>
        <v>20444024.419126395</v>
      </c>
      <c r="E725" s="89">
        <f t="shared" si="1012"/>
        <v>21163747.44815366</v>
      </c>
      <c r="F725" s="89">
        <f t="shared" si="1012"/>
        <v>21494431.002031066</v>
      </c>
      <c r="G725" s="89">
        <f t="shared" si="1012"/>
        <v>28905633.003636349</v>
      </c>
      <c r="H725" s="89">
        <f t="shared" si="1012"/>
        <v>21222103.369426157</v>
      </c>
      <c r="I725" s="89">
        <f t="shared" si="1012"/>
        <v>24626198.776987631</v>
      </c>
      <c r="J725" s="89">
        <f t="shared" si="1012"/>
        <v>19490877.70500917</v>
      </c>
      <c r="K725" s="89">
        <f t="shared" si="1012"/>
        <v>25345921.806014933</v>
      </c>
      <c r="L725" s="89">
        <f t="shared" si="1012"/>
        <v>20132792.839006476</v>
      </c>
      <c r="M725" s="89">
        <f t="shared" si="1012"/>
        <v>25637701.412377335</v>
      </c>
      <c r="N725" s="89">
        <f t="shared" si="1012"/>
        <v>24412227.06565519</v>
      </c>
      <c r="O725" s="92">
        <f t="shared" si="1009"/>
        <v>276762682.62162721</v>
      </c>
    </row>
    <row r="726" spans="1:25" x14ac:dyDescent="0.25">
      <c r="A726" s="84"/>
      <c r="B726" s="58" t="s">
        <v>249</v>
      </c>
      <c r="C726" s="89">
        <v>10000000</v>
      </c>
      <c r="D726" s="89">
        <v>10000000</v>
      </c>
      <c r="E726" s="89">
        <v>10000000</v>
      </c>
      <c r="F726" s="89">
        <v>10000000</v>
      </c>
      <c r="G726" s="89">
        <v>10000000</v>
      </c>
      <c r="H726" s="89">
        <v>10000000</v>
      </c>
      <c r="I726" s="89">
        <v>10000000</v>
      </c>
      <c r="J726" s="89">
        <v>10000000</v>
      </c>
      <c r="K726" s="89">
        <v>10000000</v>
      </c>
      <c r="L726" s="89">
        <v>10000000</v>
      </c>
      <c r="M726" s="89">
        <v>10000000</v>
      </c>
      <c r="N726" s="89">
        <v>10000000</v>
      </c>
      <c r="O726" s="92">
        <f t="shared" si="1009"/>
        <v>120000000</v>
      </c>
    </row>
    <row r="727" spans="1:25" x14ac:dyDescent="0.25">
      <c r="A727" s="84"/>
      <c r="B727" s="58" t="s">
        <v>180</v>
      </c>
      <c r="C727" s="89">
        <f t="shared" ref="C727:N727" si="1013">C695*(1+$K$95)</f>
        <v>19893019.430154637</v>
      </c>
      <c r="D727" s="89">
        <f t="shared" si="1013"/>
        <v>17025703.111638878</v>
      </c>
      <c r="E727" s="89">
        <f t="shared" si="1013"/>
        <v>17625085.618899222</v>
      </c>
      <c r="F727" s="89">
        <f t="shared" si="1013"/>
        <v>17900477.581694521</v>
      </c>
      <c r="G727" s="89">
        <f t="shared" si="1013"/>
        <v>24072497.453753896</v>
      </c>
      <c r="H727" s="89">
        <f t="shared" si="1013"/>
        <v>17673684.200568996</v>
      </c>
      <c r="I727" s="89">
        <f t="shared" si="1013"/>
        <v>20508601.464638248</v>
      </c>
      <c r="J727" s="89">
        <f t="shared" si="1013"/>
        <v>16231926.277699471</v>
      </c>
      <c r="K727" s="89">
        <f t="shared" si="1013"/>
        <v>21107983.971898623</v>
      </c>
      <c r="L727" s="89">
        <f t="shared" si="1013"/>
        <v>16766510.676066827</v>
      </c>
      <c r="M727" s="89">
        <f t="shared" si="1013"/>
        <v>21350976.880247403</v>
      </c>
      <c r="N727" s="89">
        <f t="shared" si="1013"/>
        <v>20330406.66518246</v>
      </c>
      <c r="O727" s="92">
        <f t="shared" si="1009"/>
        <v>230486873.33244318</v>
      </c>
    </row>
    <row r="728" spans="1:25" x14ac:dyDescent="0.25">
      <c r="A728" s="84"/>
      <c r="B728" s="58" t="s">
        <v>86</v>
      </c>
      <c r="C728" s="89">
        <f t="shared" ref="C728:N728" si="1014">C696*(1+$K$95)</f>
        <v>17658249.517997313</v>
      </c>
      <c r="D728" s="89">
        <f t="shared" si="1014"/>
        <v>17658249.517997313</v>
      </c>
      <c r="E728" s="89">
        <f t="shared" si="1014"/>
        <v>17658249.517997313</v>
      </c>
      <c r="F728" s="89">
        <f t="shared" si="1014"/>
        <v>17658249.517997313</v>
      </c>
      <c r="G728" s="89">
        <f t="shared" si="1014"/>
        <v>17658249.517997313</v>
      </c>
      <c r="H728" s="89">
        <f t="shared" si="1014"/>
        <v>17658249.517997313</v>
      </c>
      <c r="I728" s="89">
        <f t="shared" si="1014"/>
        <v>17658249.517997313</v>
      </c>
      <c r="J728" s="89">
        <f t="shared" si="1014"/>
        <v>17658249.517997313</v>
      </c>
      <c r="K728" s="89">
        <f t="shared" si="1014"/>
        <v>17658249.517997313</v>
      </c>
      <c r="L728" s="89">
        <f t="shared" si="1014"/>
        <v>17658249.517997313</v>
      </c>
      <c r="M728" s="89">
        <f t="shared" si="1014"/>
        <v>17658249.517997313</v>
      </c>
      <c r="N728" s="89">
        <f t="shared" si="1014"/>
        <v>17658249.517997313</v>
      </c>
      <c r="O728" s="92">
        <f t="shared" si="1009"/>
        <v>211898994.2159678</v>
      </c>
    </row>
    <row r="729" spans="1:25" x14ac:dyDescent="0.25">
      <c r="A729" s="82"/>
      <c r="B729" s="46" t="s">
        <v>208</v>
      </c>
      <c r="C729" s="47">
        <f t="shared" ref="C729:N729" si="1015">SUM(C722:C728)</f>
        <v>121682740.93796226</v>
      </c>
      <c r="D729" s="47">
        <f t="shared" si="1015"/>
        <v>120371582.52004606</v>
      </c>
      <c r="E729" s="47">
        <f t="shared" si="1015"/>
        <v>124199992.67105041</v>
      </c>
      <c r="F729" s="47">
        <f t="shared" si="1015"/>
        <v>118289656.97896259</v>
      </c>
      <c r="G729" s="47">
        <f t="shared" si="1015"/>
        <v>142629820.34052154</v>
      </c>
      <c r="H729" s="47">
        <f t="shared" si="1015"/>
        <v>124754342.57041506</v>
      </c>
      <c r="I729" s="47">
        <f t="shared" si="1015"/>
        <v>130993355.24204582</v>
      </c>
      <c r="J729" s="47">
        <f t="shared" si="1015"/>
        <v>129576120.19745865</v>
      </c>
      <c r="K729" s="47">
        <f t="shared" si="1015"/>
        <v>135269160.78947258</v>
      </c>
      <c r="L729" s="47">
        <f t="shared" si="1015"/>
        <v>125850722.34293479</v>
      </c>
      <c r="M729" s="47">
        <f t="shared" si="1015"/>
        <v>131096555.65487018</v>
      </c>
      <c r="N729" s="47">
        <f t="shared" si="1015"/>
        <v>129045030.83065802</v>
      </c>
      <c r="O729" s="47">
        <f t="shared" si="1009"/>
        <v>1533759081.0763979</v>
      </c>
    </row>
    <row r="730" spans="1:25" x14ac:dyDescent="0.25">
      <c r="A730" s="82"/>
      <c r="B730" s="60" t="s">
        <v>87</v>
      </c>
      <c r="C730" s="47">
        <f t="shared" ref="C730:N730" si="1016">C720+C729</f>
        <v>133859676.51015362</v>
      </c>
      <c r="D730" s="47">
        <f t="shared" si="1016"/>
        <v>131264687.8242428</v>
      </c>
      <c r="E730" s="47">
        <f t="shared" si="1016"/>
        <v>135093097.97524714</v>
      </c>
      <c r="F730" s="47">
        <f t="shared" si="1016"/>
        <v>129182762.28315933</v>
      </c>
      <c r="G730" s="47">
        <f t="shared" si="1016"/>
        <v>153522925.64471829</v>
      </c>
      <c r="H730" s="47">
        <f t="shared" si="1016"/>
        <v>135647447.87461179</v>
      </c>
      <c r="I730" s="47">
        <f t="shared" si="1016"/>
        <v>141886460.54624256</v>
      </c>
      <c r="J730" s="47">
        <f t="shared" si="1016"/>
        <v>140469225.5016554</v>
      </c>
      <c r="K730" s="47">
        <f t="shared" si="1016"/>
        <v>146162266.09366933</v>
      </c>
      <c r="L730" s="47">
        <f t="shared" si="1016"/>
        <v>136743827.64713153</v>
      </c>
      <c r="M730" s="47">
        <f t="shared" si="1016"/>
        <v>141989660.95906693</v>
      </c>
      <c r="N730" s="47">
        <f t="shared" si="1016"/>
        <v>139938136.13485476</v>
      </c>
      <c r="O730" s="47">
        <f t="shared" si="1009"/>
        <v>1665760174.9947536</v>
      </c>
    </row>
    <row r="731" spans="1:25" s="11" customFormat="1" x14ac:dyDescent="0.25">
      <c r="A731" s="82"/>
      <c r="B731" s="108" t="s">
        <v>204</v>
      </c>
      <c r="C731" s="109">
        <f>$O730*(3/12)/12</f>
        <v>34703336.979057364</v>
      </c>
      <c r="D731" s="109">
        <f t="shared" ref="D731" si="1017">$O730*(3/12)/12</f>
        <v>34703336.979057364</v>
      </c>
      <c r="E731" s="109">
        <f t="shared" ref="E731" si="1018">$O730*(3/12)/12</f>
        <v>34703336.979057364</v>
      </c>
      <c r="F731" s="109">
        <f t="shared" ref="F731" si="1019">$O730*(3/12)/12</f>
        <v>34703336.979057364</v>
      </c>
      <c r="G731" s="109">
        <f t="shared" ref="G731" si="1020">$O730*(3/12)/12</f>
        <v>34703336.979057364</v>
      </c>
      <c r="H731" s="109">
        <f t="shared" ref="H731" si="1021">$O730*(3/12)/12</f>
        <v>34703336.979057364</v>
      </c>
      <c r="I731" s="109">
        <f t="shared" ref="I731" si="1022">$O730*(3/12)/12</f>
        <v>34703336.979057364</v>
      </c>
      <c r="J731" s="109">
        <f t="shared" ref="J731" si="1023">$O730*(3/12)/12</f>
        <v>34703336.979057364</v>
      </c>
      <c r="K731" s="109">
        <f t="shared" ref="K731" si="1024">$O730*(3/12)/12</f>
        <v>34703336.979057364</v>
      </c>
      <c r="L731" s="109">
        <f t="shared" ref="L731" si="1025">$O730*(3/12)/12</f>
        <v>34703336.979057364</v>
      </c>
      <c r="M731" s="109">
        <f t="shared" ref="M731" si="1026">$O730*(3/12)/12</f>
        <v>34703336.979057364</v>
      </c>
      <c r="N731" s="109">
        <f>$O730*(3/12)/12</f>
        <v>34703336.979057364</v>
      </c>
      <c r="O731" s="109">
        <f t="shared" ref="O731:O733" si="1027">SUM(C731:N731)</f>
        <v>416440043.7486884</v>
      </c>
      <c r="P731" s="43"/>
      <c r="Q731" s="43"/>
      <c r="R731" s="40"/>
      <c r="S731" s="40"/>
      <c r="T731" s="40"/>
      <c r="U731" s="40"/>
      <c r="V731" s="40"/>
      <c r="W731" s="40"/>
      <c r="X731" s="40"/>
      <c r="Y731" s="40"/>
    </row>
    <row r="732" spans="1:25" s="11" customFormat="1" x14ac:dyDescent="0.25">
      <c r="A732" s="82"/>
      <c r="B732" s="108" t="s">
        <v>386</v>
      </c>
      <c r="C732" s="109">
        <f>C700*(1+$K$192)</f>
        <v>10660025.019417478</v>
      </c>
      <c r="D732" s="109">
        <v>0</v>
      </c>
      <c r="E732" s="109">
        <v>0</v>
      </c>
      <c r="F732" s="109">
        <v>0</v>
      </c>
      <c r="G732" s="109">
        <v>0</v>
      </c>
      <c r="H732" s="109">
        <v>0</v>
      </c>
      <c r="I732" s="109">
        <v>0</v>
      </c>
      <c r="J732" s="109">
        <v>0</v>
      </c>
      <c r="K732" s="109">
        <v>0</v>
      </c>
      <c r="L732" s="109">
        <v>0</v>
      </c>
      <c r="M732" s="109">
        <v>0</v>
      </c>
      <c r="N732" s="109">
        <v>0</v>
      </c>
      <c r="O732" s="109">
        <f t="shared" si="1027"/>
        <v>10660025.019417478</v>
      </c>
      <c r="P732" s="43"/>
      <c r="Q732" s="43"/>
      <c r="R732" s="40"/>
      <c r="S732" s="40"/>
      <c r="T732" s="40"/>
      <c r="U732" s="40"/>
      <c r="V732" s="40"/>
      <c r="W732" s="40"/>
      <c r="X732" s="40"/>
      <c r="Y732" s="40"/>
    </row>
    <row r="733" spans="1:25" s="11" customFormat="1" x14ac:dyDescent="0.25">
      <c r="A733" s="82"/>
      <c r="B733" s="60" t="s">
        <v>206</v>
      </c>
      <c r="C733" s="61">
        <f>C714-C730-C731-C732</f>
        <v>-113039592.03195806</v>
      </c>
      <c r="D733" s="61">
        <f t="shared" ref="D733" si="1028">D714-D730-D731-D732</f>
        <v>-99784578.326629758</v>
      </c>
      <c r="E733" s="61">
        <f t="shared" ref="E733" si="1029">E714-E730-E731-E732</f>
        <v>-103612988.4776341</v>
      </c>
      <c r="F733" s="61">
        <f t="shared" ref="F733" si="1030">F714-F730-F731-F732</f>
        <v>-97702652.785546273</v>
      </c>
      <c r="G733" s="61">
        <f t="shared" ref="G733" si="1031">G714-G730-G731-G732</f>
        <v>-122042816.14710525</v>
      </c>
      <c r="H733" s="61">
        <f t="shared" ref="H733" si="1032">H714-H730-H731-H732</f>
        <v>-104167338.37699875</v>
      </c>
      <c r="I733" s="61">
        <f t="shared" ref="I733" si="1033">I714-I730-I731-I732</f>
        <v>-110406351.04862952</v>
      </c>
      <c r="J733" s="61">
        <f t="shared" ref="J733" si="1034">J714-J730-J731-J732</f>
        <v>-108989116.00404236</v>
      </c>
      <c r="K733" s="61">
        <f t="shared" ref="K733" si="1035">K714-K730-K731-K732</f>
        <v>-114682156.59605628</v>
      </c>
      <c r="L733" s="61">
        <f t="shared" ref="L733" si="1036">L714-L730-L731-L732</f>
        <v>-105263718.14951849</v>
      </c>
      <c r="M733" s="61">
        <f t="shared" ref="M733" si="1037">M714-M730-M731-M732</f>
        <v>-110509551.46145388</v>
      </c>
      <c r="N733" s="61">
        <f t="shared" ref="N733" si="1038">N714-N730-N731-N732</f>
        <v>-108458026.63724172</v>
      </c>
      <c r="O733" s="47">
        <f t="shared" si="1027"/>
        <v>-1298658886.0428147</v>
      </c>
      <c r="P733" s="43"/>
      <c r="Q733" s="43"/>
      <c r="R733" s="40"/>
      <c r="S733" s="40"/>
      <c r="T733" s="40"/>
      <c r="U733" s="40"/>
      <c r="V733" s="40"/>
      <c r="W733" s="40"/>
      <c r="X733" s="40"/>
      <c r="Y733" s="40"/>
    </row>
    <row r="734" spans="1:25" x14ac:dyDescent="0.25">
      <c r="A734" s="85"/>
      <c r="B734" s="40"/>
      <c r="C734" s="40"/>
      <c r="D734" s="40"/>
      <c r="E734" s="40"/>
      <c r="F734" s="40"/>
      <c r="G734" s="40"/>
      <c r="H734" s="40"/>
      <c r="I734" s="40"/>
      <c r="J734" s="40"/>
      <c r="K734" s="40"/>
      <c r="L734" s="353" t="s">
        <v>217</v>
      </c>
      <c r="M734" s="354"/>
      <c r="N734" s="350">
        <f>SUM(C733:N733)+N702</f>
        <v>7738427185.3099155</v>
      </c>
      <c r="O734" s="40"/>
    </row>
    <row r="735" spans="1:25" x14ac:dyDescent="0.25">
      <c r="A735" s="85"/>
      <c r="B735" s="40"/>
      <c r="C735" s="40"/>
      <c r="D735" s="40"/>
      <c r="E735" s="40"/>
      <c r="F735" s="40"/>
      <c r="G735" s="40"/>
      <c r="H735" s="40"/>
      <c r="I735" s="40"/>
      <c r="J735" s="40"/>
      <c r="K735" s="40"/>
      <c r="L735" s="320"/>
      <c r="M735" s="355"/>
      <c r="N735" s="351"/>
      <c r="O735" s="40"/>
    </row>
    <row r="736" spans="1:25" x14ac:dyDescent="0.25">
      <c r="A736" s="85"/>
      <c r="B736" s="319" t="s">
        <v>632</v>
      </c>
      <c r="C736" s="352" t="s">
        <v>173</v>
      </c>
      <c r="D736" s="352"/>
      <c r="E736" s="352"/>
      <c r="F736" s="352"/>
      <c r="G736" s="352"/>
      <c r="H736" s="352"/>
      <c r="I736" s="40"/>
      <c r="J736" s="358" t="s">
        <v>231</v>
      </c>
      <c r="K736" s="359">
        <v>0.04</v>
      </c>
      <c r="L736" s="40"/>
      <c r="M736" s="40"/>
      <c r="N736" s="40"/>
      <c r="O736" s="361"/>
    </row>
    <row r="737" spans="1:15" x14ac:dyDescent="0.25">
      <c r="A737" s="85"/>
      <c r="B737" s="319"/>
      <c r="C737" s="352"/>
      <c r="D737" s="352"/>
      <c r="E737" s="352"/>
      <c r="F737" s="352"/>
      <c r="G737" s="352"/>
      <c r="H737" s="352"/>
      <c r="I737" s="40"/>
      <c r="J737" s="358"/>
      <c r="K737" s="360"/>
      <c r="L737" s="40"/>
      <c r="M737" s="40"/>
      <c r="N737" s="40"/>
      <c r="O737" s="362"/>
    </row>
    <row r="738" spans="1:15" x14ac:dyDescent="0.25">
      <c r="A738" s="85"/>
      <c r="B738" s="319"/>
      <c r="C738" s="352"/>
      <c r="D738" s="352"/>
      <c r="E738" s="352"/>
      <c r="F738" s="352"/>
      <c r="G738" s="352"/>
      <c r="H738" s="352"/>
      <c r="I738" s="40"/>
      <c r="J738" s="40"/>
      <c r="K738" s="40"/>
      <c r="L738" s="40"/>
      <c r="M738" s="40"/>
      <c r="N738" s="40"/>
      <c r="O738" s="40"/>
    </row>
    <row r="741" spans="1:15" ht="24.6" x14ac:dyDescent="0.25">
      <c r="A741" s="96"/>
      <c r="B741" s="348" t="s">
        <v>301</v>
      </c>
      <c r="C741" s="348"/>
      <c r="D741" s="348"/>
      <c r="E741" s="348"/>
      <c r="F741" s="348"/>
      <c r="G741" s="348"/>
      <c r="H741" s="348"/>
      <c r="I741" s="348"/>
      <c r="J741" s="348"/>
      <c r="K741" s="348"/>
      <c r="L741" s="348"/>
      <c r="M741" s="348"/>
      <c r="N741" s="348"/>
      <c r="O741" s="348"/>
    </row>
    <row r="742" spans="1:15" ht="24.6" x14ac:dyDescent="0.25">
      <c r="A742" s="96"/>
      <c r="B742" s="349"/>
      <c r="C742" s="349"/>
      <c r="D742" s="349"/>
      <c r="E742" s="349"/>
      <c r="F742" s="349"/>
      <c r="G742" s="349"/>
      <c r="H742" s="349"/>
      <c r="I742" s="349"/>
      <c r="J742" s="349"/>
      <c r="K742" s="349"/>
      <c r="L742" s="349"/>
      <c r="M742" s="349"/>
      <c r="N742" s="349"/>
      <c r="O742" s="349"/>
    </row>
    <row r="743" spans="1:15" x14ac:dyDescent="0.25">
      <c r="A743" s="82"/>
      <c r="B743" s="41"/>
      <c r="C743" s="42" t="s">
        <v>66</v>
      </c>
      <c r="D743" s="42" t="s">
        <v>67</v>
      </c>
      <c r="E743" s="42" t="s">
        <v>68</v>
      </c>
      <c r="F743" s="42" t="s">
        <v>69</v>
      </c>
      <c r="G743" s="42" t="s">
        <v>70</v>
      </c>
      <c r="H743" s="42" t="s">
        <v>71</v>
      </c>
      <c r="I743" s="42" t="s">
        <v>72</v>
      </c>
      <c r="J743" s="42" t="s">
        <v>73</v>
      </c>
      <c r="K743" s="42" t="s">
        <v>74</v>
      </c>
      <c r="L743" s="42" t="s">
        <v>75</v>
      </c>
      <c r="M743" s="42" t="s">
        <v>76</v>
      </c>
      <c r="N743" s="42" t="s">
        <v>77</v>
      </c>
      <c r="O743" s="42" t="s">
        <v>236</v>
      </c>
    </row>
    <row r="744" spans="1:15" x14ac:dyDescent="0.25">
      <c r="A744" s="82"/>
      <c r="B744" s="44" t="s">
        <v>381</v>
      </c>
      <c r="C744" s="45">
        <f>'11.My pension value'!$D$21/12</f>
        <v>35611893.330636717</v>
      </c>
      <c r="D744" s="45">
        <f>'11.My pension value'!$D$21/12</f>
        <v>35611893.330636717</v>
      </c>
      <c r="E744" s="45">
        <f>'11.My pension value'!$D$21/12</f>
        <v>35611893.330636717</v>
      </c>
      <c r="F744" s="45">
        <f>'11.My pension value'!$D$21/12</f>
        <v>35611893.330636717</v>
      </c>
      <c r="G744" s="45">
        <f>'11.My pension value'!$D$21/12</f>
        <v>35611893.330636717</v>
      </c>
      <c r="H744" s="45">
        <f>'11.My pension value'!$D$21/12</f>
        <v>35611893.330636717</v>
      </c>
      <c r="I744" s="45">
        <f>'11.My pension value'!$D$21/12</f>
        <v>35611893.330636717</v>
      </c>
      <c r="J744" s="45">
        <f>'11.My pension value'!$D$21/12</f>
        <v>35611893.330636717</v>
      </c>
      <c r="K744" s="45">
        <f>'11.My pension value'!$D$21/12</f>
        <v>35611893.330636717</v>
      </c>
      <c r="L744" s="45">
        <f>'11.My pension value'!$D$21/12</f>
        <v>35611893.330636717</v>
      </c>
      <c r="M744" s="45">
        <f>'11.My pension value'!$D$21/12</f>
        <v>35611893.330636717</v>
      </c>
      <c r="N744" s="45">
        <f>'11.My pension value'!$D$21/12</f>
        <v>35611893.330636717</v>
      </c>
      <c r="O744" s="45" t="s">
        <v>173</v>
      </c>
    </row>
    <row r="745" spans="1:15" x14ac:dyDescent="0.25">
      <c r="A745" s="82"/>
      <c r="B745" s="44" t="s">
        <v>382</v>
      </c>
      <c r="C745" s="45">
        <f>'10.2. Wife''s retirement salary'!$O$10</f>
        <v>30571553.146033701</v>
      </c>
      <c r="D745" s="45">
        <f>'10.2. Wife''s retirement salary'!$O$10</f>
        <v>30571553.146033701</v>
      </c>
      <c r="E745" s="45">
        <f>'10.2. Wife''s retirement salary'!$O$10</f>
        <v>30571553.146033701</v>
      </c>
      <c r="F745" s="45">
        <f>'10.2. Wife''s retirement salary'!$O$10</f>
        <v>30571553.146033701</v>
      </c>
      <c r="G745" s="45">
        <f>'10.2. Wife''s retirement salary'!$O$10</f>
        <v>30571553.146033701</v>
      </c>
      <c r="H745" s="45">
        <f>'10.2. Wife''s retirement salary'!$O$10</f>
        <v>30571553.146033701</v>
      </c>
      <c r="I745" s="45">
        <f>'10.2. Wife''s retirement salary'!$O$10</f>
        <v>30571553.146033701</v>
      </c>
      <c r="J745" s="45">
        <f>'10.2. Wife''s retirement salary'!$O$10</f>
        <v>30571553.146033701</v>
      </c>
      <c r="K745" s="45">
        <f>'10.2. Wife''s retirement salary'!$O$10</f>
        <v>30571553.146033701</v>
      </c>
      <c r="L745" s="45">
        <f>'10.2. Wife''s retirement salary'!$O$10</f>
        <v>30571553.146033701</v>
      </c>
      <c r="M745" s="45">
        <f>'10.2. Wife''s retirement salary'!$O$10</f>
        <v>30571553.146033701</v>
      </c>
      <c r="N745" s="45">
        <f>'10.2. Wife''s retirement salary'!$O$10</f>
        <v>30571553.146033701</v>
      </c>
      <c r="O745" s="45" t="s">
        <v>173</v>
      </c>
    </row>
    <row r="746" spans="1:15" x14ac:dyDescent="0.25">
      <c r="A746" s="82"/>
      <c r="B746" s="46" t="s">
        <v>209</v>
      </c>
      <c r="C746" s="47">
        <f>SUM(C744:C745)</f>
        <v>66183446.476670414</v>
      </c>
      <c r="D746" s="47">
        <f t="shared" ref="D746:J746" si="1039">SUM(D744:D745)</f>
        <v>66183446.476670414</v>
      </c>
      <c r="E746" s="47">
        <f t="shared" si="1039"/>
        <v>66183446.476670414</v>
      </c>
      <c r="F746" s="47">
        <f t="shared" si="1039"/>
        <v>66183446.476670414</v>
      </c>
      <c r="G746" s="47">
        <f t="shared" si="1039"/>
        <v>66183446.476670414</v>
      </c>
      <c r="H746" s="47">
        <f t="shared" si="1039"/>
        <v>66183446.476670414</v>
      </c>
      <c r="I746" s="47">
        <f t="shared" si="1039"/>
        <v>66183446.476670414</v>
      </c>
      <c r="J746" s="47">
        <f t="shared" si="1039"/>
        <v>66183446.476670414</v>
      </c>
      <c r="K746" s="47">
        <f>SUM(K744:K745)</f>
        <v>66183446.476670414</v>
      </c>
      <c r="L746" s="47">
        <f t="shared" ref="L746:N746" si="1040">SUM(L744:L745)</f>
        <v>66183446.476670414</v>
      </c>
      <c r="M746" s="47">
        <f t="shared" si="1040"/>
        <v>66183446.476670414</v>
      </c>
      <c r="N746" s="47">
        <f t="shared" si="1040"/>
        <v>66183446.476670414</v>
      </c>
      <c r="O746" s="47">
        <f>SUM(C746:N746)</f>
        <v>794201357.72004473</v>
      </c>
    </row>
    <row r="747" spans="1:15" x14ac:dyDescent="0.25">
      <c r="A747" s="82"/>
      <c r="B747" s="52" t="s">
        <v>78</v>
      </c>
      <c r="C747" s="53" t="s">
        <v>173</v>
      </c>
      <c r="D747" s="53" t="s">
        <v>173</v>
      </c>
      <c r="E747" s="53" t="s">
        <v>173</v>
      </c>
      <c r="F747" s="53" t="s">
        <v>173</v>
      </c>
      <c r="G747" s="53" t="s">
        <v>173</v>
      </c>
      <c r="H747" s="53" t="s">
        <v>173</v>
      </c>
      <c r="I747" s="53" t="s">
        <v>173</v>
      </c>
      <c r="J747" s="53" t="s">
        <v>173</v>
      </c>
      <c r="K747" s="53" t="s">
        <v>173</v>
      </c>
      <c r="L747" s="53" t="s">
        <v>173</v>
      </c>
      <c r="M747" s="53" t="s">
        <v>173</v>
      </c>
      <c r="N747" s="53" t="s">
        <v>173</v>
      </c>
      <c r="O747" s="91" t="s">
        <v>173</v>
      </c>
    </row>
    <row r="748" spans="1:15" x14ac:dyDescent="0.25">
      <c r="A748" s="82"/>
      <c r="B748" s="48" t="s">
        <v>79</v>
      </c>
      <c r="C748" s="54" t="s">
        <v>173</v>
      </c>
      <c r="D748" s="54" t="s">
        <v>173</v>
      </c>
      <c r="E748" s="54" t="s">
        <v>173</v>
      </c>
      <c r="F748" s="54" t="s">
        <v>173</v>
      </c>
      <c r="G748" s="54" t="s">
        <v>173</v>
      </c>
      <c r="H748" s="54" t="s">
        <v>173</v>
      </c>
      <c r="I748" s="54" t="s">
        <v>173</v>
      </c>
      <c r="J748" s="54" t="s">
        <v>173</v>
      </c>
      <c r="K748" s="54" t="s">
        <v>173</v>
      </c>
      <c r="L748" s="54" t="s">
        <v>173</v>
      </c>
      <c r="M748" s="54" t="s">
        <v>173</v>
      </c>
      <c r="N748" s="54" t="s">
        <v>173</v>
      </c>
      <c r="O748" s="91" t="s">
        <v>173</v>
      </c>
    </row>
    <row r="749" spans="1:15" x14ac:dyDescent="0.25">
      <c r="A749" s="83"/>
      <c r="B749" s="49" t="s">
        <v>195</v>
      </c>
      <c r="C749" s="50">
        <f>C717*(1+$K$62)</f>
        <v>1335183.4787144004</v>
      </c>
      <c r="D749" s="50">
        <v>0</v>
      </c>
      <c r="E749" s="50">
        <v>0</v>
      </c>
      <c r="F749" s="50">
        <v>0</v>
      </c>
      <c r="G749" s="50">
        <v>0</v>
      </c>
      <c r="H749" s="50">
        <v>0</v>
      </c>
      <c r="I749" s="50">
        <v>0</v>
      </c>
      <c r="J749" s="50">
        <v>0</v>
      </c>
      <c r="K749" s="50">
        <v>0</v>
      </c>
      <c r="L749" s="50">
        <v>0</v>
      </c>
      <c r="M749" s="50">
        <v>0</v>
      </c>
      <c r="N749" s="50">
        <v>0</v>
      </c>
      <c r="O749" s="90">
        <f t="shared" ref="O749:O752" si="1041">SUM(C749:N749)</f>
        <v>1335183.4787144004</v>
      </c>
    </row>
    <row r="750" spans="1:15" x14ac:dyDescent="0.25">
      <c r="A750" s="82"/>
      <c r="B750" s="51" t="s">
        <v>178</v>
      </c>
      <c r="C750" s="50">
        <f>C718*(1+$K$62)</f>
        <v>10115026.353896977</v>
      </c>
      <c r="D750" s="50">
        <f t="shared" ref="D750:N750" si="1042">D718*(1+$K$62)</f>
        <v>10115026.353896977</v>
      </c>
      <c r="E750" s="50">
        <f t="shared" si="1042"/>
        <v>10115026.353896977</v>
      </c>
      <c r="F750" s="50">
        <f t="shared" si="1042"/>
        <v>10115026.353896977</v>
      </c>
      <c r="G750" s="50">
        <f t="shared" si="1042"/>
        <v>10115026.353896977</v>
      </c>
      <c r="H750" s="50">
        <f t="shared" si="1042"/>
        <v>10115026.353896977</v>
      </c>
      <c r="I750" s="50">
        <f t="shared" si="1042"/>
        <v>10115026.353896977</v>
      </c>
      <c r="J750" s="50">
        <f t="shared" si="1042"/>
        <v>10115026.353896977</v>
      </c>
      <c r="K750" s="50">
        <f t="shared" si="1042"/>
        <v>10115026.353896977</v>
      </c>
      <c r="L750" s="50">
        <f t="shared" si="1042"/>
        <v>10115026.353896977</v>
      </c>
      <c r="M750" s="50">
        <f t="shared" si="1042"/>
        <v>10115026.353896977</v>
      </c>
      <c r="N750" s="50">
        <f t="shared" si="1042"/>
        <v>10115026.353896977</v>
      </c>
      <c r="O750" s="90">
        <f t="shared" si="1041"/>
        <v>121380316.24676372</v>
      </c>
    </row>
    <row r="751" spans="1:15" x14ac:dyDescent="0.25">
      <c r="A751" s="84"/>
      <c r="B751" s="51" t="s">
        <v>248</v>
      </c>
      <c r="C751" s="50">
        <f>C719*(1+$K$62)</f>
        <v>1213803.1624676371</v>
      </c>
      <c r="D751" s="50">
        <f t="shared" ref="D751:N751" si="1043">D719*(1+$K$62)</f>
        <v>1213803.1624676371</v>
      </c>
      <c r="E751" s="50">
        <f t="shared" si="1043"/>
        <v>1213803.1624676371</v>
      </c>
      <c r="F751" s="50">
        <f t="shared" si="1043"/>
        <v>1213803.1624676371</v>
      </c>
      <c r="G751" s="50">
        <f t="shared" si="1043"/>
        <v>1213803.1624676371</v>
      </c>
      <c r="H751" s="50">
        <f t="shared" si="1043"/>
        <v>1213803.1624676371</v>
      </c>
      <c r="I751" s="50">
        <f t="shared" si="1043"/>
        <v>1213803.1624676371</v>
      </c>
      <c r="J751" s="50">
        <f t="shared" si="1043"/>
        <v>1213803.1624676371</v>
      </c>
      <c r="K751" s="50">
        <f t="shared" si="1043"/>
        <v>1213803.1624676371</v>
      </c>
      <c r="L751" s="50">
        <f t="shared" si="1043"/>
        <v>1213803.1624676371</v>
      </c>
      <c r="M751" s="50">
        <f t="shared" si="1043"/>
        <v>1213803.1624676371</v>
      </c>
      <c r="N751" s="50">
        <f t="shared" si="1043"/>
        <v>1213803.1624676371</v>
      </c>
      <c r="O751" s="90">
        <f t="shared" si="1041"/>
        <v>14565637.949611641</v>
      </c>
    </row>
    <row r="752" spans="1:15" x14ac:dyDescent="0.25">
      <c r="A752" s="82"/>
      <c r="B752" s="46" t="s">
        <v>207</v>
      </c>
      <c r="C752" s="47">
        <f t="shared" ref="C752" si="1044">SUM(C749:C751)</f>
        <v>12664012.995079014</v>
      </c>
      <c r="D752" s="47">
        <f t="shared" ref="D752" si="1045">SUM(D749:D751)</f>
        <v>11328829.516364615</v>
      </c>
      <c r="E752" s="47">
        <f t="shared" ref="E752" si="1046">SUM(E749:E751)</f>
        <v>11328829.516364615</v>
      </c>
      <c r="F752" s="47">
        <f t="shared" ref="F752" si="1047">SUM(F749:F751)</f>
        <v>11328829.516364615</v>
      </c>
      <c r="G752" s="47">
        <f t="shared" ref="G752" si="1048">SUM(G749:G751)</f>
        <v>11328829.516364615</v>
      </c>
      <c r="H752" s="47">
        <f t="shared" ref="H752" si="1049">SUM(H749:H751)</f>
        <v>11328829.516364615</v>
      </c>
      <c r="I752" s="47">
        <f t="shared" ref="I752" si="1050">SUM(I749:I751)</f>
        <v>11328829.516364615</v>
      </c>
      <c r="J752" s="47">
        <f t="shared" ref="J752" si="1051">SUM(J749:J751)</f>
        <v>11328829.516364615</v>
      </c>
      <c r="K752" s="47">
        <f t="shared" ref="K752" si="1052">SUM(K749:K751)</f>
        <v>11328829.516364615</v>
      </c>
      <c r="L752" s="47">
        <f t="shared" ref="L752" si="1053">SUM(L749:L751)</f>
        <v>11328829.516364615</v>
      </c>
      <c r="M752" s="47">
        <f t="shared" ref="M752" si="1054">SUM(M749:M751)</f>
        <v>11328829.516364615</v>
      </c>
      <c r="N752" s="47">
        <f t="shared" ref="N752" si="1055">SUM(N749:N751)</f>
        <v>11328829.516364615</v>
      </c>
      <c r="O752" s="47">
        <f t="shared" si="1041"/>
        <v>137281137.67508981</v>
      </c>
    </row>
    <row r="753" spans="1:25" x14ac:dyDescent="0.25">
      <c r="A753" s="82"/>
      <c r="B753" s="55" t="s">
        <v>83</v>
      </c>
      <c r="C753" s="59" t="s">
        <v>173</v>
      </c>
      <c r="D753" s="59" t="s">
        <v>173</v>
      </c>
      <c r="E753" s="59" t="s">
        <v>173</v>
      </c>
      <c r="F753" s="59" t="s">
        <v>173</v>
      </c>
      <c r="G753" s="59" t="s">
        <v>173</v>
      </c>
      <c r="H753" s="59" t="s">
        <v>173</v>
      </c>
      <c r="I753" s="59" t="s">
        <v>173</v>
      </c>
      <c r="J753" s="59" t="s">
        <v>173</v>
      </c>
      <c r="K753" s="59" t="s">
        <v>173</v>
      </c>
      <c r="L753" s="59" t="s">
        <v>173</v>
      </c>
      <c r="M753" s="59" t="s">
        <v>173</v>
      </c>
      <c r="N753" s="59" t="s">
        <v>173</v>
      </c>
      <c r="O753" s="91" t="s">
        <v>173</v>
      </c>
    </row>
    <row r="754" spans="1:25" x14ac:dyDescent="0.25">
      <c r="A754" s="82"/>
      <c r="B754" s="57" t="s">
        <v>210</v>
      </c>
      <c r="C754" s="89">
        <f t="shared" ref="C754:N754" si="1056">C722*(1+$K$95)</f>
        <v>6696147.4462797977</v>
      </c>
      <c r="D754" s="89">
        <f t="shared" si="1056"/>
        <v>8071791.0304097859</v>
      </c>
      <c r="E754" s="89">
        <f t="shared" si="1056"/>
        <v>7444659.3964681709</v>
      </c>
      <c r="F754" s="89">
        <f t="shared" si="1056"/>
        <v>6959138.1314811232</v>
      </c>
      <c r="G754" s="89">
        <f t="shared" si="1056"/>
        <v>6392696.6556628868</v>
      </c>
      <c r="H754" s="89">
        <f t="shared" si="1056"/>
        <v>8011100.8722864073</v>
      </c>
      <c r="I754" s="89">
        <f t="shared" si="1056"/>
        <v>9346284.3510008045</v>
      </c>
      <c r="J754" s="89">
        <f t="shared" si="1056"/>
        <v>8961913.3495527208</v>
      </c>
      <c r="K754" s="89">
        <f t="shared" si="1056"/>
        <v>6918678.0260655303</v>
      </c>
      <c r="L754" s="89">
        <f t="shared" si="1056"/>
        <v>7100748.5004356764</v>
      </c>
      <c r="M754" s="89">
        <f t="shared" si="1056"/>
        <v>6756837.6044031801</v>
      </c>
      <c r="N754" s="89">
        <f t="shared" si="1056"/>
        <v>7303049.0275136149</v>
      </c>
      <c r="O754" s="92">
        <f t="shared" ref="O754:O762" si="1057">SUM(C754:N754)</f>
        <v>89963044.39155969</v>
      </c>
    </row>
    <row r="755" spans="1:25" x14ac:dyDescent="0.25">
      <c r="A755" s="82"/>
      <c r="B755" s="57" t="s">
        <v>203</v>
      </c>
      <c r="C755" s="89">
        <f t="shared" ref="C755:N755" si="1058">C723*(1+$K$95)</f>
        <v>24174912.985813767</v>
      </c>
      <c r="D755" s="89">
        <f t="shared" si="1058"/>
        <v>26036077.834930822</v>
      </c>
      <c r="E755" s="89">
        <f t="shared" si="1058"/>
        <v>29191966.057346672</v>
      </c>
      <c r="F755" s="89">
        <f t="shared" si="1058"/>
        <v>22131677.662326593</v>
      </c>
      <c r="G755" s="89">
        <f t="shared" si="1058"/>
        <v>29454956.742548004</v>
      </c>
      <c r="H755" s="89">
        <f t="shared" si="1058"/>
        <v>27755632.315093294</v>
      </c>
      <c r="I755" s="89">
        <f t="shared" si="1058"/>
        <v>25469636.359112598</v>
      </c>
      <c r="J755" s="89">
        <f t="shared" si="1058"/>
        <v>30284388.903567549</v>
      </c>
      <c r="K755" s="89">
        <f t="shared" si="1058"/>
        <v>29596567.111502543</v>
      </c>
      <c r="L755" s="89">
        <f t="shared" si="1058"/>
        <v>29596567.111502543</v>
      </c>
      <c r="M755" s="89">
        <f t="shared" si="1058"/>
        <v>23001569.928761739</v>
      </c>
      <c r="N755" s="89">
        <f t="shared" si="1058"/>
        <v>28362533.896327119</v>
      </c>
      <c r="O755" s="92">
        <f t="shared" si="1057"/>
        <v>325056486.90883321</v>
      </c>
    </row>
    <row r="756" spans="1:25" x14ac:dyDescent="0.25">
      <c r="A756" s="82"/>
      <c r="B756" s="58" t="s">
        <v>84</v>
      </c>
      <c r="C756" s="89">
        <f t="shared" ref="C756:N756" si="1059">C724*(1+$K$95)</f>
        <v>21383165.712138191</v>
      </c>
      <c r="D756" s="89">
        <f t="shared" si="1059"/>
        <v>23345480.824794214</v>
      </c>
      <c r="E756" s="89">
        <f t="shared" si="1059"/>
        <v>23426401.035625387</v>
      </c>
      <c r="F756" s="89">
        <f t="shared" si="1059"/>
        <v>24195143.038521577</v>
      </c>
      <c r="G756" s="89">
        <f t="shared" si="1059"/>
        <v>28625524.581528436</v>
      </c>
      <c r="H756" s="89">
        <f t="shared" si="1059"/>
        <v>24761584.514339793</v>
      </c>
      <c r="I756" s="89">
        <f t="shared" si="1059"/>
        <v>25712396.991606131</v>
      </c>
      <c r="J756" s="89">
        <f t="shared" si="1059"/>
        <v>29596567.111502543</v>
      </c>
      <c r="K756" s="89">
        <f t="shared" si="1059"/>
        <v>27088040.575736105</v>
      </c>
      <c r="L756" s="89">
        <f t="shared" si="1059"/>
        <v>27047580.470320512</v>
      </c>
      <c r="M756" s="89">
        <f t="shared" si="1059"/>
        <v>28949205.424853142</v>
      </c>
      <c r="N756" s="89">
        <f t="shared" si="1059"/>
        <v>23244330.56125525</v>
      </c>
      <c r="O756" s="92">
        <f t="shared" si="1057"/>
        <v>307375420.84222132</v>
      </c>
    </row>
    <row r="757" spans="1:25" x14ac:dyDescent="0.25">
      <c r="A757" s="82"/>
      <c r="B757" s="57" t="s">
        <v>85</v>
      </c>
      <c r="C757" s="89">
        <f t="shared" ref="C757:N757" si="1060">C725*(1+$K$95)</f>
        <v>24842504.725170985</v>
      </c>
      <c r="D757" s="89">
        <f t="shared" si="1060"/>
        <v>21261785.39589145</v>
      </c>
      <c r="E757" s="89">
        <f t="shared" si="1060"/>
        <v>22010297.346079808</v>
      </c>
      <c r="F757" s="89">
        <f t="shared" si="1060"/>
        <v>22354208.242112309</v>
      </c>
      <c r="G757" s="89">
        <f t="shared" si="1060"/>
        <v>30061858.323781803</v>
      </c>
      <c r="H757" s="89">
        <f t="shared" si="1060"/>
        <v>22070987.504203204</v>
      </c>
      <c r="I757" s="89">
        <f t="shared" si="1060"/>
        <v>25611246.728067137</v>
      </c>
      <c r="J757" s="89">
        <f t="shared" si="1060"/>
        <v>20270512.813209537</v>
      </c>
      <c r="K757" s="89">
        <f t="shared" si="1060"/>
        <v>26359758.678255532</v>
      </c>
      <c r="L757" s="89">
        <f t="shared" si="1060"/>
        <v>20938104.552566737</v>
      </c>
      <c r="M757" s="89">
        <f t="shared" si="1060"/>
        <v>26663209.468872428</v>
      </c>
      <c r="N757" s="89">
        <f t="shared" si="1060"/>
        <v>25388716.148281399</v>
      </c>
      <c r="O757" s="92">
        <f t="shared" si="1057"/>
        <v>287833189.92649233</v>
      </c>
    </row>
    <row r="758" spans="1:25" x14ac:dyDescent="0.25">
      <c r="A758" s="84"/>
      <c r="B758" s="58" t="s">
        <v>249</v>
      </c>
      <c r="C758" s="89">
        <v>10000000</v>
      </c>
      <c r="D758" s="89">
        <v>10000000</v>
      </c>
      <c r="E758" s="89">
        <v>10000000</v>
      </c>
      <c r="F758" s="89">
        <v>10000000</v>
      </c>
      <c r="G758" s="89">
        <v>10000000</v>
      </c>
      <c r="H758" s="89">
        <v>10000000</v>
      </c>
      <c r="I758" s="89">
        <v>10000000</v>
      </c>
      <c r="J758" s="89">
        <v>10000000</v>
      </c>
      <c r="K758" s="89">
        <v>10000000</v>
      </c>
      <c r="L758" s="89">
        <v>10000000</v>
      </c>
      <c r="M758" s="89">
        <v>10000000</v>
      </c>
      <c r="N758" s="89">
        <v>10000000</v>
      </c>
      <c r="O758" s="92">
        <f t="shared" si="1057"/>
        <v>120000000</v>
      </c>
    </row>
    <row r="759" spans="1:25" x14ac:dyDescent="0.25">
      <c r="A759" s="84"/>
      <c r="B759" s="58" t="s">
        <v>180</v>
      </c>
      <c r="C759" s="89">
        <f t="shared" ref="C759:N759" si="1061">C727*(1+$K$95)</f>
        <v>20688740.207360823</v>
      </c>
      <c r="D759" s="89">
        <f t="shared" si="1061"/>
        <v>17706731.236104432</v>
      </c>
      <c r="E759" s="89">
        <f t="shared" si="1061"/>
        <v>18330089.043655191</v>
      </c>
      <c r="F759" s="89">
        <f t="shared" si="1061"/>
        <v>18616496.684962302</v>
      </c>
      <c r="G759" s="89">
        <f t="shared" si="1061"/>
        <v>25035397.351904053</v>
      </c>
      <c r="H759" s="89">
        <f t="shared" si="1061"/>
        <v>18380631.568591759</v>
      </c>
      <c r="I759" s="89">
        <f t="shared" si="1061"/>
        <v>21328945.52322378</v>
      </c>
      <c r="J759" s="89">
        <f t="shared" si="1061"/>
        <v>16881203.328807451</v>
      </c>
      <c r="K759" s="89">
        <f t="shared" si="1061"/>
        <v>21952303.330774568</v>
      </c>
      <c r="L759" s="89">
        <f t="shared" si="1061"/>
        <v>17437171.103109501</v>
      </c>
      <c r="M759" s="89">
        <f t="shared" si="1061"/>
        <v>22205015.9554573</v>
      </c>
      <c r="N759" s="89">
        <f t="shared" si="1061"/>
        <v>21143622.93178976</v>
      </c>
      <c r="O759" s="92">
        <f t="shared" si="1057"/>
        <v>239706348.26574093</v>
      </c>
    </row>
    <row r="760" spans="1:25" x14ac:dyDescent="0.25">
      <c r="A760" s="84"/>
      <c r="B760" s="58" t="s">
        <v>86</v>
      </c>
      <c r="C760" s="89">
        <f t="shared" ref="C760:N760" si="1062">C728*(1+$K$95)</f>
        <v>18364579.498717207</v>
      </c>
      <c r="D760" s="89">
        <f t="shared" si="1062"/>
        <v>18364579.498717207</v>
      </c>
      <c r="E760" s="89">
        <f t="shared" si="1062"/>
        <v>18364579.498717207</v>
      </c>
      <c r="F760" s="89">
        <f t="shared" si="1062"/>
        <v>18364579.498717207</v>
      </c>
      <c r="G760" s="89">
        <f t="shared" si="1062"/>
        <v>18364579.498717207</v>
      </c>
      <c r="H760" s="89">
        <f t="shared" si="1062"/>
        <v>18364579.498717207</v>
      </c>
      <c r="I760" s="89">
        <f t="shared" si="1062"/>
        <v>18364579.498717207</v>
      </c>
      <c r="J760" s="89">
        <f t="shared" si="1062"/>
        <v>18364579.498717207</v>
      </c>
      <c r="K760" s="89">
        <f t="shared" si="1062"/>
        <v>18364579.498717207</v>
      </c>
      <c r="L760" s="89">
        <f t="shared" si="1062"/>
        <v>18364579.498717207</v>
      </c>
      <c r="M760" s="89">
        <f t="shared" si="1062"/>
        <v>18364579.498717207</v>
      </c>
      <c r="N760" s="89">
        <f t="shared" si="1062"/>
        <v>18364579.498717207</v>
      </c>
      <c r="O760" s="92">
        <f t="shared" si="1057"/>
        <v>220374953.98460653</v>
      </c>
    </row>
    <row r="761" spans="1:25" x14ac:dyDescent="0.25">
      <c r="A761" s="82"/>
      <c r="B761" s="46" t="s">
        <v>208</v>
      </c>
      <c r="C761" s="47">
        <f t="shared" ref="C761:N761" si="1063">SUM(C754:C760)</f>
        <v>126150050.57548076</v>
      </c>
      <c r="D761" s="47">
        <f t="shared" si="1063"/>
        <v>124786445.82084791</v>
      </c>
      <c r="E761" s="47">
        <f t="shared" si="1063"/>
        <v>128767992.37789243</v>
      </c>
      <c r="F761" s="47">
        <f t="shared" si="1063"/>
        <v>122621243.2581211</v>
      </c>
      <c r="G761" s="47">
        <f t="shared" si="1063"/>
        <v>147935013.15414238</v>
      </c>
      <c r="H761" s="47">
        <f t="shared" si="1063"/>
        <v>129344516.27323166</v>
      </c>
      <c r="I761" s="47">
        <f t="shared" si="1063"/>
        <v>135833089.45172769</v>
      </c>
      <c r="J761" s="47">
        <f t="shared" si="1063"/>
        <v>134359165.00535703</v>
      </c>
      <c r="K761" s="47">
        <f t="shared" si="1063"/>
        <v>140279927.22105148</v>
      </c>
      <c r="L761" s="47">
        <f t="shared" si="1063"/>
        <v>130484751.23665218</v>
      </c>
      <c r="M761" s="47">
        <f t="shared" si="1063"/>
        <v>135940417.88106501</v>
      </c>
      <c r="N761" s="47">
        <f t="shared" si="1063"/>
        <v>133806832.06388433</v>
      </c>
      <c r="O761" s="47">
        <f t="shared" si="1057"/>
        <v>1590309444.3194537</v>
      </c>
    </row>
    <row r="762" spans="1:25" x14ac:dyDescent="0.25">
      <c r="A762" s="82"/>
      <c r="B762" s="60" t="s">
        <v>87</v>
      </c>
      <c r="C762" s="47">
        <f t="shared" ref="C762:N762" si="1064">C752+C761</f>
        <v>138814063.57055977</v>
      </c>
      <c r="D762" s="47">
        <f t="shared" si="1064"/>
        <v>136115275.33721253</v>
      </c>
      <c r="E762" s="47">
        <f t="shared" si="1064"/>
        <v>140096821.89425704</v>
      </c>
      <c r="F762" s="47">
        <f t="shared" si="1064"/>
        <v>133950072.77448572</v>
      </c>
      <c r="G762" s="47">
        <f t="shared" si="1064"/>
        <v>159263842.67050698</v>
      </c>
      <c r="H762" s="47">
        <f t="shared" si="1064"/>
        <v>140673345.78959626</v>
      </c>
      <c r="I762" s="47">
        <f t="shared" si="1064"/>
        <v>147161918.96809229</v>
      </c>
      <c r="J762" s="47">
        <f t="shared" si="1064"/>
        <v>145687994.52172163</v>
      </c>
      <c r="K762" s="47">
        <f t="shared" si="1064"/>
        <v>151608756.73741609</v>
      </c>
      <c r="L762" s="47">
        <f t="shared" si="1064"/>
        <v>141813580.7530168</v>
      </c>
      <c r="M762" s="47">
        <f t="shared" si="1064"/>
        <v>147269247.39742962</v>
      </c>
      <c r="N762" s="47">
        <f t="shared" si="1064"/>
        <v>145135661.58024895</v>
      </c>
      <c r="O762" s="47">
        <f t="shared" si="1057"/>
        <v>1727590581.9945436</v>
      </c>
    </row>
    <row r="763" spans="1:25" s="11" customFormat="1" x14ac:dyDescent="0.25">
      <c r="A763" s="82"/>
      <c r="B763" s="108" t="s">
        <v>204</v>
      </c>
      <c r="C763" s="109">
        <f>$O762*(3/12)/12</f>
        <v>35991470.458219655</v>
      </c>
      <c r="D763" s="109">
        <f t="shared" ref="D763" si="1065">$O762*(3/12)/12</f>
        <v>35991470.458219655</v>
      </c>
      <c r="E763" s="109">
        <f t="shared" ref="E763" si="1066">$O762*(3/12)/12</f>
        <v>35991470.458219655</v>
      </c>
      <c r="F763" s="109">
        <f t="shared" ref="F763" si="1067">$O762*(3/12)/12</f>
        <v>35991470.458219655</v>
      </c>
      <c r="G763" s="109">
        <f t="shared" ref="G763" si="1068">$O762*(3/12)/12</f>
        <v>35991470.458219655</v>
      </c>
      <c r="H763" s="109">
        <f t="shared" ref="H763" si="1069">$O762*(3/12)/12</f>
        <v>35991470.458219655</v>
      </c>
      <c r="I763" s="109">
        <f t="shared" ref="I763" si="1070">$O762*(3/12)/12</f>
        <v>35991470.458219655</v>
      </c>
      <c r="J763" s="109">
        <f t="shared" ref="J763" si="1071">$O762*(3/12)/12</f>
        <v>35991470.458219655</v>
      </c>
      <c r="K763" s="109">
        <f t="shared" ref="K763" si="1072">$O762*(3/12)/12</f>
        <v>35991470.458219655</v>
      </c>
      <c r="L763" s="109">
        <f t="shared" ref="L763" si="1073">$O762*(3/12)/12</f>
        <v>35991470.458219655</v>
      </c>
      <c r="M763" s="109">
        <f t="shared" ref="M763" si="1074">$O762*(3/12)/12</f>
        <v>35991470.458219655</v>
      </c>
      <c r="N763" s="109">
        <f>$O762*(3/12)/12</f>
        <v>35991470.458219655</v>
      </c>
      <c r="O763" s="109">
        <f t="shared" ref="O763:O765" si="1075">SUM(C763:N763)</f>
        <v>431897645.49863583</v>
      </c>
      <c r="P763" s="43"/>
      <c r="Q763" s="43"/>
      <c r="R763" s="40"/>
      <c r="S763" s="40"/>
      <c r="T763" s="40"/>
      <c r="U763" s="40"/>
      <c r="V763" s="40"/>
      <c r="W763" s="40"/>
      <c r="X763" s="40"/>
      <c r="Y763" s="40"/>
    </row>
    <row r="764" spans="1:25" s="11" customFormat="1" x14ac:dyDescent="0.25">
      <c r="A764" s="82"/>
      <c r="B764" s="108" t="s">
        <v>386</v>
      </c>
      <c r="C764" s="109">
        <f>C732*(1+$K$192)</f>
        <v>11086426.020194177</v>
      </c>
      <c r="D764" s="109">
        <v>0</v>
      </c>
      <c r="E764" s="109">
        <v>0</v>
      </c>
      <c r="F764" s="109">
        <v>0</v>
      </c>
      <c r="G764" s="109">
        <v>0</v>
      </c>
      <c r="H764" s="109">
        <v>0</v>
      </c>
      <c r="I764" s="109">
        <v>0</v>
      </c>
      <c r="J764" s="109">
        <v>0</v>
      </c>
      <c r="K764" s="109">
        <v>0</v>
      </c>
      <c r="L764" s="109">
        <v>0</v>
      </c>
      <c r="M764" s="109">
        <v>0</v>
      </c>
      <c r="N764" s="109">
        <v>0</v>
      </c>
      <c r="O764" s="109">
        <f t="shared" si="1075"/>
        <v>11086426.020194177</v>
      </c>
      <c r="P764" s="43"/>
      <c r="Q764" s="43"/>
      <c r="R764" s="40"/>
      <c r="S764" s="40"/>
      <c r="T764" s="40"/>
      <c r="U764" s="40"/>
      <c r="V764" s="40"/>
      <c r="W764" s="40"/>
      <c r="X764" s="40"/>
      <c r="Y764" s="40"/>
    </row>
    <row r="765" spans="1:25" s="11" customFormat="1" x14ac:dyDescent="0.25">
      <c r="A765" s="82"/>
      <c r="B765" s="60" t="s">
        <v>206</v>
      </c>
      <c r="C765" s="61">
        <f>C746-C762-C763-C764</f>
        <v>-119708513.57230318</v>
      </c>
      <c r="D765" s="61">
        <f t="shared" ref="D765" si="1076">D746-D762-D763-D764</f>
        <v>-105923299.31876177</v>
      </c>
      <c r="E765" s="61">
        <f t="shared" ref="E765" si="1077">E746-E762-E763-E764</f>
        <v>-109904845.87580627</v>
      </c>
      <c r="F765" s="61">
        <f t="shared" ref="F765" si="1078">F746-F762-F763-F764</f>
        <v>-103758096.75603497</v>
      </c>
      <c r="G765" s="61">
        <f t="shared" ref="G765" si="1079">G746-G762-G763-G764</f>
        <v>-129071866.65205622</v>
      </c>
      <c r="H765" s="61">
        <f t="shared" ref="H765" si="1080">H746-H762-H763-H764</f>
        <v>-110481369.77114549</v>
      </c>
      <c r="I765" s="61">
        <f t="shared" ref="I765" si="1081">I746-I762-I763-I764</f>
        <v>-116969942.94964153</v>
      </c>
      <c r="J765" s="61">
        <f t="shared" ref="J765" si="1082">J746-J762-J763-J764</f>
        <v>-115496018.50327086</v>
      </c>
      <c r="K765" s="61">
        <f t="shared" ref="K765" si="1083">K746-K762-K763-K764</f>
        <v>-121416780.71896532</v>
      </c>
      <c r="L765" s="61">
        <f t="shared" ref="L765" si="1084">L746-L762-L763-L764</f>
        <v>-111621604.73456603</v>
      </c>
      <c r="M765" s="61">
        <f t="shared" ref="M765" si="1085">M746-M762-M763-M764</f>
        <v>-117077271.37897885</v>
      </c>
      <c r="N765" s="61">
        <f t="shared" ref="N765" si="1086">N746-N762-N763-N764</f>
        <v>-114943685.56179819</v>
      </c>
      <c r="O765" s="47">
        <f t="shared" si="1075"/>
        <v>-1376373295.7933283</v>
      </c>
      <c r="P765" s="43"/>
      <c r="Q765" s="43"/>
      <c r="R765" s="40"/>
      <c r="S765" s="40"/>
      <c r="T765" s="40"/>
      <c r="U765" s="40"/>
      <c r="V765" s="40"/>
      <c r="W765" s="40"/>
      <c r="X765" s="40"/>
      <c r="Y765" s="40"/>
    </row>
    <row r="766" spans="1:25" x14ac:dyDescent="0.25">
      <c r="A766" s="85"/>
      <c r="B766" s="40"/>
      <c r="C766" s="40"/>
      <c r="D766" s="40"/>
      <c r="E766" s="40"/>
      <c r="F766" s="40"/>
      <c r="G766" s="40"/>
      <c r="H766" s="40"/>
      <c r="I766" s="40"/>
      <c r="J766" s="40"/>
      <c r="K766" s="40"/>
      <c r="L766" s="353" t="s">
        <v>217</v>
      </c>
      <c r="M766" s="354"/>
      <c r="N766" s="350">
        <f>SUM(C765:N765)+N734</f>
        <v>6362053889.5165873</v>
      </c>
      <c r="O766" s="40"/>
    </row>
    <row r="767" spans="1:25" x14ac:dyDescent="0.25">
      <c r="A767" s="85"/>
      <c r="B767" s="40"/>
      <c r="C767" s="40"/>
      <c r="D767" s="40"/>
      <c r="E767" s="40"/>
      <c r="F767" s="40"/>
      <c r="G767" s="40"/>
      <c r="H767" s="40"/>
      <c r="I767" s="40"/>
      <c r="J767" s="40"/>
      <c r="K767" s="40"/>
      <c r="L767" s="320"/>
      <c r="M767" s="355"/>
      <c r="N767" s="351"/>
      <c r="O767" s="40"/>
    </row>
    <row r="768" spans="1:25" x14ac:dyDescent="0.25">
      <c r="A768" s="85"/>
      <c r="B768" s="319" t="s">
        <v>632</v>
      </c>
      <c r="C768" s="352" t="s">
        <v>173</v>
      </c>
      <c r="D768" s="352"/>
      <c r="E768" s="352"/>
      <c r="F768" s="352"/>
      <c r="G768" s="352"/>
      <c r="H768" s="352"/>
      <c r="I768" s="40"/>
      <c r="J768" s="358" t="s">
        <v>231</v>
      </c>
      <c r="K768" s="359">
        <v>0.04</v>
      </c>
      <c r="L768" s="40"/>
      <c r="M768" s="40"/>
      <c r="N768" s="40"/>
      <c r="O768" s="361"/>
    </row>
    <row r="769" spans="1:15" x14ac:dyDescent="0.25">
      <c r="A769" s="85"/>
      <c r="B769" s="319"/>
      <c r="C769" s="352"/>
      <c r="D769" s="352"/>
      <c r="E769" s="352"/>
      <c r="F769" s="352"/>
      <c r="G769" s="352"/>
      <c r="H769" s="352"/>
      <c r="I769" s="40"/>
      <c r="J769" s="358"/>
      <c r="K769" s="360"/>
      <c r="L769" s="40"/>
      <c r="M769" s="40"/>
      <c r="N769" s="40"/>
      <c r="O769" s="362"/>
    </row>
    <row r="770" spans="1:15" x14ac:dyDescent="0.25">
      <c r="A770" s="85"/>
      <c r="B770" s="319"/>
      <c r="C770" s="352"/>
      <c r="D770" s="352"/>
      <c r="E770" s="352"/>
      <c r="F770" s="352"/>
      <c r="G770" s="352"/>
      <c r="H770" s="352"/>
      <c r="I770" s="40"/>
      <c r="J770" s="40"/>
      <c r="K770" s="40"/>
      <c r="L770" s="40"/>
      <c r="M770" s="40"/>
      <c r="N770" s="40"/>
      <c r="O770" s="40"/>
    </row>
    <row r="773" spans="1:15" ht="24.6" x14ac:dyDescent="0.25">
      <c r="A773" s="96"/>
      <c r="B773" s="348" t="s">
        <v>302</v>
      </c>
      <c r="C773" s="348"/>
      <c r="D773" s="348"/>
      <c r="E773" s="348"/>
      <c r="F773" s="348"/>
      <c r="G773" s="348"/>
      <c r="H773" s="348"/>
      <c r="I773" s="348"/>
      <c r="J773" s="348"/>
      <c r="K773" s="348"/>
      <c r="L773" s="348"/>
      <c r="M773" s="348"/>
      <c r="N773" s="348"/>
      <c r="O773" s="348"/>
    </row>
    <row r="774" spans="1:15" ht="24.6" x14ac:dyDescent="0.25">
      <c r="A774" s="96"/>
      <c r="B774" s="349"/>
      <c r="C774" s="349"/>
      <c r="D774" s="349"/>
      <c r="E774" s="349"/>
      <c r="F774" s="349"/>
      <c r="G774" s="349"/>
      <c r="H774" s="349"/>
      <c r="I774" s="349"/>
      <c r="J774" s="349"/>
      <c r="K774" s="349"/>
      <c r="L774" s="349"/>
      <c r="M774" s="349"/>
      <c r="N774" s="349"/>
      <c r="O774" s="349"/>
    </row>
    <row r="775" spans="1:15" x14ac:dyDescent="0.25">
      <c r="A775" s="82"/>
      <c r="B775" s="41"/>
      <c r="C775" s="42" t="s">
        <v>66</v>
      </c>
      <c r="D775" s="42" t="s">
        <v>67</v>
      </c>
      <c r="E775" s="42" t="s">
        <v>68</v>
      </c>
      <c r="F775" s="42" t="s">
        <v>69</v>
      </c>
      <c r="G775" s="42" t="s">
        <v>70</v>
      </c>
      <c r="H775" s="42" t="s">
        <v>71</v>
      </c>
      <c r="I775" s="42" t="s">
        <v>72</v>
      </c>
      <c r="J775" s="42" t="s">
        <v>73</v>
      </c>
      <c r="K775" s="42" t="s">
        <v>74</v>
      </c>
      <c r="L775" s="42" t="s">
        <v>75</v>
      </c>
      <c r="M775" s="42" t="s">
        <v>76</v>
      </c>
      <c r="N775" s="42" t="s">
        <v>77</v>
      </c>
      <c r="O775" s="42" t="s">
        <v>236</v>
      </c>
    </row>
    <row r="776" spans="1:15" x14ac:dyDescent="0.25">
      <c r="A776" s="82"/>
      <c r="B776" s="44" t="s">
        <v>381</v>
      </c>
      <c r="C776" s="45">
        <f>'11.My pension value'!$D$22/12</f>
        <v>35611893.330636717</v>
      </c>
      <c r="D776" s="45">
        <f>'11.My pension value'!$D$22/12</f>
        <v>35611893.330636717</v>
      </c>
      <c r="E776" s="45">
        <f>'11.My pension value'!$D$22/12</f>
        <v>35611893.330636717</v>
      </c>
      <c r="F776" s="45">
        <f>'11.My pension value'!$D$22/12</f>
        <v>35611893.330636717</v>
      </c>
      <c r="G776" s="45">
        <f>'11.My pension value'!$D$22/12</f>
        <v>35611893.330636717</v>
      </c>
      <c r="H776" s="45">
        <f>'11.My pension value'!$D$22/12</f>
        <v>35611893.330636717</v>
      </c>
      <c r="I776" s="45">
        <f>'11.My pension value'!$D$22/12</f>
        <v>35611893.330636717</v>
      </c>
      <c r="J776" s="45">
        <f>'11.My pension value'!$D$22/12</f>
        <v>35611893.330636717</v>
      </c>
      <c r="K776" s="45">
        <f>'11.My pension value'!$D$22/12</f>
        <v>35611893.330636717</v>
      </c>
      <c r="L776" s="45">
        <f>'11.My pension value'!$D$22/12</f>
        <v>35611893.330636717</v>
      </c>
      <c r="M776" s="45">
        <f>'11.My pension value'!$D$22/12</f>
        <v>35611893.330636717</v>
      </c>
      <c r="N776" s="45">
        <f>'11.My pension value'!$D$22/12</f>
        <v>35611893.330636717</v>
      </c>
      <c r="O776" s="45" t="s">
        <v>173</v>
      </c>
    </row>
    <row r="777" spans="1:15" x14ac:dyDescent="0.25">
      <c r="A777" s="82"/>
      <c r="B777" s="44" t="s">
        <v>382</v>
      </c>
      <c r="C777" s="45">
        <f>'10.2. Wife''s retirement salary'!$O$10</f>
        <v>30571553.146033701</v>
      </c>
      <c r="D777" s="45">
        <f>'10.2. Wife''s retirement salary'!$O$10</f>
        <v>30571553.146033701</v>
      </c>
      <c r="E777" s="45">
        <f>'10.2. Wife''s retirement salary'!$O$10</f>
        <v>30571553.146033701</v>
      </c>
      <c r="F777" s="45">
        <f>'10.2. Wife''s retirement salary'!$O$10</f>
        <v>30571553.146033701</v>
      </c>
      <c r="G777" s="45">
        <f>'10.2. Wife''s retirement salary'!$O$10</f>
        <v>30571553.146033701</v>
      </c>
      <c r="H777" s="45">
        <f>'10.2. Wife''s retirement salary'!$O$10</f>
        <v>30571553.146033701</v>
      </c>
      <c r="I777" s="45">
        <f>'10.2. Wife''s retirement salary'!$O$10</f>
        <v>30571553.146033701</v>
      </c>
      <c r="J777" s="45">
        <f>'10.2. Wife''s retirement salary'!$O$10</f>
        <v>30571553.146033701</v>
      </c>
      <c r="K777" s="45">
        <f>'10.2. Wife''s retirement salary'!$O$10</f>
        <v>30571553.146033701</v>
      </c>
      <c r="L777" s="45">
        <f>'10.2. Wife''s retirement salary'!$O$10</f>
        <v>30571553.146033701</v>
      </c>
      <c r="M777" s="45">
        <f>'10.2. Wife''s retirement salary'!$O$10</f>
        <v>30571553.146033701</v>
      </c>
      <c r="N777" s="45">
        <f>'10.2. Wife''s retirement salary'!$O$10</f>
        <v>30571553.146033701</v>
      </c>
      <c r="O777" s="45" t="s">
        <v>173</v>
      </c>
    </row>
    <row r="778" spans="1:15" x14ac:dyDescent="0.25">
      <c r="A778" s="82"/>
      <c r="B778" s="46" t="s">
        <v>209</v>
      </c>
      <c r="C778" s="47">
        <f>SUM(C776:C777)</f>
        <v>66183446.476670414</v>
      </c>
      <c r="D778" s="47">
        <f t="shared" ref="D778:J778" si="1087">SUM(D776:D777)</f>
        <v>66183446.476670414</v>
      </c>
      <c r="E778" s="47">
        <f t="shared" si="1087"/>
        <v>66183446.476670414</v>
      </c>
      <c r="F778" s="47">
        <f t="shared" si="1087"/>
        <v>66183446.476670414</v>
      </c>
      <c r="G778" s="47">
        <f t="shared" si="1087"/>
        <v>66183446.476670414</v>
      </c>
      <c r="H778" s="47">
        <f t="shared" si="1087"/>
        <v>66183446.476670414</v>
      </c>
      <c r="I778" s="47">
        <f t="shared" si="1087"/>
        <v>66183446.476670414</v>
      </c>
      <c r="J778" s="47">
        <f t="shared" si="1087"/>
        <v>66183446.476670414</v>
      </c>
      <c r="K778" s="47">
        <f>SUM(K776:K777)</f>
        <v>66183446.476670414</v>
      </c>
      <c r="L778" s="47">
        <f t="shared" ref="L778:N778" si="1088">SUM(L776:L777)</f>
        <v>66183446.476670414</v>
      </c>
      <c r="M778" s="47">
        <f t="shared" si="1088"/>
        <v>66183446.476670414</v>
      </c>
      <c r="N778" s="47">
        <f t="shared" si="1088"/>
        <v>66183446.476670414</v>
      </c>
      <c r="O778" s="47">
        <f>SUM(C778:N778)</f>
        <v>794201357.72004473</v>
      </c>
    </row>
    <row r="779" spans="1:15" x14ac:dyDescent="0.25">
      <c r="A779" s="82"/>
      <c r="B779" s="52" t="s">
        <v>78</v>
      </c>
      <c r="C779" s="53" t="s">
        <v>173</v>
      </c>
      <c r="D779" s="53" t="s">
        <v>173</v>
      </c>
      <c r="E779" s="53" t="s">
        <v>173</v>
      </c>
      <c r="F779" s="53" t="s">
        <v>173</v>
      </c>
      <c r="G779" s="53" t="s">
        <v>173</v>
      </c>
      <c r="H779" s="53" t="s">
        <v>173</v>
      </c>
      <c r="I779" s="53" t="s">
        <v>173</v>
      </c>
      <c r="J779" s="53" t="s">
        <v>173</v>
      </c>
      <c r="K779" s="53" t="s">
        <v>173</v>
      </c>
      <c r="L779" s="53" t="s">
        <v>173</v>
      </c>
      <c r="M779" s="53" t="s">
        <v>173</v>
      </c>
      <c r="N779" s="53" t="s">
        <v>173</v>
      </c>
      <c r="O779" s="91" t="s">
        <v>173</v>
      </c>
    </row>
    <row r="780" spans="1:15" x14ac:dyDescent="0.25">
      <c r="A780" s="82"/>
      <c r="B780" s="48" t="s">
        <v>79</v>
      </c>
      <c r="C780" s="54" t="s">
        <v>173</v>
      </c>
      <c r="D780" s="54" t="s">
        <v>173</v>
      </c>
      <c r="E780" s="54" t="s">
        <v>173</v>
      </c>
      <c r="F780" s="54" t="s">
        <v>173</v>
      </c>
      <c r="G780" s="54" t="s">
        <v>173</v>
      </c>
      <c r="H780" s="54" t="s">
        <v>173</v>
      </c>
      <c r="I780" s="54" t="s">
        <v>173</v>
      </c>
      <c r="J780" s="54" t="s">
        <v>173</v>
      </c>
      <c r="K780" s="54" t="s">
        <v>173</v>
      </c>
      <c r="L780" s="54" t="s">
        <v>173</v>
      </c>
      <c r="M780" s="54" t="s">
        <v>173</v>
      </c>
      <c r="N780" s="54" t="s">
        <v>173</v>
      </c>
      <c r="O780" s="91" t="s">
        <v>173</v>
      </c>
    </row>
    <row r="781" spans="1:15" x14ac:dyDescent="0.25">
      <c r="A781" s="83"/>
      <c r="B781" s="49" t="s">
        <v>195</v>
      </c>
      <c r="C781" s="50">
        <f>C749*(1+$K$62)</f>
        <v>1388590.8178629766</v>
      </c>
      <c r="D781" s="50">
        <v>0</v>
      </c>
      <c r="E781" s="50">
        <v>0</v>
      </c>
      <c r="F781" s="50">
        <v>0</v>
      </c>
      <c r="G781" s="50">
        <v>0</v>
      </c>
      <c r="H781" s="50">
        <v>0</v>
      </c>
      <c r="I781" s="50">
        <v>0</v>
      </c>
      <c r="J781" s="50">
        <v>0</v>
      </c>
      <c r="K781" s="50">
        <v>0</v>
      </c>
      <c r="L781" s="50">
        <v>0</v>
      </c>
      <c r="M781" s="50">
        <v>0</v>
      </c>
      <c r="N781" s="50">
        <v>0</v>
      </c>
      <c r="O781" s="90">
        <f t="shared" ref="O781:O784" si="1089">SUM(C781:N781)</f>
        <v>1388590.8178629766</v>
      </c>
    </row>
    <row r="782" spans="1:15" x14ac:dyDescent="0.25">
      <c r="A782" s="82"/>
      <c r="B782" s="51" t="s">
        <v>178</v>
      </c>
      <c r="C782" s="50">
        <f>C750*(1+$K$62)</f>
        <v>10519627.408052856</v>
      </c>
      <c r="D782" s="50">
        <f t="shared" ref="D782:N782" si="1090">D750*(1+$K$62)</f>
        <v>10519627.408052856</v>
      </c>
      <c r="E782" s="50">
        <f t="shared" si="1090"/>
        <v>10519627.408052856</v>
      </c>
      <c r="F782" s="50">
        <f t="shared" si="1090"/>
        <v>10519627.408052856</v>
      </c>
      <c r="G782" s="50">
        <f t="shared" si="1090"/>
        <v>10519627.408052856</v>
      </c>
      <c r="H782" s="50">
        <f t="shared" si="1090"/>
        <v>10519627.408052856</v>
      </c>
      <c r="I782" s="50">
        <f t="shared" si="1090"/>
        <v>10519627.408052856</v>
      </c>
      <c r="J782" s="50">
        <f t="shared" si="1090"/>
        <v>10519627.408052856</v>
      </c>
      <c r="K782" s="50">
        <f t="shared" si="1090"/>
        <v>10519627.408052856</v>
      </c>
      <c r="L782" s="50">
        <f t="shared" si="1090"/>
        <v>10519627.408052856</v>
      </c>
      <c r="M782" s="50">
        <f t="shared" si="1090"/>
        <v>10519627.408052856</v>
      </c>
      <c r="N782" s="50">
        <f t="shared" si="1090"/>
        <v>10519627.408052856</v>
      </c>
      <c r="O782" s="90">
        <f t="shared" si="1089"/>
        <v>126235528.8966343</v>
      </c>
    </row>
    <row r="783" spans="1:15" x14ac:dyDescent="0.25">
      <c r="A783" s="84"/>
      <c r="B783" s="51" t="s">
        <v>248</v>
      </c>
      <c r="C783" s="50">
        <f>C751*(1+$K$62)</f>
        <v>1262355.2889663426</v>
      </c>
      <c r="D783" s="50">
        <f t="shared" ref="D783:N783" si="1091">D751*(1+$K$62)</f>
        <v>1262355.2889663426</v>
      </c>
      <c r="E783" s="50">
        <f t="shared" si="1091"/>
        <v>1262355.2889663426</v>
      </c>
      <c r="F783" s="50">
        <f t="shared" si="1091"/>
        <v>1262355.2889663426</v>
      </c>
      <c r="G783" s="50">
        <f t="shared" si="1091"/>
        <v>1262355.2889663426</v>
      </c>
      <c r="H783" s="50">
        <f t="shared" si="1091"/>
        <v>1262355.2889663426</v>
      </c>
      <c r="I783" s="50">
        <f t="shared" si="1091"/>
        <v>1262355.2889663426</v>
      </c>
      <c r="J783" s="50">
        <f t="shared" si="1091"/>
        <v>1262355.2889663426</v>
      </c>
      <c r="K783" s="50">
        <f t="shared" si="1091"/>
        <v>1262355.2889663426</v>
      </c>
      <c r="L783" s="50">
        <f t="shared" si="1091"/>
        <v>1262355.2889663426</v>
      </c>
      <c r="M783" s="50">
        <f t="shared" si="1091"/>
        <v>1262355.2889663426</v>
      </c>
      <c r="N783" s="50">
        <f t="shared" si="1091"/>
        <v>1262355.2889663426</v>
      </c>
      <c r="O783" s="90">
        <f t="shared" si="1089"/>
        <v>15148263.467596112</v>
      </c>
    </row>
    <row r="784" spans="1:15" x14ac:dyDescent="0.25">
      <c r="A784" s="82"/>
      <c r="B784" s="46" t="s">
        <v>207</v>
      </c>
      <c r="C784" s="47">
        <f t="shared" ref="C784" si="1092">SUM(C781:C783)</f>
        <v>13170573.514882175</v>
      </c>
      <c r="D784" s="47">
        <f t="shared" ref="D784" si="1093">SUM(D781:D783)</f>
        <v>11781982.697019199</v>
      </c>
      <c r="E784" s="47">
        <f t="shared" ref="E784" si="1094">SUM(E781:E783)</f>
        <v>11781982.697019199</v>
      </c>
      <c r="F784" s="47">
        <f t="shared" ref="F784" si="1095">SUM(F781:F783)</f>
        <v>11781982.697019199</v>
      </c>
      <c r="G784" s="47">
        <f t="shared" ref="G784" si="1096">SUM(G781:G783)</f>
        <v>11781982.697019199</v>
      </c>
      <c r="H784" s="47">
        <f t="shared" ref="H784" si="1097">SUM(H781:H783)</f>
        <v>11781982.697019199</v>
      </c>
      <c r="I784" s="47">
        <f t="shared" ref="I784" si="1098">SUM(I781:I783)</f>
        <v>11781982.697019199</v>
      </c>
      <c r="J784" s="47">
        <f t="shared" ref="J784" si="1099">SUM(J781:J783)</f>
        <v>11781982.697019199</v>
      </c>
      <c r="K784" s="47">
        <f t="shared" ref="K784" si="1100">SUM(K781:K783)</f>
        <v>11781982.697019199</v>
      </c>
      <c r="L784" s="47">
        <f t="shared" ref="L784" si="1101">SUM(L781:L783)</f>
        <v>11781982.697019199</v>
      </c>
      <c r="M784" s="47">
        <f t="shared" ref="M784" si="1102">SUM(M781:M783)</f>
        <v>11781982.697019199</v>
      </c>
      <c r="N784" s="47">
        <f t="shared" ref="N784" si="1103">SUM(N781:N783)</f>
        <v>11781982.697019199</v>
      </c>
      <c r="O784" s="47">
        <f t="shared" si="1089"/>
        <v>142772383.18209338</v>
      </c>
    </row>
    <row r="785" spans="1:25" x14ac:dyDescent="0.25">
      <c r="A785" s="82"/>
      <c r="B785" s="55" t="s">
        <v>83</v>
      </c>
      <c r="C785" s="59" t="s">
        <v>173</v>
      </c>
      <c r="D785" s="59" t="s">
        <v>173</v>
      </c>
      <c r="E785" s="59" t="s">
        <v>173</v>
      </c>
      <c r="F785" s="59" t="s">
        <v>173</v>
      </c>
      <c r="G785" s="59" t="s">
        <v>173</v>
      </c>
      <c r="H785" s="59" t="s">
        <v>173</v>
      </c>
      <c r="I785" s="59" t="s">
        <v>173</v>
      </c>
      <c r="J785" s="59" t="s">
        <v>173</v>
      </c>
      <c r="K785" s="59" t="s">
        <v>173</v>
      </c>
      <c r="L785" s="59" t="s">
        <v>173</v>
      </c>
      <c r="M785" s="59" t="s">
        <v>173</v>
      </c>
      <c r="N785" s="59" t="s">
        <v>173</v>
      </c>
      <c r="O785" s="91" t="s">
        <v>173</v>
      </c>
    </row>
    <row r="786" spans="1:25" x14ac:dyDescent="0.25">
      <c r="A786" s="82"/>
      <c r="B786" s="57" t="s">
        <v>210</v>
      </c>
      <c r="C786" s="89">
        <f t="shared" ref="C786:N786" si="1104">C754*(1+$K$95)</f>
        <v>6963993.3441309901</v>
      </c>
      <c r="D786" s="89">
        <f t="shared" si="1104"/>
        <v>8394662.6716261785</v>
      </c>
      <c r="E786" s="89">
        <f t="shared" si="1104"/>
        <v>7742445.7723268978</v>
      </c>
      <c r="F786" s="89">
        <f t="shared" si="1104"/>
        <v>7237503.6567403683</v>
      </c>
      <c r="G786" s="89">
        <f t="shared" si="1104"/>
        <v>6648404.5218894025</v>
      </c>
      <c r="H786" s="89">
        <f t="shared" si="1104"/>
        <v>8331544.9071778636</v>
      </c>
      <c r="I786" s="89">
        <f t="shared" si="1104"/>
        <v>9720135.7250408363</v>
      </c>
      <c r="J786" s="89">
        <f t="shared" si="1104"/>
        <v>9320389.8835348301</v>
      </c>
      <c r="K786" s="89">
        <f t="shared" si="1104"/>
        <v>7195425.1471081516</v>
      </c>
      <c r="L786" s="89">
        <f t="shared" si="1104"/>
        <v>7384778.4404531037</v>
      </c>
      <c r="M786" s="89">
        <f t="shared" si="1104"/>
        <v>7027111.1085793078</v>
      </c>
      <c r="N786" s="89">
        <f t="shared" si="1104"/>
        <v>7595170.9886141596</v>
      </c>
      <c r="O786" s="92">
        <f t="shared" ref="O786:O794" si="1105">SUM(C786:N786)</f>
        <v>93561566.167222083</v>
      </c>
    </row>
    <row r="787" spans="1:25" x14ac:dyDescent="0.25">
      <c r="A787" s="82"/>
      <c r="B787" s="57" t="s">
        <v>203</v>
      </c>
      <c r="C787" s="89">
        <f t="shared" ref="C787:N787" si="1106">C755*(1+$K$95)</f>
        <v>25141909.505246319</v>
      </c>
      <c r="D787" s="89">
        <f t="shared" si="1106"/>
        <v>27077520.948328055</v>
      </c>
      <c r="E787" s="89">
        <f t="shared" si="1106"/>
        <v>30359644.699640539</v>
      </c>
      <c r="F787" s="89">
        <f t="shared" si="1106"/>
        <v>23016944.768819656</v>
      </c>
      <c r="G787" s="89">
        <f t="shared" si="1106"/>
        <v>30633155.012249924</v>
      </c>
      <c r="H787" s="89">
        <f t="shared" si="1106"/>
        <v>28865857.607697025</v>
      </c>
      <c r="I787" s="89">
        <f t="shared" si="1106"/>
        <v>26488421.813477103</v>
      </c>
      <c r="J787" s="89">
        <f t="shared" si="1106"/>
        <v>31495764.459710252</v>
      </c>
      <c r="K787" s="89">
        <f t="shared" si="1106"/>
        <v>30780429.795962647</v>
      </c>
      <c r="L787" s="89">
        <f t="shared" si="1106"/>
        <v>30780429.795962647</v>
      </c>
      <c r="M787" s="89">
        <f t="shared" si="1106"/>
        <v>23921632.72591221</v>
      </c>
      <c r="N787" s="89">
        <f t="shared" si="1106"/>
        <v>29497035.252180204</v>
      </c>
      <c r="O787" s="92">
        <f t="shared" si="1105"/>
        <v>338058746.38518655</v>
      </c>
    </row>
    <row r="788" spans="1:25" x14ac:dyDescent="0.25">
      <c r="A788" s="82"/>
      <c r="B788" s="58" t="s">
        <v>84</v>
      </c>
      <c r="C788" s="89">
        <f t="shared" ref="C788:N788" si="1107">C756*(1+$K$95)</f>
        <v>22238492.340623718</v>
      </c>
      <c r="D788" s="89">
        <f t="shared" si="1107"/>
        <v>24279300.057785984</v>
      </c>
      <c r="E788" s="89">
        <f t="shared" si="1107"/>
        <v>24363457.077050403</v>
      </c>
      <c r="F788" s="89">
        <f t="shared" si="1107"/>
        <v>25162948.760062441</v>
      </c>
      <c r="G788" s="89">
        <f t="shared" si="1107"/>
        <v>29770545.564789575</v>
      </c>
      <c r="H788" s="89">
        <f t="shared" si="1107"/>
        <v>25752047.894913387</v>
      </c>
      <c r="I788" s="89">
        <f t="shared" si="1107"/>
        <v>26740892.871270377</v>
      </c>
      <c r="J788" s="89">
        <f t="shared" si="1107"/>
        <v>30780429.795962647</v>
      </c>
      <c r="K788" s="89">
        <f t="shared" si="1107"/>
        <v>28171562.19876555</v>
      </c>
      <c r="L788" s="89">
        <f t="shared" si="1107"/>
        <v>28129483.689133331</v>
      </c>
      <c r="M788" s="89">
        <f t="shared" si="1107"/>
        <v>30107173.641847268</v>
      </c>
      <c r="N788" s="89">
        <f t="shared" si="1107"/>
        <v>24174103.783705462</v>
      </c>
      <c r="O788" s="92">
        <f t="shared" si="1105"/>
        <v>319670437.67591012</v>
      </c>
    </row>
    <row r="789" spans="1:25" x14ac:dyDescent="0.25">
      <c r="A789" s="82"/>
      <c r="B789" s="57" t="s">
        <v>85</v>
      </c>
      <c r="C789" s="89">
        <f t="shared" ref="C789:N789" si="1108">C757*(1+$K$95)</f>
        <v>25836204.914177824</v>
      </c>
      <c r="D789" s="89">
        <f t="shared" si="1108"/>
        <v>22112256.81172711</v>
      </c>
      <c r="E789" s="89">
        <f t="shared" si="1108"/>
        <v>22890709.239923</v>
      </c>
      <c r="F789" s="89">
        <f t="shared" si="1108"/>
        <v>23248376.571796801</v>
      </c>
      <c r="G789" s="89">
        <f t="shared" si="1108"/>
        <v>31264332.656733077</v>
      </c>
      <c r="H789" s="89">
        <f t="shared" si="1108"/>
        <v>22953827.004371334</v>
      </c>
      <c r="I789" s="89">
        <f t="shared" si="1108"/>
        <v>26635696.597189825</v>
      </c>
      <c r="J789" s="89">
        <f t="shared" si="1108"/>
        <v>21081333.32573792</v>
      </c>
      <c r="K789" s="89">
        <f t="shared" si="1108"/>
        <v>27414149.025385752</v>
      </c>
      <c r="L789" s="89">
        <f t="shared" si="1108"/>
        <v>21775628.734669406</v>
      </c>
      <c r="M789" s="89">
        <f t="shared" si="1108"/>
        <v>27729737.847627327</v>
      </c>
      <c r="N789" s="89">
        <f t="shared" si="1108"/>
        <v>26404264.794212654</v>
      </c>
      <c r="O789" s="92">
        <f t="shared" si="1105"/>
        <v>299346517.523552</v>
      </c>
    </row>
    <row r="790" spans="1:25" x14ac:dyDescent="0.25">
      <c r="A790" s="84"/>
      <c r="B790" s="58" t="s">
        <v>249</v>
      </c>
      <c r="C790" s="89">
        <v>10000000</v>
      </c>
      <c r="D790" s="89">
        <v>10000000</v>
      </c>
      <c r="E790" s="89">
        <v>10000000</v>
      </c>
      <c r="F790" s="89">
        <v>10000000</v>
      </c>
      <c r="G790" s="89">
        <v>10000000</v>
      </c>
      <c r="H790" s="89">
        <v>10000000</v>
      </c>
      <c r="I790" s="89">
        <v>10000000</v>
      </c>
      <c r="J790" s="89">
        <v>10000000</v>
      </c>
      <c r="K790" s="89">
        <v>10000000</v>
      </c>
      <c r="L790" s="89">
        <v>10000000</v>
      </c>
      <c r="M790" s="89">
        <v>10000000</v>
      </c>
      <c r="N790" s="89">
        <v>10000000</v>
      </c>
      <c r="O790" s="92">
        <f t="shared" si="1105"/>
        <v>120000000</v>
      </c>
    </row>
    <row r="791" spans="1:25" x14ac:dyDescent="0.25">
      <c r="A791" s="84"/>
      <c r="B791" s="58" t="s">
        <v>180</v>
      </c>
      <c r="C791" s="89">
        <f t="shared" ref="C791:N791" si="1109">C759*(1+$K$95)</f>
        <v>21516289.815655258</v>
      </c>
      <c r="D791" s="89">
        <f t="shared" si="1109"/>
        <v>18415000.485548612</v>
      </c>
      <c r="E791" s="89">
        <f t="shared" si="1109"/>
        <v>19063292.6054014</v>
      </c>
      <c r="F791" s="89">
        <f t="shared" si="1109"/>
        <v>19361156.552360795</v>
      </c>
      <c r="G791" s="89">
        <f t="shared" si="1109"/>
        <v>26036813.245980218</v>
      </c>
      <c r="H791" s="89">
        <f t="shared" si="1109"/>
        <v>19115856.831335429</v>
      </c>
      <c r="I791" s="89">
        <f t="shared" si="1109"/>
        <v>22182103.344152734</v>
      </c>
      <c r="J791" s="89">
        <f t="shared" si="1109"/>
        <v>17556451.461959749</v>
      </c>
      <c r="K791" s="89">
        <f t="shared" si="1109"/>
        <v>22830395.464005552</v>
      </c>
      <c r="L791" s="89">
        <f t="shared" si="1109"/>
        <v>18134657.947233882</v>
      </c>
      <c r="M791" s="89">
        <f t="shared" si="1109"/>
        <v>23093216.593675591</v>
      </c>
      <c r="N791" s="89">
        <f t="shared" si="1109"/>
        <v>21989367.849061351</v>
      </c>
      <c r="O791" s="92">
        <f t="shared" si="1105"/>
        <v>249294602.19637057</v>
      </c>
    </row>
    <row r="792" spans="1:25" x14ac:dyDescent="0.25">
      <c r="A792" s="84"/>
      <c r="B792" s="58" t="s">
        <v>86</v>
      </c>
      <c r="C792" s="89">
        <f t="shared" ref="C792:N792" si="1110">C760*(1+$K$95)</f>
        <v>19099162.678665895</v>
      </c>
      <c r="D792" s="89">
        <f t="shared" si="1110"/>
        <v>19099162.678665895</v>
      </c>
      <c r="E792" s="89">
        <f t="shared" si="1110"/>
        <v>19099162.678665895</v>
      </c>
      <c r="F792" s="89">
        <f t="shared" si="1110"/>
        <v>19099162.678665895</v>
      </c>
      <c r="G792" s="89">
        <f t="shared" si="1110"/>
        <v>19099162.678665895</v>
      </c>
      <c r="H792" s="89">
        <f t="shared" si="1110"/>
        <v>19099162.678665895</v>
      </c>
      <c r="I792" s="89">
        <f t="shared" si="1110"/>
        <v>19099162.678665895</v>
      </c>
      <c r="J792" s="89">
        <f t="shared" si="1110"/>
        <v>19099162.678665895</v>
      </c>
      <c r="K792" s="89">
        <f t="shared" si="1110"/>
        <v>19099162.678665895</v>
      </c>
      <c r="L792" s="89">
        <f t="shared" si="1110"/>
        <v>19099162.678665895</v>
      </c>
      <c r="M792" s="89">
        <f t="shared" si="1110"/>
        <v>19099162.678665895</v>
      </c>
      <c r="N792" s="89">
        <f t="shared" si="1110"/>
        <v>19099162.678665895</v>
      </c>
      <c r="O792" s="92">
        <f t="shared" si="1105"/>
        <v>229189952.14399078</v>
      </c>
    </row>
    <row r="793" spans="1:25" x14ac:dyDescent="0.25">
      <c r="A793" s="82"/>
      <c r="B793" s="46" t="s">
        <v>208</v>
      </c>
      <c r="C793" s="47">
        <f t="shared" ref="C793:N793" si="1111">SUM(C786:C792)</f>
        <v>130796052.5985</v>
      </c>
      <c r="D793" s="47">
        <f t="shared" si="1111"/>
        <v>129377903.65368183</v>
      </c>
      <c r="E793" s="47">
        <f t="shared" si="1111"/>
        <v>133518712.07300813</v>
      </c>
      <c r="F793" s="47">
        <f t="shared" si="1111"/>
        <v>127126092.98844595</v>
      </c>
      <c r="G793" s="47">
        <f t="shared" si="1111"/>
        <v>153452413.6803081</v>
      </c>
      <c r="H793" s="47">
        <f t="shared" si="1111"/>
        <v>134118296.92416093</v>
      </c>
      <c r="I793" s="47">
        <f t="shared" si="1111"/>
        <v>140866413.02979678</v>
      </c>
      <c r="J793" s="47">
        <f t="shared" si="1111"/>
        <v>139333531.6055713</v>
      </c>
      <c r="K793" s="47">
        <f t="shared" si="1111"/>
        <v>145491124.30989355</v>
      </c>
      <c r="L793" s="47">
        <f t="shared" si="1111"/>
        <v>135304141.28611827</v>
      </c>
      <c r="M793" s="47">
        <f t="shared" si="1111"/>
        <v>140978034.59630761</v>
      </c>
      <c r="N793" s="47">
        <f t="shared" si="1111"/>
        <v>138759105.34643972</v>
      </c>
      <c r="O793" s="47">
        <f t="shared" si="1105"/>
        <v>1649121822.0922322</v>
      </c>
    </row>
    <row r="794" spans="1:25" x14ac:dyDescent="0.25">
      <c r="A794" s="82"/>
      <c r="B794" s="60" t="s">
        <v>87</v>
      </c>
      <c r="C794" s="47">
        <f t="shared" ref="C794:N794" si="1112">C784+C793</f>
        <v>143966626.11338216</v>
      </c>
      <c r="D794" s="47">
        <f t="shared" si="1112"/>
        <v>141159886.35070103</v>
      </c>
      <c r="E794" s="47">
        <f t="shared" si="1112"/>
        <v>145300694.77002734</v>
      </c>
      <c r="F794" s="47">
        <f t="shared" si="1112"/>
        <v>138908075.68546516</v>
      </c>
      <c r="G794" s="47">
        <f t="shared" si="1112"/>
        <v>165234396.37732729</v>
      </c>
      <c r="H794" s="47">
        <f t="shared" si="1112"/>
        <v>145900279.62118012</v>
      </c>
      <c r="I794" s="47">
        <f t="shared" si="1112"/>
        <v>152648395.72681597</v>
      </c>
      <c r="J794" s="47">
        <f t="shared" si="1112"/>
        <v>151115514.30259049</v>
      </c>
      <c r="K794" s="47">
        <f t="shared" si="1112"/>
        <v>157273107.00691274</v>
      </c>
      <c r="L794" s="47">
        <f t="shared" si="1112"/>
        <v>147086123.98313746</v>
      </c>
      <c r="M794" s="47">
        <f t="shared" si="1112"/>
        <v>152760017.2933268</v>
      </c>
      <c r="N794" s="47">
        <f t="shared" si="1112"/>
        <v>150541088.04345891</v>
      </c>
      <c r="O794" s="47">
        <f t="shared" si="1105"/>
        <v>1791894205.2743256</v>
      </c>
    </row>
    <row r="795" spans="1:25" s="11" customFormat="1" x14ac:dyDescent="0.25">
      <c r="A795" s="82"/>
      <c r="B795" s="108" t="s">
        <v>204</v>
      </c>
      <c r="C795" s="109">
        <f>$O794*(3/12)/12</f>
        <v>37331129.276548453</v>
      </c>
      <c r="D795" s="109">
        <f t="shared" ref="D795" si="1113">$O794*(3/12)/12</f>
        <v>37331129.276548453</v>
      </c>
      <c r="E795" s="109">
        <f t="shared" ref="E795" si="1114">$O794*(3/12)/12</f>
        <v>37331129.276548453</v>
      </c>
      <c r="F795" s="109">
        <f t="shared" ref="F795" si="1115">$O794*(3/12)/12</f>
        <v>37331129.276548453</v>
      </c>
      <c r="G795" s="109">
        <f t="shared" ref="G795" si="1116">$O794*(3/12)/12</f>
        <v>37331129.276548453</v>
      </c>
      <c r="H795" s="109">
        <f t="shared" ref="H795" si="1117">$O794*(3/12)/12</f>
        <v>37331129.276548453</v>
      </c>
      <c r="I795" s="109">
        <f t="shared" ref="I795" si="1118">$O794*(3/12)/12</f>
        <v>37331129.276548453</v>
      </c>
      <c r="J795" s="109">
        <f t="shared" ref="J795" si="1119">$O794*(3/12)/12</f>
        <v>37331129.276548453</v>
      </c>
      <c r="K795" s="109">
        <f t="shared" ref="K795" si="1120">$O794*(3/12)/12</f>
        <v>37331129.276548453</v>
      </c>
      <c r="L795" s="109">
        <f t="shared" ref="L795" si="1121">$O794*(3/12)/12</f>
        <v>37331129.276548453</v>
      </c>
      <c r="M795" s="109">
        <f t="shared" ref="M795" si="1122">$O794*(3/12)/12</f>
        <v>37331129.276548453</v>
      </c>
      <c r="N795" s="109">
        <f>$O794*(3/12)/12</f>
        <v>37331129.276548453</v>
      </c>
      <c r="O795" s="109">
        <f t="shared" ref="O795:O797" si="1123">SUM(C795:N795)</f>
        <v>447973551.3185814</v>
      </c>
      <c r="P795" s="43"/>
      <c r="Q795" s="43"/>
      <c r="R795" s="40"/>
      <c r="S795" s="40"/>
      <c r="T795" s="40"/>
      <c r="U795" s="40"/>
      <c r="V795" s="40"/>
      <c r="W795" s="40"/>
      <c r="X795" s="40"/>
      <c r="Y795" s="40"/>
    </row>
    <row r="796" spans="1:25" s="11" customFormat="1" x14ac:dyDescent="0.25">
      <c r="A796" s="82"/>
      <c r="B796" s="108" t="s">
        <v>386</v>
      </c>
      <c r="C796" s="109">
        <f>C764*(1+$K$192)</f>
        <v>11529883.061001943</v>
      </c>
      <c r="D796" s="109">
        <v>0</v>
      </c>
      <c r="E796" s="109">
        <v>0</v>
      </c>
      <c r="F796" s="109">
        <v>0</v>
      </c>
      <c r="G796" s="109">
        <v>0</v>
      </c>
      <c r="H796" s="109">
        <v>0</v>
      </c>
      <c r="I796" s="109">
        <v>0</v>
      </c>
      <c r="J796" s="109">
        <v>0</v>
      </c>
      <c r="K796" s="109">
        <v>0</v>
      </c>
      <c r="L796" s="109">
        <v>0</v>
      </c>
      <c r="M796" s="109">
        <v>0</v>
      </c>
      <c r="N796" s="109">
        <v>0</v>
      </c>
      <c r="O796" s="109">
        <f t="shared" si="1123"/>
        <v>11529883.061001943</v>
      </c>
      <c r="P796" s="43"/>
      <c r="Q796" s="43"/>
      <c r="R796" s="40"/>
      <c r="S796" s="40"/>
      <c r="T796" s="40"/>
      <c r="U796" s="40"/>
      <c r="V796" s="40"/>
      <c r="W796" s="40"/>
      <c r="X796" s="40"/>
      <c r="Y796" s="40"/>
    </row>
    <row r="797" spans="1:25" s="11" customFormat="1" x14ac:dyDescent="0.25">
      <c r="A797" s="82"/>
      <c r="B797" s="60" t="s">
        <v>206</v>
      </c>
      <c r="C797" s="61">
        <f>C778-C794-C795-C796</f>
        <v>-126644191.97426213</v>
      </c>
      <c r="D797" s="61">
        <f t="shared" ref="D797" si="1124">D778-D794-D795-D796</f>
        <v>-112307569.15057907</v>
      </c>
      <c r="E797" s="61">
        <f t="shared" ref="E797" si="1125">E778-E794-E795-E796</f>
        <v>-116448377.56990537</v>
      </c>
      <c r="F797" s="61">
        <f t="shared" ref="F797" si="1126">F778-F794-F795-F796</f>
        <v>-110055758.48534319</v>
      </c>
      <c r="G797" s="61">
        <f t="shared" ref="G797" si="1127">G778-G794-G795-G796</f>
        <v>-136382079.17720532</v>
      </c>
      <c r="H797" s="61">
        <f t="shared" ref="H797" si="1128">H778-H794-H795-H796</f>
        <v>-117047962.42105815</v>
      </c>
      <c r="I797" s="61">
        <f t="shared" ref="I797" si="1129">I778-I794-I795-I796</f>
        <v>-123796078.526694</v>
      </c>
      <c r="J797" s="61">
        <f t="shared" ref="J797" si="1130">J778-J794-J795-J796</f>
        <v>-122263197.10246852</v>
      </c>
      <c r="K797" s="61">
        <f t="shared" ref="K797" si="1131">K778-K794-K795-K796</f>
        <v>-128420789.80679077</v>
      </c>
      <c r="L797" s="61">
        <f t="shared" ref="L797" si="1132">L778-L794-L795-L796</f>
        <v>-118233806.78301549</v>
      </c>
      <c r="M797" s="61">
        <f t="shared" ref="M797" si="1133">M778-M794-M795-M796</f>
        <v>-123907700.09320483</v>
      </c>
      <c r="N797" s="61">
        <f t="shared" ref="N797" si="1134">N778-N794-N795-N796</f>
        <v>-121688770.84333694</v>
      </c>
      <c r="O797" s="47">
        <f t="shared" si="1123"/>
        <v>-1457196281.9338636</v>
      </c>
      <c r="P797" s="43"/>
      <c r="Q797" s="43"/>
      <c r="R797" s="40"/>
      <c r="S797" s="40"/>
      <c r="T797" s="40"/>
      <c r="U797" s="40"/>
      <c r="V797" s="40"/>
      <c r="W797" s="40"/>
      <c r="X797" s="40"/>
      <c r="Y797" s="40"/>
    </row>
    <row r="798" spans="1:25" x14ac:dyDescent="0.25">
      <c r="A798" s="85"/>
      <c r="B798" s="40"/>
      <c r="C798" s="40"/>
      <c r="D798" s="40"/>
      <c r="E798" s="40"/>
      <c r="F798" s="40"/>
      <c r="G798" s="40"/>
      <c r="H798" s="40"/>
      <c r="I798" s="40"/>
      <c r="J798" s="40"/>
      <c r="K798" s="40"/>
      <c r="L798" s="353" t="s">
        <v>217</v>
      </c>
      <c r="M798" s="354"/>
      <c r="N798" s="350">
        <f>SUM(C797:N797)+N766</f>
        <v>4904857607.5827236</v>
      </c>
      <c r="O798" s="40"/>
    </row>
    <row r="799" spans="1:25" x14ac:dyDescent="0.25">
      <c r="A799" s="85"/>
      <c r="B799" s="40"/>
      <c r="C799" s="40"/>
      <c r="D799" s="40"/>
      <c r="E799" s="40"/>
      <c r="F799" s="40"/>
      <c r="G799" s="40"/>
      <c r="H799" s="40"/>
      <c r="I799" s="40"/>
      <c r="J799" s="40"/>
      <c r="K799" s="40"/>
      <c r="L799" s="320"/>
      <c r="M799" s="355"/>
      <c r="N799" s="351"/>
      <c r="O799" s="40"/>
    </row>
    <row r="800" spans="1:25" x14ac:dyDescent="0.25">
      <c r="A800" s="85"/>
      <c r="B800" s="319" t="s">
        <v>632</v>
      </c>
      <c r="C800" s="352" t="s">
        <v>173</v>
      </c>
      <c r="D800" s="352"/>
      <c r="E800" s="352"/>
      <c r="F800" s="352"/>
      <c r="G800" s="352"/>
      <c r="H800" s="352"/>
      <c r="I800" s="40"/>
      <c r="J800" s="358" t="s">
        <v>231</v>
      </c>
      <c r="K800" s="359">
        <v>0.04</v>
      </c>
      <c r="L800" s="40"/>
      <c r="M800" s="40"/>
      <c r="N800" s="40"/>
      <c r="O800" s="361"/>
    </row>
    <row r="801" spans="1:15" x14ac:dyDescent="0.25">
      <c r="A801" s="85"/>
      <c r="B801" s="319"/>
      <c r="C801" s="352"/>
      <c r="D801" s="352"/>
      <c r="E801" s="352"/>
      <c r="F801" s="352"/>
      <c r="G801" s="352"/>
      <c r="H801" s="352"/>
      <c r="I801" s="40"/>
      <c r="J801" s="358"/>
      <c r="K801" s="360"/>
      <c r="L801" s="40"/>
      <c r="M801" s="40"/>
      <c r="N801" s="40"/>
      <c r="O801" s="362"/>
    </row>
    <row r="802" spans="1:15" x14ac:dyDescent="0.25">
      <c r="A802" s="85"/>
      <c r="B802" s="319"/>
      <c r="C802" s="352"/>
      <c r="D802" s="352"/>
      <c r="E802" s="352"/>
      <c r="F802" s="352"/>
      <c r="G802" s="352"/>
      <c r="H802" s="352"/>
      <c r="I802" s="40"/>
      <c r="J802" s="40"/>
      <c r="K802" s="40"/>
      <c r="L802" s="40"/>
      <c r="M802" s="40"/>
      <c r="N802" s="40"/>
      <c r="O802" s="40"/>
    </row>
    <row r="805" spans="1:15" ht="24.6" x14ac:dyDescent="0.25">
      <c r="A805" s="96"/>
      <c r="B805" s="348" t="s">
        <v>320</v>
      </c>
      <c r="C805" s="348"/>
      <c r="D805" s="348"/>
      <c r="E805" s="348"/>
      <c r="F805" s="348"/>
      <c r="G805" s="348"/>
      <c r="H805" s="348"/>
      <c r="I805" s="348"/>
      <c r="J805" s="348"/>
      <c r="K805" s="348"/>
      <c r="L805" s="348"/>
      <c r="M805" s="348"/>
      <c r="N805" s="348"/>
      <c r="O805" s="348"/>
    </row>
    <row r="806" spans="1:15" ht="24.6" x14ac:dyDescent="0.25">
      <c r="A806" s="96"/>
      <c r="B806" s="349"/>
      <c r="C806" s="349"/>
      <c r="D806" s="349"/>
      <c r="E806" s="349"/>
      <c r="F806" s="349"/>
      <c r="G806" s="349"/>
      <c r="H806" s="349"/>
      <c r="I806" s="349"/>
      <c r="J806" s="349"/>
      <c r="K806" s="349"/>
      <c r="L806" s="349"/>
      <c r="M806" s="349"/>
      <c r="N806" s="349"/>
      <c r="O806" s="349"/>
    </row>
    <row r="807" spans="1:15" x14ac:dyDescent="0.25">
      <c r="A807" s="82"/>
      <c r="B807" s="41"/>
      <c r="C807" s="42" t="s">
        <v>66</v>
      </c>
      <c r="D807" s="42" t="s">
        <v>67</v>
      </c>
      <c r="E807" s="42" t="s">
        <v>68</v>
      </c>
      <c r="F807" s="42" t="s">
        <v>69</v>
      </c>
      <c r="G807" s="42" t="s">
        <v>70</v>
      </c>
      <c r="H807" s="42" t="s">
        <v>71</v>
      </c>
      <c r="I807" s="42" t="s">
        <v>72</v>
      </c>
      <c r="J807" s="42" t="s">
        <v>73</v>
      </c>
      <c r="K807" s="42" t="s">
        <v>74</v>
      </c>
      <c r="L807" s="42" t="s">
        <v>75</v>
      </c>
      <c r="M807" s="42" t="s">
        <v>76</v>
      </c>
      <c r="N807" s="42" t="s">
        <v>77</v>
      </c>
      <c r="O807" s="42" t="s">
        <v>236</v>
      </c>
    </row>
    <row r="808" spans="1:15" x14ac:dyDescent="0.25">
      <c r="A808" s="82"/>
      <c r="B808" s="44" t="s">
        <v>381</v>
      </c>
      <c r="C808" s="45">
        <f>'11.My pension value'!$D$23/12</f>
        <v>35611893.330636717</v>
      </c>
      <c r="D808" s="45">
        <f>'11.My pension value'!$D$23/12</f>
        <v>35611893.330636717</v>
      </c>
      <c r="E808" s="45">
        <f>'11.My pension value'!$D$23/12</f>
        <v>35611893.330636717</v>
      </c>
      <c r="F808" s="45">
        <f>'11.My pension value'!$D$23/12</f>
        <v>35611893.330636717</v>
      </c>
      <c r="G808" s="45">
        <f>'11.My pension value'!$D$23/12</f>
        <v>35611893.330636717</v>
      </c>
      <c r="H808" s="45">
        <f>'11.My pension value'!$D$23/12</f>
        <v>35611893.330636717</v>
      </c>
      <c r="I808" s="45">
        <f>'11.My pension value'!$D$23/12</f>
        <v>35611893.330636717</v>
      </c>
      <c r="J808" s="45">
        <f>'11.My pension value'!$D$23/12</f>
        <v>35611893.330636717</v>
      </c>
      <c r="K808" s="45">
        <f>'11.My pension value'!$D$23/12</f>
        <v>35611893.330636717</v>
      </c>
      <c r="L808" s="45">
        <f>'11.My pension value'!$D$23/12</f>
        <v>35611893.330636717</v>
      </c>
      <c r="M808" s="45">
        <f>'11.My pension value'!$D$23/12</f>
        <v>35611893.330636717</v>
      </c>
      <c r="N808" s="45">
        <f>'11.My pension value'!$D$23/12</f>
        <v>35611893.330636717</v>
      </c>
      <c r="O808" s="45" t="s">
        <v>173</v>
      </c>
    </row>
    <row r="809" spans="1:15" x14ac:dyDescent="0.25">
      <c r="A809" s="82"/>
      <c r="B809" s="44" t="s">
        <v>382</v>
      </c>
      <c r="C809" s="45">
        <f>'10.2. Wife''s retirement salary'!$O$10</f>
        <v>30571553.146033701</v>
      </c>
      <c r="D809" s="45">
        <f>'10.2. Wife''s retirement salary'!$O$10</f>
        <v>30571553.146033701</v>
      </c>
      <c r="E809" s="45">
        <f>'10.2. Wife''s retirement salary'!$O$10</f>
        <v>30571553.146033701</v>
      </c>
      <c r="F809" s="45">
        <f>'10.2. Wife''s retirement salary'!$O$10</f>
        <v>30571553.146033701</v>
      </c>
      <c r="G809" s="45">
        <f>'10.2. Wife''s retirement salary'!$O$10</f>
        <v>30571553.146033701</v>
      </c>
      <c r="H809" s="45">
        <f>'10.2. Wife''s retirement salary'!$O$10</f>
        <v>30571553.146033701</v>
      </c>
      <c r="I809" s="45">
        <f>'10.2. Wife''s retirement salary'!$O$10</f>
        <v>30571553.146033701</v>
      </c>
      <c r="J809" s="45">
        <f>'10.2. Wife''s retirement salary'!$O$10</f>
        <v>30571553.146033701</v>
      </c>
      <c r="K809" s="45">
        <f>'10.2. Wife''s retirement salary'!$O$10</f>
        <v>30571553.146033701</v>
      </c>
      <c r="L809" s="45">
        <f>'10.2. Wife''s retirement salary'!$O$10</f>
        <v>30571553.146033701</v>
      </c>
      <c r="M809" s="45">
        <f>'10.2. Wife''s retirement salary'!$O$10</f>
        <v>30571553.146033701</v>
      </c>
      <c r="N809" s="45">
        <f>'10.2. Wife''s retirement salary'!$O$10</f>
        <v>30571553.146033701</v>
      </c>
      <c r="O809" s="45" t="s">
        <v>173</v>
      </c>
    </row>
    <row r="810" spans="1:15" x14ac:dyDescent="0.25">
      <c r="A810" s="82"/>
      <c r="B810" s="46" t="s">
        <v>209</v>
      </c>
      <c r="C810" s="47">
        <f>SUM(C808:C809)</f>
        <v>66183446.476670414</v>
      </c>
      <c r="D810" s="47">
        <f t="shared" ref="D810:J810" si="1135">SUM(D808:D809)</f>
        <v>66183446.476670414</v>
      </c>
      <c r="E810" s="47">
        <f t="shared" si="1135"/>
        <v>66183446.476670414</v>
      </c>
      <c r="F810" s="47">
        <f t="shared" si="1135"/>
        <v>66183446.476670414</v>
      </c>
      <c r="G810" s="47">
        <f t="shared" si="1135"/>
        <v>66183446.476670414</v>
      </c>
      <c r="H810" s="47">
        <f t="shared" si="1135"/>
        <v>66183446.476670414</v>
      </c>
      <c r="I810" s="47">
        <f t="shared" si="1135"/>
        <v>66183446.476670414</v>
      </c>
      <c r="J810" s="47">
        <f t="shared" si="1135"/>
        <v>66183446.476670414</v>
      </c>
      <c r="K810" s="47">
        <f>SUM(K808:K809)</f>
        <v>66183446.476670414</v>
      </c>
      <c r="L810" s="47">
        <f t="shared" ref="L810:N810" si="1136">SUM(L808:L809)</f>
        <v>66183446.476670414</v>
      </c>
      <c r="M810" s="47">
        <f t="shared" si="1136"/>
        <v>66183446.476670414</v>
      </c>
      <c r="N810" s="47">
        <f t="shared" si="1136"/>
        <v>66183446.476670414</v>
      </c>
      <c r="O810" s="47">
        <f>SUM(C810:N810)</f>
        <v>794201357.72004473</v>
      </c>
    </row>
    <row r="811" spans="1:15" x14ac:dyDescent="0.25">
      <c r="A811" s="82"/>
      <c r="B811" s="52" t="s">
        <v>78</v>
      </c>
      <c r="C811" s="53" t="s">
        <v>173</v>
      </c>
      <c r="D811" s="53" t="s">
        <v>173</v>
      </c>
      <c r="E811" s="53" t="s">
        <v>173</v>
      </c>
      <c r="F811" s="53" t="s">
        <v>173</v>
      </c>
      <c r="G811" s="53" t="s">
        <v>173</v>
      </c>
      <c r="H811" s="53" t="s">
        <v>173</v>
      </c>
      <c r="I811" s="53" t="s">
        <v>173</v>
      </c>
      <c r="J811" s="53" t="s">
        <v>173</v>
      </c>
      <c r="K811" s="53" t="s">
        <v>173</v>
      </c>
      <c r="L811" s="53" t="s">
        <v>173</v>
      </c>
      <c r="M811" s="53" t="s">
        <v>173</v>
      </c>
      <c r="N811" s="53" t="s">
        <v>173</v>
      </c>
      <c r="O811" s="91" t="s">
        <v>173</v>
      </c>
    </row>
    <row r="812" spans="1:15" x14ac:dyDescent="0.25">
      <c r="A812" s="82"/>
      <c r="B812" s="48" t="s">
        <v>79</v>
      </c>
      <c r="C812" s="54" t="s">
        <v>173</v>
      </c>
      <c r="D812" s="54" t="s">
        <v>173</v>
      </c>
      <c r="E812" s="54" t="s">
        <v>173</v>
      </c>
      <c r="F812" s="54" t="s">
        <v>173</v>
      </c>
      <c r="G812" s="54" t="s">
        <v>173</v>
      </c>
      <c r="H812" s="54" t="s">
        <v>173</v>
      </c>
      <c r="I812" s="54" t="s">
        <v>173</v>
      </c>
      <c r="J812" s="54" t="s">
        <v>173</v>
      </c>
      <c r="K812" s="54" t="s">
        <v>173</v>
      </c>
      <c r="L812" s="54" t="s">
        <v>173</v>
      </c>
      <c r="M812" s="54" t="s">
        <v>173</v>
      </c>
      <c r="N812" s="54" t="s">
        <v>173</v>
      </c>
      <c r="O812" s="91" t="s">
        <v>173</v>
      </c>
    </row>
    <row r="813" spans="1:15" x14ac:dyDescent="0.25">
      <c r="A813" s="83"/>
      <c r="B813" s="49" t="s">
        <v>195</v>
      </c>
      <c r="C813" s="50">
        <f>C781*(1+$K$62)</f>
        <v>1444134.4505774956</v>
      </c>
      <c r="D813" s="50">
        <v>0</v>
      </c>
      <c r="E813" s="50">
        <v>0</v>
      </c>
      <c r="F813" s="50">
        <v>0</v>
      </c>
      <c r="G813" s="50">
        <v>0</v>
      </c>
      <c r="H813" s="50">
        <v>0</v>
      </c>
      <c r="I813" s="50">
        <v>0</v>
      </c>
      <c r="J813" s="50">
        <v>0</v>
      </c>
      <c r="K813" s="50">
        <v>0</v>
      </c>
      <c r="L813" s="50">
        <v>0</v>
      </c>
      <c r="M813" s="50">
        <v>0</v>
      </c>
      <c r="N813" s="50">
        <v>0</v>
      </c>
      <c r="O813" s="90">
        <f t="shared" ref="O813:O816" si="1137">SUM(C813:N813)</f>
        <v>1444134.4505774956</v>
      </c>
    </row>
    <row r="814" spans="1:15" x14ac:dyDescent="0.25">
      <c r="A814" s="82"/>
      <c r="B814" s="51" t="s">
        <v>178</v>
      </c>
      <c r="C814" s="50">
        <f>C782*(1+$K$62)</f>
        <v>10940412.504374972</v>
      </c>
      <c r="D814" s="50">
        <f t="shared" ref="D814:N814" si="1138">D782*(1+$K$62)</f>
        <v>10940412.504374972</v>
      </c>
      <c r="E814" s="50">
        <f t="shared" si="1138"/>
        <v>10940412.504374972</v>
      </c>
      <c r="F814" s="50">
        <f t="shared" si="1138"/>
        <v>10940412.504374972</v>
      </c>
      <c r="G814" s="50">
        <f t="shared" si="1138"/>
        <v>10940412.504374972</v>
      </c>
      <c r="H814" s="50">
        <f t="shared" si="1138"/>
        <v>10940412.504374972</v>
      </c>
      <c r="I814" s="50">
        <f t="shared" si="1138"/>
        <v>10940412.504374972</v>
      </c>
      <c r="J814" s="50">
        <f t="shared" si="1138"/>
        <v>10940412.504374972</v>
      </c>
      <c r="K814" s="50">
        <f t="shared" si="1138"/>
        <v>10940412.504374972</v>
      </c>
      <c r="L814" s="50">
        <f t="shared" si="1138"/>
        <v>10940412.504374972</v>
      </c>
      <c r="M814" s="50">
        <f t="shared" si="1138"/>
        <v>10940412.504374972</v>
      </c>
      <c r="N814" s="50">
        <f t="shared" si="1138"/>
        <v>10940412.504374972</v>
      </c>
      <c r="O814" s="90">
        <f t="shared" si="1137"/>
        <v>131284950.05249964</v>
      </c>
    </row>
    <row r="815" spans="1:15" x14ac:dyDescent="0.25">
      <c r="A815" s="84"/>
      <c r="B815" s="51" t="s">
        <v>248</v>
      </c>
      <c r="C815" s="50">
        <f>C783*(1+$K$62)</f>
        <v>1312849.5005249963</v>
      </c>
      <c r="D815" s="50">
        <f t="shared" ref="D815:N815" si="1139">D783*(1+$K$62)</f>
        <v>1312849.5005249963</v>
      </c>
      <c r="E815" s="50">
        <f t="shared" si="1139"/>
        <v>1312849.5005249963</v>
      </c>
      <c r="F815" s="50">
        <f t="shared" si="1139"/>
        <v>1312849.5005249963</v>
      </c>
      <c r="G815" s="50">
        <f t="shared" si="1139"/>
        <v>1312849.5005249963</v>
      </c>
      <c r="H815" s="50">
        <f t="shared" si="1139"/>
        <v>1312849.5005249963</v>
      </c>
      <c r="I815" s="50">
        <f t="shared" si="1139"/>
        <v>1312849.5005249963</v>
      </c>
      <c r="J815" s="50">
        <f t="shared" si="1139"/>
        <v>1312849.5005249963</v>
      </c>
      <c r="K815" s="50">
        <f t="shared" si="1139"/>
        <v>1312849.5005249963</v>
      </c>
      <c r="L815" s="50">
        <f t="shared" si="1139"/>
        <v>1312849.5005249963</v>
      </c>
      <c r="M815" s="50">
        <f t="shared" si="1139"/>
        <v>1312849.5005249963</v>
      </c>
      <c r="N815" s="50">
        <f t="shared" si="1139"/>
        <v>1312849.5005249963</v>
      </c>
      <c r="O815" s="90">
        <f t="shared" si="1137"/>
        <v>15754194.006299952</v>
      </c>
    </row>
    <row r="816" spans="1:15" x14ac:dyDescent="0.25">
      <c r="A816" s="82"/>
      <c r="B816" s="46" t="s">
        <v>207</v>
      </c>
      <c r="C816" s="47">
        <f t="shared" ref="C816" si="1140">SUM(C813:C815)</f>
        <v>13697396.455477463</v>
      </c>
      <c r="D816" s="47">
        <f t="shared" ref="D816" si="1141">SUM(D813:D815)</f>
        <v>12253262.004899967</v>
      </c>
      <c r="E816" s="47">
        <f t="shared" ref="E816" si="1142">SUM(E813:E815)</f>
        <v>12253262.004899967</v>
      </c>
      <c r="F816" s="47">
        <f t="shared" ref="F816" si="1143">SUM(F813:F815)</f>
        <v>12253262.004899967</v>
      </c>
      <c r="G816" s="47">
        <f t="shared" ref="G816" si="1144">SUM(G813:G815)</f>
        <v>12253262.004899967</v>
      </c>
      <c r="H816" s="47">
        <f t="shared" ref="H816" si="1145">SUM(H813:H815)</f>
        <v>12253262.004899967</v>
      </c>
      <c r="I816" s="47">
        <f t="shared" ref="I816" si="1146">SUM(I813:I815)</f>
        <v>12253262.004899967</v>
      </c>
      <c r="J816" s="47">
        <f t="shared" ref="J816" si="1147">SUM(J813:J815)</f>
        <v>12253262.004899967</v>
      </c>
      <c r="K816" s="47">
        <f t="shared" ref="K816" si="1148">SUM(K813:K815)</f>
        <v>12253262.004899967</v>
      </c>
      <c r="L816" s="47">
        <f t="shared" ref="L816" si="1149">SUM(L813:L815)</f>
        <v>12253262.004899967</v>
      </c>
      <c r="M816" s="47">
        <f t="shared" ref="M816" si="1150">SUM(M813:M815)</f>
        <v>12253262.004899967</v>
      </c>
      <c r="N816" s="47">
        <f t="shared" ref="N816" si="1151">SUM(N813:N815)</f>
        <v>12253262.004899967</v>
      </c>
      <c r="O816" s="47">
        <f t="shared" si="1137"/>
        <v>148483278.50937709</v>
      </c>
    </row>
    <row r="817" spans="1:25" x14ac:dyDescent="0.25">
      <c r="A817" s="82"/>
      <c r="B817" s="55" t="s">
        <v>83</v>
      </c>
      <c r="C817" s="59" t="s">
        <v>173</v>
      </c>
      <c r="D817" s="59" t="s">
        <v>173</v>
      </c>
      <c r="E817" s="59" t="s">
        <v>173</v>
      </c>
      <c r="F817" s="59" t="s">
        <v>173</v>
      </c>
      <c r="G817" s="59" t="s">
        <v>173</v>
      </c>
      <c r="H817" s="59" t="s">
        <v>173</v>
      </c>
      <c r="I817" s="59" t="s">
        <v>173</v>
      </c>
      <c r="J817" s="59" t="s">
        <v>173</v>
      </c>
      <c r="K817" s="59" t="s">
        <v>173</v>
      </c>
      <c r="L817" s="59" t="s">
        <v>173</v>
      </c>
      <c r="M817" s="59" t="s">
        <v>173</v>
      </c>
      <c r="N817" s="59" t="s">
        <v>173</v>
      </c>
      <c r="O817" s="91" t="s">
        <v>173</v>
      </c>
    </row>
    <row r="818" spans="1:25" x14ac:dyDescent="0.25">
      <c r="A818" s="82"/>
      <c r="B818" s="57" t="s">
        <v>210</v>
      </c>
      <c r="C818" s="89">
        <f t="shared" ref="C818:N818" si="1152">C786*(1+$K$95)</f>
        <v>7242553.0778962299</v>
      </c>
      <c r="D818" s="89">
        <f t="shared" si="1152"/>
        <v>8730449.1784912255</v>
      </c>
      <c r="E818" s="89">
        <f t="shared" si="1152"/>
        <v>8052143.6032199739</v>
      </c>
      <c r="F818" s="89">
        <f t="shared" si="1152"/>
        <v>7527003.8030099832</v>
      </c>
      <c r="G818" s="89">
        <f t="shared" si="1152"/>
        <v>6914340.7027649786</v>
      </c>
      <c r="H818" s="89">
        <f t="shared" si="1152"/>
        <v>8664806.7034649793</v>
      </c>
      <c r="I818" s="89">
        <f t="shared" si="1152"/>
        <v>10108941.154042469</v>
      </c>
      <c r="J818" s="89">
        <f t="shared" si="1152"/>
        <v>9693205.4788762238</v>
      </c>
      <c r="K818" s="89">
        <f t="shared" si="1152"/>
        <v>7483242.1529924776</v>
      </c>
      <c r="L818" s="89">
        <f t="shared" si="1152"/>
        <v>7680169.5780712282</v>
      </c>
      <c r="M818" s="89">
        <f t="shared" si="1152"/>
        <v>7308195.5529224807</v>
      </c>
      <c r="N818" s="89">
        <f t="shared" si="1152"/>
        <v>7898977.828158726</v>
      </c>
      <c r="O818" s="92">
        <f t="shared" ref="O818:O826" si="1153">SUM(C818:N818)</f>
        <v>97304028.813910961</v>
      </c>
    </row>
    <row r="819" spans="1:25" x14ac:dyDescent="0.25">
      <c r="A819" s="82"/>
      <c r="B819" s="57" t="s">
        <v>203</v>
      </c>
      <c r="C819" s="89">
        <f t="shared" ref="C819:N819" si="1154">C787*(1+$K$95)</f>
        <v>26147585.885456171</v>
      </c>
      <c r="D819" s="89">
        <f t="shared" si="1154"/>
        <v>28160621.786261179</v>
      </c>
      <c r="E819" s="89">
        <f t="shared" si="1154"/>
        <v>31574030.487626161</v>
      </c>
      <c r="F819" s="89">
        <f t="shared" si="1154"/>
        <v>23937622.559572443</v>
      </c>
      <c r="G819" s="89">
        <f t="shared" si="1154"/>
        <v>31858481.212739922</v>
      </c>
      <c r="H819" s="89">
        <f t="shared" si="1154"/>
        <v>30020491.912004907</v>
      </c>
      <c r="I819" s="89">
        <f t="shared" si="1154"/>
        <v>27547958.686016187</v>
      </c>
      <c r="J819" s="89">
        <f t="shared" si="1154"/>
        <v>32755595.038098663</v>
      </c>
      <c r="K819" s="89">
        <f t="shared" si="1154"/>
        <v>32011646.987801153</v>
      </c>
      <c r="L819" s="89">
        <f t="shared" si="1154"/>
        <v>32011646.987801153</v>
      </c>
      <c r="M819" s="89">
        <f t="shared" si="1154"/>
        <v>24878498.034948699</v>
      </c>
      <c r="N819" s="89">
        <f t="shared" si="1154"/>
        <v>30676916.662267413</v>
      </c>
      <c r="O819" s="92">
        <f t="shared" si="1153"/>
        <v>351581096.24059403</v>
      </c>
    </row>
    <row r="820" spans="1:25" x14ac:dyDescent="0.25">
      <c r="A820" s="82"/>
      <c r="B820" s="58" t="s">
        <v>84</v>
      </c>
      <c r="C820" s="89">
        <f t="shared" ref="C820:N820" si="1155">C788*(1+$K$95)</f>
        <v>23128032.034248669</v>
      </c>
      <c r="D820" s="89">
        <f t="shared" si="1155"/>
        <v>25250472.060097426</v>
      </c>
      <c r="E820" s="89">
        <f t="shared" si="1155"/>
        <v>25337995.360132419</v>
      </c>
      <c r="F820" s="89">
        <f t="shared" si="1155"/>
        <v>26169466.710464939</v>
      </c>
      <c r="G820" s="89">
        <f t="shared" si="1155"/>
        <v>30961367.387381159</v>
      </c>
      <c r="H820" s="89">
        <f t="shared" si="1155"/>
        <v>26782129.810709924</v>
      </c>
      <c r="I820" s="89">
        <f t="shared" si="1155"/>
        <v>27810528.586121194</v>
      </c>
      <c r="J820" s="89">
        <f t="shared" si="1155"/>
        <v>32011646.987801153</v>
      </c>
      <c r="K820" s="89">
        <f t="shared" si="1155"/>
        <v>29298424.686716173</v>
      </c>
      <c r="L820" s="89">
        <f t="shared" si="1155"/>
        <v>29254663.036698665</v>
      </c>
      <c r="M820" s="89">
        <f t="shared" si="1155"/>
        <v>31311460.587521158</v>
      </c>
      <c r="N820" s="89">
        <f t="shared" si="1155"/>
        <v>25141067.93505368</v>
      </c>
      <c r="O820" s="92">
        <f t="shared" si="1153"/>
        <v>332457255.18294656</v>
      </c>
    </row>
    <row r="821" spans="1:25" x14ac:dyDescent="0.25">
      <c r="A821" s="82"/>
      <c r="B821" s="57" t="s">
        <v>85</v>
      </c>
      <c r="C821" s="89">
        <f t="shared" ref="C821:N821" si="1156">C789*(1+$K$95)</f>
        <v>26869653.110744938</v>
      </c>
      <c r="D821" s="89">
        <f t="shared" si="1156"/>
        <v>22996747.084196195</v>
      </c>
      <c r="E821" s="89">
        <f t="shared" si="1156"/>
        <v>23806337.609519921</v>
      </c>
      <c r="F821" s="89">
        <f t="shared" si="1156"/>
        <v>24178311.634668674</v>
      </c>
      <c r="G821" s="89">
        <f t="shared" si="1156"/>
        <v>32514905.963002402</v>
      </c>
      <c r="H821" s="89">
        <f t="shared" si="1156"/>
        <v>23871980.08454619</v>
      </c>
      <c r="I821" s="89">
        <f t="shared" si="1156"/>
        <v>27701124.461077418</v>
      </c>
      <c r="J821" s="89">
        <f t="shared" si="1156"/>
        <v>21924586.658767436</v>
      </c>
      <c r="K821" s="89">
        <f t="shared" si="1156"/>
        <v>28510714.986401182</v>
      </c>
      <c r="L821" s="89">
        <f t="shared" si="1156"/>
        <v>22646653.884056184</v>
      </c>
      <c r="M821" s="89">
        <f t="shared" si="1156"/>
        <v>28838927.36153242</v>
      </c>
      <c r="N821" s="89">
        <f t="shared" si="1156"/>
        <v>27460435.385981161</v>
      </c>
      <c r="O821" s="92">
        <f t="shared" si="1153"/>
        <v>311320378.2244941</v>
      </c>
    </row>
    <row r="822" spans="1:25" x14ac:dyDescent="0.25">
      <c r="A822" s="84"/>
      <c r="B822" s="58" t="s">
        <v>249</v>
      </c>
      <c r="C822" s="89">
        <v>10000000</v>
      </c>
      <c r="D822" s="89">
        <v>10000000</v>
      </c>
      <c r="E822" s="89">
        <v>10000000</v>
      </c>
      <c r="F822" s="89">
        <v>10000000</v>
      </c>
      <c r="G822" s="89">
        <v>10000000</v>
      </c>
      <c r="H822" s="89">
        <v>10000000</v>
      </c>
      <c r="I822" s="89">
        <v>10000000</v>
      </c>
      <c r="J822" s="89">
        <v>10000000</v>
      </c>
      <c r="K822" s="89">
        <v>10000000</v>
      </c>
      <c r="L822" s="89">
        <v>10000000</v>
      </c>
      <c r="M822" s="89">
        <v>10000000</v>
      </c>
      <c r="N822" s="89">
        <v>10000000</v>
      </c>
      <c r="O822" s="92">
        <f t="shared" si="1153"/>
        <v>120000000</v>
      </c>
    </row>
    <row r="823" spans="1:25" x14ac:dyDescent="0.25">
      <c r="A823" s="84"/>
      <c r="B823" s="58" t="s">
        <v>180</v>
      </c>
      <c r="C823" s="89">
        <f t="shared" ref="C823:N823" si="1157">C791*(1+$K$95)</f>
        <v>22376941.408281468</v>
      </c>
      <c r="D823" s="89">
        <f t="shared" si="1157"/>
        <v>19151600.504970558</v>
      </c>
      <c r="E823" s="89">
        <f t="shared" si="1157"/>
        <v>19825824.309617456</v>
      </c>
      <c r="F823" s="89">
        <f t="shared" si="1157"/>
        <v>20135602.81445523</v>
      </c>
      <c r="G823" s="89">
        <f t="shared" si="1157"/>
        <v>27078285.775819428</v>
      </c>
      <c r="H823" s="89">
        <f t="shared" si="1157"/>
        <v>19880491.104588848</v>
      </c>
      <c r="I823" s="89">
        <f t="shared" si="1157"/>
        <v>23069387.477918845</v>
      </c>
      <c r="J823" s="89">
        <f t="shared" si="1157"/>
        <v>18258709.520438138</v>
      </c>
      <c r="K823" s="89">
        <f t="shared" si="1157"/>
        <v>23743611.282565776</v>
      </c>
      <c r="L823" s="89">
        <f t="shared" si="1157"/>
        <v>18860044.265123237</v>
      </c>
      <c r="M823" s="89">
        <f t="shared" si="1157"/>
        <v>24016945.257422615</v>
      </c>
      <c r="N823" s="89">
        <f t="shared" si="1157"/>
        <v>22868942.563023806</v>
      </c>
      <c r="O823" s="92">
        <f t="shared" si="1153"/>
        <v>259266386.28422543</v>
      </c>
    </row>
    <row r="824" spans="1:25" x14ac:dyDescent="0.25">
      <c r="A824" s="84"/>
      <c r="B824" s="58" t="s">
        <v>86</v>
      </c>
      <c r="C824" s="89">
        <f t="shared" ref="C824:N824" si="1158">C792*(1+$K$95)</f>
        <v>19863129.185812533</v>
      </c>
      <c r="D824" s="89">
        <f t="shared" si="1158"/>
        <v>19863129.185812533</v>
      </c>
      <c r="E824" s="89">
        <f t="shared" si="1158"/>
        <v>19863129.185812533</v>
      </c>
      <c r="F824" s="89">
        <f t="shared" si="1158"/>
        <v>19863129.185812533</v>
      </c>
      <c r="G824" s="89">
        <f t="shared" si="1158"/>
        <v>19863129.185812533</v>
      </c>
      <c r="H824" s="89">
        <f t="shared" si="1158"/>
        <v>19863129.185812533</v>
      </c>
      <c r="I824" s="89">
        <f t="shared" si="1158"/>
        <v>19863129.185812533</v>
      </c>
      <c r="J824" s="89">
        <f t="shared" si="1158"/>
        <v>19863129.185812533</v>
      </c>
      <c r="K824" s="89">
        <f t="shared" si="1158"/>
        <v>19863129.185812533</v>
      </c>
      <c r="L824" s="89">
        <f t="shared" si="1158"/>
        <v>19863129.185812533</v>
      </c>
      <c r="M824" s="89">
        <f t="shared" si="1158"/>
        <v>19863129.185812533</v>
      </c>
      <c r="N824" s="89">
        <f t="shared" si="1158"/>
        <v>19863129.185812533</v>
      </c>
      <c r="O824" s="92">
        <f t="shared" si="1153"/>
        <v>238357550.22975039</v>
      </c>
    </row>
    <row r="825" spans="1:25" x14ac:dyDescent="0.25">
      <c r="A825" s="82"/>
      <c r="B825" s="46" t="s">
        <v>208</v>
      </c>
      <c r="C825" s="47">
        <f t="shared" ref="C825:N825" si="1159">SUM(C818:C824)</f>
        <v>135627894.70244002</v>
      </c>
      <c r="D825" s="47">
        <f t="shared" si="1159"/>
        <v>134153019.79982913</v>
      </c>
      <c r="E825" s="47">
        <f t="shared" si="1159"/>
        <v>138459460.55592847</v>
      </c>
      <c r="F825" s="47">
        <f t="shared" si="1159"/>
        <v>131811136.70798381</v>
      </c>
      <c r="G825" s="47">
        <f t="shared" si="1159"/>
        <v>159190510.22752044</v>
      </c>
      <c r="H825" s="47">
        <f t="shared" si="1159"/>
        <v>139083028.80112737</v>
      </c>
      <c r="I825" s="47">
        <f t="shared" si="1159"/>
        <v>146101069.55098864</v>
      </c>
      <c r="J825" s="47">
        <f t="shared" si="1159"/>
        <v>144506872.86979413</v>
      </c>
      <c r="K825" s="47">
        <f t="shared" si="1159"/>
        <v>150910769.2822893</v>
      </c>
      <c r="L825" s="47">
        <f t="shared" si="1159"/>
        <v>140316306.937563</v>
      </c>
      <c r="M825" s="47">
        <f t="shared" si="1159"/>
        <v>146217155.98015988</v>
      </c>
      <c r="N825" s="47">
        <f t="shared" si="1159"/>
        <v>143909469.56029731</v>
      </c>
      <c r="O825" s="47">
        <f t="shared" si="1153"/>
        <v>1710286694.9759214</v>
      </c>
    </row>
    <row r="826" spans="1:25" x14ac:dyDescent="0.25">
      <c r="A826" s="82"/>
      <c r="B826" s="60" t="s">
        <v>87</v>
      </c>
      <c r="C826" s="47">
        <f t="shared" ref="C826:N826" si="1160">C816+C825</f>
        <v>149325291.1579175</v>
      </c>
      <c r="D826" s="47">
        <f t="shared" si="1160"/>
        <v>146406281.8047291</v>
      </c>
      <c r="E826" s="47">
        <f t="shared" si="1160"/>
        <v>150712722.56082845</v>
      </c>
      <c r="F826" s="47">
        <f t="shared" si="1160"/>
        <v>144064398.71288377</v>
      </c>
      <c r="G826" s="47">
        <f t="shared" si="1160"/>
        <v>171443772.23242041</v>
      </c>
      <c r="H826" s="47">
        <f t="shared" si="1160"/>
        <v>151336290.80602735</v>
      </c>
      <c r="I826" s="47">
        <f t="shared" si="1160"/>
        <v>158354331.55588862</v>
      </c>
      <c r="J826" s="47">
        <f t="shared" si="1160"/>
        <v>156760134.87469411</v>
      </c>
      <c r="K826" s="47">
        <f t="shared" si="1160"/>
        <v>163164031.28718928</v>
      </c>
      <c r="L826" s="47">
        <f t="shared" si="1160"/>
        <v>152569568.94246298</v>
      </c>
      <c r="M826" s="47">
        <f t="shared" si="1160"/>
        <v>158470417.98505986</v>
      </c>
      <c r="N826" s="47">
        <f t="shared" si="1160"/>
        <v>156162731.56519729</v>
      </c>
      <c r="O826" s="47">
        <f t="shared" si="1153"/>
        <v>1858769973.4852989</v>
      </c>
    </row>
    <row r="827" spans="1:25" s="11" customFormat="1" x14ac:dyDescent="0.25">
      <c r="A827" s="82"/>
      <c r="B827" s="108" t="s">
        <v>204</v>
      </c>
      <c r="C827" s="109">
        <f>$O826*(3/12)/12</f>
        <v>38724374.447610393</v>
      </c>
      <c r="D827" s="109">
        <f t="shared" ref="D827" si="1161">$O826*(3/12)/12</f>
        <v>38724374.447610393</v>
      </c>
      <c r="E827" s="109">
        <f t="shared" ref="E827" si="1162">$O826*(3/12)/12</f>
        <v>38724374.447610393</v>
      </c>
      <c r="F827" s="109">
        <f t="shared" ref="F827" si="1163">$O826*(3/12)/12</f>
        <v>38724374.447610393</v>
      </c>
      <c r="G827" s="109">
        <f t="shared" ref="G827" si="1164">$O826*(3/12)/12</f>
        <v>38724374.447610393</v>
      </c>
      <c r="H827" s="109">
        <f t="shared" ref="H827" si="1165">$O826*(3/12)/12</f>
        <v>38724374.447610393</v>
      </c>
      <c r="I827" s="109">
        <f t="shared" ref="I827" si="1166">$O826*(3/12)/12</f>
        <v>38724374.447610393</v>
      </c>
      <c r="J827" s="109">
        <f t="shared" ref="J827" si="1167">$O826*(3/12)/12</f>
        <v>38724374.447610393</v>
      </c>
      <c r="K827" s="109">
        <f t="shared" ref="K827" si="1168">$O826*(3/12)/12</f>
        <v>38724374.447610393</v>
      </c>
      <c r="L827" s="109">
        <f t="shared" ref="L827" si="1169">$O826*(3/12)/12</f>
        <v>38724374.447610393</v>
      </c>
      <c r="M827" s="109">
        <f t="shared" ref="M827" si="1170">$O826*(3/12)/12</f>
        <v>38724374.447610393</v>
      </c>
      <c r="N827" s="109">
        <f>$O826*(3/12)/12</f>
        <v>38724374.447610393</v>
      </c>
      <c r="O827" s="109">
        <f t="shared" ref="O827:O829" si="1171">SUM(C827:N827)</f>
        <v>464692493.3713246</v>
      </c>
      <c r="P827" s="43"/>
      <c r="Q827" s="43"/>
      <c r="R827" s="40"/>
      <c r="S827" s="40"/>
      <c r="T827" s="40"/>
      <c r="U827" s="40"/>
      <c r="V827" s="40"/>
      <c r="W827" s="40"/>
      <c r="X827" s="40"/>
      <c r="Y827" s="40"/>
    </row>
    <row r="828" spans="1:25" s="11" customFormat="1" x14ac:dyDescent="0.25">
      <c r="A828" s="82"/>
      <c r="B828" s="108" t="s">
        <v>386</v>
      </c>
      <c r="C828" s="109">
        <f>C796*(1+$K$192)</f>
        <v>11991078.383442022</v>
      </c>
      <c r="D828" s="109">
        <v>0</v>
      </c>
      <c r="E828" s="109">
        <v>0</v>
      </c>
      <c r="F828" s="109">
        <v>0</v>
      </c>
      <c r="G828" s="109">
        <v>0</v>
      </c>
      <c r="H828" s="109">
        <v>0</v>
      </c>
      <c r="I828" s="109">
        <v>0</v>
      </c>
      <c r="J828" s="109">
        <v>0</v>
      </c>
      <c r="K828" s="109">
        <v>0</v>
      </c>
      <c r="L828" s="109">
        <v>0</v>
      </c>
      <c r="M828" s="109">
        <v>0</v>
      </c>
      <c r="N828" s="109">
        <v>0</v>
      </c>
      <c r="O828" s="109">
        <f t="shared" si="1171"/>
        <v>11991078.383442022</v>
      </c>
      <c r="P828" s="43"/>
      <c r="Q828" s="43"/>
      <c r="R828" s="40"/>
      <c r="S828" s="40"/>
      <c r="T828" s="40"/>
      <c r="U828" s="40"/>
      <c r="V828" s="40"/>
      <c r="W828" s="40"/>
      <c r="X828" s="40"/>
      <c r="Y828" s="40"/>
    </row>
    <row r="829" spans="1:25" s="11" customFormat="1" x14ac:dyDescent="0.25">
      <c r="A829" s="82"/>
      <c r="B829" s="60" t="s">
        <v>206</v>
      </c>
      <c r="C829" s="61">
        <f>C810-C826-C827-C828</f>
        <v>-133857297.51229951</v>
      </c>
      <c r="D829" s="61">
        <f t="shared" ref="D829" si="1172">D810-D826-D827-D828</f>
        <v>-118947209.77566908</v>
      </c>
      <c r="E829" s="61">
        <f t="shared" ref="E829" si="1173">E810-E826-E827-E828</f>
        <v>-123253650.53176843</v>
      </c>
      <c r="F829" s="61">
        <f t="shared" ref="F829" si="1174">F810-F826-F827-F828</f>
        <v>-116605326.68382375</v>
      </c>
      <c r="G829" s="61">
        <f t="shared" ref="G829" si="1175">G810-G826-G827-G828</f>
        <v>-143984700.20336038</v>
      </c>
      <c r="H829" s="61">
        <f t="shared" ref="H829" si="1176">H810-H826-H827-H828</f>
        <v>-123877218.77696733</v>
      </c>
      <c r="I829" s="61">
        <f t="shared" ref="I829" si="1177">I810-I826-I827-I828</f>
        <v>-130895259.5268286</v>
      </c>
      <c r="J829" s="61">
        <f t="shared" ref="J829" si="1178">J810-J826-J827-J828</f>
        <v>-129301062.84563409</v>
      </c>
      <c r="K829" s="61">
        <f t="shared" ref="K829" si="1179">K810-K826-K827-K828</f>
        <v>-135704959.25812924</v>
      </c>
      <c r="L829" s="61">
        <f t="shared" ref="L829" si="1180">L810-L826-L827-L828</f>
        <v>-125110496.91340296</v>
      </c>
      <c r="M829" s="61">
        <f t="shared" ref="M829" si="1181">M810-M826-M827-M828</f>
        <v>-131011345.95599984</v>
      </c>
      <c r="N829" s="61">
        <f t="shared" ref="N829" si="1182">N810-N826-N827-N828</f>
        <v>-128703659.53613727</v>
      </c>
      <c r="O829" s="47">
        <f t="shared" si="1171"/>
        <v>-1541252187.5200207</v>
      </c>
      <c r="P829" s="43"/>
      <c r="Q829" s="43"/>
      <c r="R829" s="40"/>
      <c r="S829" s="40"/>
      <c r="T829" s="40"/>
      <c r="U829" s="40"/>
      <c r="V829" s="40"/>
      <c r="W829" s="40"/>
      <c r="X829" s="40"/>
      <c r="Y829" s="40"/>
    </row>
    <row r="830" spans="1:25" x14ac:dyDescent="0.25">
      <c r="A830" s="85"/>
      <c r="B830" s="40"/>
      <c r="C830" s="40"/>
      <c r="D830" s="40"/>
      <c r="E830" s="40"/>
      <c r="F830" s="40"/>
      <c r="G830" s="40"/>
      <c r="H830" s="40"/>
      <c r="I830" s="40"/>
      <c r="J830" s="40"/>
      <c r="K830" s="40"/>
      <c r="L830" s="353" t="s">
        <v>217</v>
      </c>
      <c r="M830" s="354"/>
      <c r="N830" s="350">
        <f>SUM(C829:N829)+N798</f>
        <v>3363605420.0627031</v>
      </c>
      <c r="O830" s="40"/>
    </row>
    <row r="831" spans="1:25" x14ac:dyDescent="0.25">
      <c r="A831" s="85"/>
      <c r="B831" s="40"/>
      <c r="C831" s="40"/>
      <c r="D831" s="40"/>
      <c r="E831" s="40"/>
      <c r="F831" s="40"/>
      <c r="G831" s="40"/>
      <c r="H831" s="40"/>
      <c r="I831" s="40"/>
      <c r="J831" s="40"/>
      <c r="K831" s="40"/>
      <c r="L831" s="320"/>
      <c r="M831" s="355"/>
      <c r="N831" s="351"/>
      <c r="O831" s="40"/>
    </row>
    <row r="832" spans="1:25" x14ac:dyDescent="0.25">
      <c r="A832" s="85"/>
      <c r="B832" s="319" t="s">
        <v>632</v>
      </c>
      <c r="C832" s="352" t="s">
        <v>173</v>
      </c>
      <c r="D832" s="352"/>
      <c r="E832" s="352"/>
      <c r="F832" s="352"/>
      <c r="G832" s="352"/>
      <c r="H832" s="352"/>
      <c r="I832" s="40"/>
      <c r="J832" s="358" t="s">
        <v>231</v>
      </c>
      <c r="K832" s="359">
        <v>0.04</v>
      </c>
      <c r="L832" s="40"/>
      <c r="M832" s="40"/>
      <c r="N832" s="40"/>
      <c r="O832" s="361"/>
    </row>
    <row r="833" spans="1:15" x14ac:dyDescent="0.25">
      <c r="A833" s="85"/>
      <c r="B833" s="319"/>
      <c r="C833" s="352"/>
      <c r="D833" s="352"/>
      <c r="E833" s="352"/>
      <c r="F833" s="352"/>
      <c r="G833" s="352"/>
      <c r="H833" s="352"/>
      <c r="I833" s="40"/>
      <c r="J833" s="358"/>
      <c r="K833" s="360"/>
      <c r="L833" s="40"/>
      <c r="M833" s="40"/>
      <c r="N833" s="40"/>
      <c r="O833" s="362"/>
    </row>
    <row r="834" spans="1:15" x14ac:dyDescent="0.25">
      <c r="A834" s="85"/>
      <c r="B834" s="319"/>
      <c r="C834" s="352"/>
      <c r="D834" s="352"/>
      <c r="E834" s="352"/>
      <c r="F834" s="352"/>
      <c r="G834" s="352"/>
      <c r="H834" s="352"/>
      <c r="I834" s="40"/>
      <c r="J834" s="40"/>
      <c r="K834" s="40"/>
      <c r="L834" s="40"/>
      <c r="M834" s="40"/>
      <c r="N834" s="40"/>
      <c r="O834" s="40"/>
    </row>
    <row r="837" spans="1:15" ht="24.6" x14ac:dyDescent="0.25">
      <c r="A837" s="96"/>
      <c r="B837" s="348" t="s">
        <v>321</v>
      </c>
      <c r="C837" s="348"/>
      <c r="D837" s="348"/>
      <c r="E837" s="348"/>
      <c r="F837" s="348"/>
      <c r="G837" s="348"/>
      <c r="H837" s="348"/>
      <c r="I837" s="348"/>
      <c r="J837" s="348"/>
      <c r="K837" s="348"/>
      <c r="L837" s="348"/>
      <c r="M837" s="348"/>
      <c r="N837" s="348"/>
      <c r="O837" s="348"/>
    </row>
    <row r="838" spans="1:15" ht="24.6" x14ac:dyDescent="0.25">
      <c r="A838" s="96"/>
      <c r="B838" s="349"/>
      <c r="C838" s="349"/>
      <c r="D838" s="349"/>
      <c r="E838" s="349"/>
      <c r="F838" s="349"/>
      <c r="G838" s="349"/>
      <c r="H838" s="349"/>
      <c r="I838" s="349"/>
      <c r="J838" s="349"/>
      <c r="K838" s="349"/>
      <c r="L838" s="349"/>
      <c r="M838" s="349"/>
      <c r="N838" s="349"/>
      <c r="O838" s="349"/>
    </row>
    <row r="839" spans="1:15" x14ac:dyDescent="0.25">
      <c r="A839" s="82"/>
      <c r="B839" s="41"/>
      <c r="C839" s="42" t="s">
        <v>66</v>
      </c>
      <c r="D839" s="42" t="s">
        <v>67</v>
      </c>
      <c r="E839" s="42" t="s">
        <v>68</v>
      </c>
      <c r="F839" s="42" t="s">
        <v>69</v>
      </c>
      <c r="G839" s="42" t="s">
        <v>70</v>
      </c>
      <c r="H839" s="42" t="s">
        <v>71</v>
      </c>
      <c r="I839" s="42" t="s">
        <v>72</v>
      </c>
      <c r="J839" s="42" t="s">
        <v>73</v>
      </c>
      <c r="K839" s="42" t="s">
        <v>74</v>
      </c>
      <c r="L839" s="42" t="s">
        <v>75</v>
      </c>
      <c r="M839" s="42" t="s">
        <v>76</v>
      </c>
      <c r="N839" s="42" t="s">
        <v>77</v>
      </c>
      <c r="O839" s="42" t="s">
        <v>236</v>
      </c>
    </row>
    <row r="840" spans="1:15" x14ac:dyDescent="0.25">
      <c r="A840" s="82"/>
      <c r="B840" s="44" t="s">
        <v>381</v>
      </c>
      <c r="C840" s="45">
        <f>'11.My pension value'!$D$24/12</f>
        <v>35611893.330636717</v>
      </c>
      <c r="D840" s="45">
        <f>'11.My pension value'!$D$24/12</f>
        <v>35611893.330636717</v>
      </c>
      <c r="E840" s="45">
        <f>'11.My pension value'!$D$24/12</f>
        <v>35611893.330636717</v>
      </c>
      <c r="F840" s="45">
        <f>'11.My pension value'!$D$24/12</f>
        <v>35611893.330636717</v>
      </c>
      <c r="G840" s="45">
        <f>'11.My pension value'!$D$24/12</f>
        <v>35611893.330636717</v>
      </c>
      <c r="H840" s="45">
        <f>'11.My pension value'!$D$24/12</f>
        <v>35611893.330636717</v>
      </c>
      <c r="I840" s="45">
        <f>'11.My pension value'!$D$24/12</f>
        <v>35611893.330636717</v>
      </c>
      <c r="J840" s="45">
        <f>'11.My pension value'!$D$24/12</f>
        <v>35611893.330636717</v>
      </c>
      <c r="K840" s="45">
        <f>'11.My pension value'!$D$24/12</f>
        <v>35611893.330636717</v>
      </c>
      <c r="L840" s="45">
        <f>'11.My pension value'!$D$24/12</f>
        <v>35611893.330636717</v>
      </c>
      <c r="M840" s="45">
        <f>'11.My pension value'!$D$24/12</f>
        <v>35611893.330636717</v>
      </c>
      <c r="N840" s="45">
        <f>'11.My pension value'!$D$24/12</f>
        <v>35611893.330636717</v>
      </c>
      <c r="O840" s="45" t="s">
        <v>173</v>
      </c>
    </row>
    <row r="841" spans="1:15" x14ac:dyDescent="0.25">
      <c r="A841" s="82"/>
      <c r="B841" s="44" t="s">
        <v>382</v>
      </c>
      <c r="C841" s="45">
        <f>'10.2. Wife''s retirement salary'!$O$10</f>
        <v>30571553.146033701</v>
      </c>
      <c r="D841" s="45">
        <f>'10.2. Wife''s retirement salary'!$O$10</f>
        <v>30571553.146033701</v>
      </c>
      <c r="E841" s="45">
        <f>'10.2. Wife''s retirement salary'!$O$10</f>
        <v>30571553.146033701</v>
      </c>
      <c r="F841" s="45">
        <f>'10.2. Wife''s retirement salary'!$O$10</f>
        <v>30571553.146033701</v>
      </c>
      <c r="G841" s="45">
        <f>'10.2. Wife''s retirement salary'!$O$10</f>
        <v>30571553.146033701</v>
      </c>
      <c r="H841" s="45">
        <f>'10.2. Wife''s retirement salary'!$O$10</f>
        <v>30571553.146033701</v>
      </c>
      <c r="I841" s="45">
        <f>'10.2. Wife''s retirement salary'!$O$10</f>
        <v>30571553.146033701</v>
      </c>
      <c r="J841" s="45">
        <f>'10.2. Wife''s retirement salary'!$O$10</f>
        <v>30571553.146033701</v>
      </c>
      <c r="K841" s="45">
        <f>'10.2. Wife''s retirement salary'!$O$10</f>
        <v>30571553.146033701</v>
      </c>
      <c r="L841" s="45">
        <f>'10.2. Wife''s retirement salary'!$O$10</f>
        <v>30571553.146033701</v>
      </c>
      <c r="M841" s="45">
        <f>'10.2. Wife''s retirement salary'!$O$10</f>
        <v>30571553.146033701</v>
      </c>
      <c r="N841" s="45">
        <f>'10.2. Wife''s retirement salary'!$O$10</f>
        <v>30571553.146033701</v>
      </c>
      <c r="O841" s="45" t="s">
        <v>173</v>
      </c>
    </row>
    <row r="842" spans="1:15" x14ac:dyDescent="0.25">
      <c r="A842" s="82"/>
      <c r="B842" s="46" t="s">
        <v>209</v>
      </c>
      <c r="C842" s="47">
        <f>SUM(C840:C841)</f>
        <v>66183446.476670414</v>
      </c>
      <c r="D842" s="47">
        <f t="shared" ref="D842:J842" si="1183">SUM(D840:D841)</f>
        <v>66183446.476670414</v>
      </c>
      <c r="E842" s="47">
        <f t="shared" si="1183"/>
        <v>66183446.476670414</v>
      </c>
      <c r="F842" s="47">
        <f t="shared" si="1183"/>
        <v>66183446.476670414</v>
      </c>
      <c r="G842" s="47">
        <f t="shared" si="1183"/>
        <v>66183446.476670414</v>
      </c>
      <c r="H842" s="47">
        <f t="shared" si="1183"/>
        <v>66183446.476670414</v>
      </c>
      <c r="I842" s="47">
        <f t="shared" si="1183"/>
        <v>66183446.476670414</v>
      </c>
      <c r="J842" s="47">
        <f t="shared" si="1183"/>
        <v>66183446.476670414</v>
      </c>
      <c r="K842" s="47">
        <f>SUM(K840:K841)</f>
        <v>66183446.476670414</v>
      </c>
      <c r="L842" s="47">
        <f t="shared" ref="L842:N842" si="1184">SUM(L840:L841)</f>
        <v>66183446.476670414</v>
      </c>
      <c r="M842" s="47">
        <f t="shared" si="1184"/>
        <v>66183446.476670414</v>
      </c>
      <c r="N842" s="47">
        <f t="shared" si="1184"/>
        <v>66183446.476670414</v>
      </c>
      <c r="O842" s="47">
        <f>SUM(C842:N842)</f>
        <v>794201357.72004473</v>
      </c>
    </row>
    <row r="843" spans="1:15" x14ac:dyDescent="0.25">
      <c r="A843" s="82"/>
      <c r="B843" s="52" t="s">
        <v>78</v>
      </c>
      <c r="C843" s="53" t="s">
        <v>173</v>
      </c>
      <c r="D843" s="53" t="s">
        <v>173</v>
      </c>
      <c r="E843" s="53" t="s">
        <v>173</v>
      </c>
      <c r="F843" s="53" t="s">
        <v>173</v>
      </c>
      <c r="G843" s="53" t="s">
        <v>173</v>
      </c>
      <c r="H843" s="53" t="s">
        <v>173</v>
      </c>
      <c r="I843" s="53" t="s">
        <v>173</v>
      </c>
      <c r="J843" s="53" t="s">
        <v>173</v>
      </c>
      <c r="K843" s="53" t="s">
        <v>173</v>
      </c>
      <c r="L843" s="53" t="s">
        <v>173</v>
      </c>
      <c r="M843" s="53" t="s">
        <v>173</v>
      </c>
      <c r="N843" s="53" t="s">
        <v>173</v>
      </c>
      <c r="O843" s="91" t="s">
        <v>173</v>
      </c>
    </row>
    <row r="844" spans="1:15" x14ac:dyDescent="0.25">
      <c r="A844" s="82"/>
      <c r="B844" s="48" t="s">
        <v>79</v>
      </c>
      <c r="C844" s="54" t="s">
        <v>173</v>
      </c>
      <c r="D844" s="54" t="s">
        <v>173</v>
      </c>
      <c r="E844" s="54" t="s">
        <v>173</v>
      </c>
      <c r="F844" s="54" t="s">
        <v>173</v>
      </c>
      <c r="G844" s="54" t="s">
        <v>173</v>
      </c>
      <c r="H844" s="54" t="s">
        <v>173</v>
      </c>
      <c r="I844" s="54" t="s">
        <v>173</v>
      </c>
      <c r="J844" s="54" t="s">
        <v>173</v>
      </c>
      <c r="K844" s="54" t="s">
        <v>173</v>
      </c>
      <c r="L844" s="54" t="s">
        <v>173</v>
      </c>
      <c r="M844" s="54" t="s">
        <v>173</v>
      </c>
      <c r="N844" s="54" t="s">
        <v>173</v>
      </c>
      <c r="O844" s="91" t="s">
        <v>173</v>
      </c>
    </row>
    <row r="845" spans="1:15" x14ac:dyDescent="0.25">
      <c r="A845" s="83"/>
      <c r="B845" s="49" t="s">
        <v>195</v>
      </c>
      <c r="C845" s="50">
        <f>C813*(1+$K$62)</f>
        <v>1501899.8286005955</v>
      </c>
      <c r="D845" s="50">
        <v>0</v>
      </c>
      <c r="E845" s="50">
        <v>0</v>
      </c>
      <c r="F845" s="50">
        <v>0</v>
      </c>
      <c r="G845" s="50">
        <v>0</v>
      </c>
      <c r="H845" s="50">
        <v>0</v>
      </c>
      <c r="I845" s="50">
        <v>0</v>
      </c>
      <c r="J845" s="50">
        <v>0</v>
      </c>
      <c r="K845" s="50">
        <v>0</v>
      </c>
      <c r="L845" s="50">
        <v>0</v>
      </c>
      <c r="M845" s="50">
        <v>0</v>
      </c>
      <c r="N845" s="50">
        <v>0</v>
      </c>
      <c r="O845" s="90">
        <f t="shared" ref="O845:O848" si="1185">SUM(C845:N845)</f>
        <v>1501899.8286005955</v>
      </c>
    </row>
    <row r="846" spans="1:15" x14ac:dyDescent="0.25">
      <c r="A846" s="82"/>
      <c r="B846" s="51" t="s">
        <v>178</v>
      </c>
      <c r="C846" s="50">
        <f>C814*(1+$K$62)</f>
        <v>11378029.004549971</v>
      </c>
      <c r="D846" s="50">
        <f t="shared" ref="D846:N846" si="1186">D814*(1+$K$62)</f>
        <v>11378029.004549971</v>
      </c>
      <c r="E846" s="50">
        <f t="shared" si="1186"/>
        <v>11378029.004549971</v>
      </c>
      <c r="F846" s="50">
        <f t="shared" si="1186"/>
        <v>11378029.004549971</v>
      </c>
      <c r="G846" s="50">
        <f t="shared" si="1186"/>
        <v>11378029.004549971</v>
      </c>
      <c r="H846" s="50">
        <f t="shared" si="1186"/>
        <v>11378029.004549971</v>
      </c>
      <c r="I846" s="50">
        <f t="shared" si="1186"/>
        <v>11378029.004549971</v>
      </c>
      <c r="J846" s="50">
        <f t="shared" si="1186"/>
        <v>11378029.004549971</v>
      </c>
      <c r="K846" s="50">
        <f t="shared" si="1186"/>
        <v>11378029.004549971</v>
      </c>
      <c r="L846" s="50">
        <f t="shared" si="1186"/>
        <v>11378029.004549971</v>
      </c>
      <c r="M846" s="50">
        <f t="shared" si="1186"/>
        <v>11378029.004549971</v>
      </c>
      <c r="N846" s="50">
        <f t="shared" si="1186"/>
        <v>11378029.004549971</v>
      </c>
      <c r="O846" s="90">
        <f t="shared" si="1185"/>
        <v>136536348.05459961</v>
      </c>
    </row>
    <row r="847" spans="1:15" x14ac:dyDescent="0.25">
      <c r="A847" s="84"/>
      <c r="B847" s="51" t="s">
        <v>248</v>
      </c>
      <c r="C847" s="50">
        <f>C815*(1+$K$62)</f>
        <v>1365363.4805459962</v>
      </c>
      <c r="D847" s="50">
        <f t="shared" ref="D847:N847" si="1187">D815*(1+$K$62)</f>
        <v>1365363.4805459962</v>
      </c>
      <c r="E847" s="50">
        <f t="shared" si="1187"/>
        <v>1365363.4805459962</v>
      </c>
      <c r="F847" s="50">
        <f t="shared" si="1187"/>
        <v>1365363.4805459962</v>
      </c>
      <c r="G847" s="50">
        <f t="shared" si="1187"/>
        <v>1365363.4805459962</v>
      </c>
      <c r="H847" s="50">
        <f t="shared" si="1187"/>
        <v>1365363.4805459962</v>
      </c>
      <c r="I847" s="50">
        <f t="shared" si="1187"/>
        <v>1365363.4805459962</v>
      </c>
      <c r="J847" s="50">
        <f t="shared" si="1187"/>
        <v>1365363.4805459962</v>
      </c>
      <c r="K847" s="50">
        <f t="shared" si="1187"/>
        <v>1365363.4805459962</v>
      </c>
      <c r="L847" s="50">
        <f t="shared" si="1187"/>
        <v>1365363.4805459962</v>
      </c>
      <c r="M847" s="50">
        <f t="shared" si="1187"/>
        <v>1365363.4805459962</v>
      </c>
      <c r="N847" s="50">
        <f t="shared" si="1187"/>
        <v>1365363.4805459962</v>
      </c>
      <c r="O847" s="90">
        <f t="shared" si="1185"/>
        <v>16384361.766551951</v>
      </c>
    </row>
    <row r="848" spans="1:15" x14ac:dyDescent="0.25">
      <c r="A848" s="82"/>
      <c r="B848" s="46" t="s">
        <v>207</v>
      </c>
      <c r="C848" s="47">
        <f t="shared" ref="C848" si="1188">SUM(C845:C847)</f>
        <v>14245292.313696561</v>
      </c>
      <c r="D848" s="47">
        <f t="shared" ref="D848" si="1189">SUM(D845:D847)</f>
        <v>12743392.485095967</v>
      </c>
      <c r="E848" s="47">
        <f t="shared" ref="E848" si="1190">SUM(E845:E847)</f>
        <v>12743392.485095967</v>
      </c>
      <c r="F848" s="47">
        <f t="shared" ref="F848" si="1191">SUM(F845:F847)</f>
        <v>12743392.485095967</v>
      </c>
      <c r="G848" s="47">
        <f t="shared" ref="G848" si="1192">SUM(G845:G847)</f>
        <v>12743392.485095967</v>
      </c>
      <c r="H848" s="47">
        <f t="shared" ref="H848" si="1193">SUM(H845:H847)</f>
        <v>12743392.485095967</v>
      </c>
      <c r="I848" s="47">
        <f t="shared" ref="I848" si="1194">SUM(I845:I847)</f>
        <v>12743392.485095967</v>
      </c>
      <c r="J848" s="47">
        <f t="shared" ref="J848" si="1195">SUM(J845:J847)</f>
        <v>12743392.485095967</v>
      </c>
      <c r="K848" s="47">
        <f t="shared" ref="K848" si="1196">SUM(K845:K847)</f>
        <v>12743392.485095967</v>
      </c>
      <c r="L848" s="47">
        <f t="shared" ref="L848" si="1197">SUM(L845:L847)</f>
        <v>12743392.485095967</v>
      </c>
      <c r="M848" s="47">
        <f t="shared" ref="M848" si="1198">SUM(M845:M847)</f>
        <v>12743392.485095967</v>
      </c>
      <c r="N848" s="47">
        <f t="shared" ref="N848" si="1199">SUM(N845:N847)</f>
        <v>12743392.485095967</v>
      </c>
      <c r="O848" s="47">
        <f t="shared" si="1185"/>
        <v>154422609.64975217</v>
      </c>
    </row>
    <row r="849" spans="1:25" x14ac:dyDescent="0.25">
      <c r="A849" s="82"/>
      <c r="B849" s="55" t="s">
        <v>83</v>
      </c>
      <c r="C849" s="59" t="s">
        <v>173</v>
      </c>
      <c r="D849" s="59" t="s">
        <v>173</v>
      </c>
      <c r="E849" s="59" t="s">
        <v>173</v>
      </c>
      <c r="F849" s="59" t="s">
        <v>173</v>
      </c>
      <c r="G849" s="59" t="s">
        <v>173</v>
      </c>
      <c r="H849" s="59" t="s">
        <v>173</v>
      </c>
      <c r="I849" s="59" t="s">
        <v>173</v>
      </c>
      <c r="J849" s="59" t="s">
        <v>173</v>
      </c>
      <c r="K849" s="59" t="s">
        <v>173</v>
      </c>
      <c r="L849" s="59" t="s">
        <v>173</v>
      </c>
      <c r="M849" s="59" t="s">
        <v>173</v>
      </c>
      <c r="N849" s="59" t="s">
        <v>173</v>
      </c>
      <c r="O849" s="91" t="s">
        <v>173</v>
      </c>
    </row>
    <row r="850" spans="1:25" x14ac:dyDescent="0.25">
      <c r="A850" s="82"/>
      <c r="B850" s="57" t="s">
        <v>210</v>
      </c>
      <c r="C850" s="89">
        <f t="shared" ref="C850:N850" si="1200">C818*(1+$K$95)</f>
        <v>7532255.2010120796</v>
      </c>
      <c r="D850" s="89">
        <f t="shared" si="1200"/>
        <v>9079667.1456308756</v>
      </c>
      <c r="E850" s="89">
        <f t="shared" si="1200"/>
        <v>8374229.3473487729</v>
      </c>
      <c r="F850" s="89">
        <f t="shared" si="1200"/>
        <v>7828083.9551303824</v>
      </c>
      <c r="G850" s="89">
        <f t="shared" si="1200"/>
        <v>7190914.3308755783</v>
      </c>
      <c r="H850" s="89">
        <f t="shared" si="1200"/>
        <v>9011398.971603578</v>
      </c>
      <c r="I850" s="89">
        <f t="shared" si="1200"/>
        <v>10513298.800204169</v>
      </c>
      <c r="J850" s="89">
        <f t="shared" si="1200"/>
        <v>10080933.698031273</v>
      </c>
      <c r="K850" s="89">
        <f t="shared" si="1200"/>
        <v>7782571.8391121766</v>
      </c>
      <c r="L850" s="89">
        <f t="shared" si="1200"/>
        <v>7987376.3611940779</v>
      </c>
      <c r="M850" s="89">
        <f t="shared" si="1200"/>
        <v>7600523.37503938</v>
      </c>
      <c r="N850" s="89">
        <f t="shared" si="1200"/>
        <v>8214936.9412850756</v>
      </c>
      <c r="O850" s="92">
        <f t="shared" ref="O850:O858" si="1201">SUM(C850:N850)</f>
        <v>101196189.96646743</v>
      </c>
    </row>
    <row r="851" spans="1:25" x14ac:dyDescent="0.25">
      <c r="A851" s="82"/>
      <c r="B851" s="57" t="s">
        <v>203</v>
      </c>
      <c r="C851" s="89">
        <f t="shared" ref="C851:N851" si="1202">C819*(1+$K$95)</f>
        <v>27193489.320874419</v>
      </c>
      <c r="D851" s="89">
        <f t="shared" si="1202"/>
        <v>29287046.657711625</v>
      </c>
      <c r="E851" s="89">
        <f t="shared" si="1202"/>
        <v>32836991.707131211</v>
      </c>
      <c r="F851" s="89">
        <f t="shared" si="1202"/>
        <v>24895127.461955342</v>
      </c>
      <c r="G851" s="89">
        <f t="shared" si="1202"/>
        <v>33132820.461249519</v>
      </c>
      <c r="H851" s="89">
        <f t="shared" si="1202"/>
        <v>31221311.588485103</v>
      </c>
      <c r="I851" s="89">
        <f t="shared" si="1202"/>
        <v>28649877.033456836</v>
      </c>
      <c r="J851" s="89">
        <f t="shared" si="1202"/>
        <v>34065818.839622609</v>
      </c>
      <c r="K851" s="89">
        <f t="shared" si="1202"/>
        <v>33292112.867313199</v>
      </c>
      <c r="L851" s="89">
        <f t="shared" si="1202"/>
        <v>33292112.867313199</v>
      </c>
      <c r="M851" s="89">
        <f t="shared" si="1202"/>
        <v>25873637.95634665</v>
      </c>
      <c r="N851" s="89">
        <f t="shared" si="1202"/>
        <v>31903993.328758109</v>
      </c>
      <c r="O851" s="92">
        <f t="shared" si="1201"/>
        <v>365644340.09021783</v>
      </c>
    </row>
    <row r="852" spans="1:25" x14ac:dyDescent="0.25">
      <c r="A852" s="82"/>
      <c r="B852" s="58" t="s">
        <v>84</v>
      </c>
      <c r="C852" s="89">
        <f t="shared" ref="C852:N852" si="1203">C820*(1+$K$95)</f>
        <v>24053153.315618616</v>
      </c>
      <c r="D852" s="89">
        <f t="shared" si="1203"/>
        <v>26260490.942501325</v>
      </c>
      <c r="E852" s="89">
        <f t="shared" si="1203"/>
        <v>26351515.174537715</v>
      </c>
      <c r="F852" s="89">
        <f t="shared" si="1203"/>
        <v>27216245.378883537</v>
      </c>
      <c r="G852" s="89">
        <f t="shared" si="1203"/>
        <v>32199822.082876407</v>
      </c>
      <c r="H852" s="89">
        <f t="shared" si="1203"/>
        <v>27853415.003138322</v>
      </c>
      <c r="I852" s="89">
        <f t="shared" si="1203"/>
        <v>28922949.729566041</v>
      </c>
      <c r="J852" s="89">
        <f t="shared" si="1203"/>
        <v>33292112.867313199</v>
      </c>
      <c r="K852" s="89">
        <f t="shared" si="1203"/>
        <v>30470361.674184822</v>
      </c>
      <c r="L852" s="89">
        <f t="shared" si="1203"/>
        <v>30424849.558166612</v>
      </c>
      <c r="M852" s="89">
        <f t="shared" si="1203"/>
        <v>32563919.011022005</v>
      </c>
      <c r="N852" s="89">
        <f t="shared" si="1203"/>
        <v>26146710.652455829</v>
      </c>
      <c r="O852" s="92">
        <f t="shared" si="1201"/>
        <v>345755545.39026445</v>
      </c>
    </row>
    <row r="853" spans="1:25" x14ac:dyDescent="0.25">
      <c r="A853" s="82"/>
      <c r="B853" s="57" t="s">
        <v>85</v>
      </c>
      <c r="C853" s="89">
        <f t="shared" ref="C853:N853" si="1204">C821*(1+$K$95)</f>
        <v>27944439.235174738</v>
      </c>
      <c r="D853" s="89">
        <f t="shared" si="1204"/>
        <v>23916616.967564043</v>
      </c>
      <c r="E853" s="89">
        <f t="shared" si="1204"/>
        <v>24758591.113900717</v>
      </c>
      <c r="F853" s="89">
        <f t="shared" si="1204"/>
        <v>25145444.100055423</v>
      </c>
      <c r="G853" s="89">
        <f t="shared" si="1204"/>
        <v>33815502.201522499</v>
      </c>
      <c r="H853" s="89">
        <f t="shared" si="1204"/>
        <v>24826859.287928037</v>
      </c>
      <c r="I853" s="89">
        <f t="shared" si="1204"/>
        <v>28809169.439520516</v>
      </c>
      <c r="J853" s="89">
        <f t="shared" si="1204"/>
        <v>22801570.125118133</v>
      </c>
      <c r="K853" s="89">
        <f t="shared" si="1204"/>
        <v>29651143.585857231</v>
      </c>
      <c r="L853" s="89">
        <f t="shared" si="1204"/>
        <v>23552520.039418433</v>
      </c>
      <c r="M853" s="89">
        <f t="shared" si="1204"/>
        <v>29992484.455993719</v>
      </c>
      <c r="N853" s="89">
        <f t="shared" si="1204"/>
        <v>28558852.801420409</v>
      </c>
      <c r="O853" s="92">
        <f t="shared" si="1201"/>
        <v>323773193.3534739</v>
      </c>
    </row>
    <row r="854" spans="1:25" x14ac:dyDescent="0.25">
      <c r="A854" s="84"/>
      <c r="B854" s="58" t="s">
        <v>249</v>
      </c>
      <c r="C854" s="89">
        <v>10000000</v>
      </c>
      <c r="D854" s="89">
        <v>10000000</v>
      </c>
      <c r="E854" s="89">
        <v>10000000</v>
      </c>
      <c r="F854" s="89">
        <v>10000000</v>
      </c>
      <c r="G854" s="89">
        <v>10000000</v>
      </c>
      <c r="H854" s="89">
        <v>10000000</v>
      </c>
      <c r="I854" s="89">
        <v>10000000</v>
      </c>
      <c r="J854" s="89">
        <v>10000000</v>
      </c>
      <c r="K854" s="89">
        <v>10000000</v>
      </c>
      <c r="L854" s="89">
        <v>10000000</v>
      </c>
      <c r="M854" s="89">
        <v>10000000</v>
      </c>
      <c r="N854" s="89">
        <v>10000000</v>
      </c>
      <c r="O854" s="92">
        <f t="shared" si="1201"/>
        <v>120000000</v>
      </c>
    </row>
    <row r="855" spans="1:25" x14ac:dyDescent="0.25">
      <c r="A855" s="84"/>
      <c r="B855" s="58" t="s">
        <v>180</v>
      </c>
      <c r="C855" s="89">
        <f t="shared" ref="C855:N855" si="1205">C823*(1+$K$95)</f>
        <v>23272019.064612728</v>
      </c>
      <c r="D855" s="89">
        <f t="shared" si="1205"/>
        <v>19917664.52516938</v>
      </c>
      <c r="E855" s="89">
        <f t="shared" si="1205"/>
        <v>20618857.282002155</v>
      </c>
      <c r="F855" s="89">
        <f t="shared" si="1205"/>
        <v>20941026.927033439</v>
      </c>
      <c r="G855" s="89">
        <f t="shared" si="1205"/>
        <v>28161417.206852205</v>
      </c>
      <c r="H855" s="89">
        <f t="shared" si="1205"/>
        <v>20675710.748772401</v>
      </c>
      <c r="I855" s="89">
        <f t="shared" si="1205"/>
        <v>23992162.977035601</v>
      </c>
      <c r="J855" s="89">
        <f t="shared" si="1205"/>
        <v>18989057.901255663</v>
      </c>
      <c r="K855" s="89">
        <f t="shared" si="1205"/>
        <v>24693355.733868409</v>
      </c>
      <c r="L855" s="89">
        <f t="shared" si="1205"/>
        <v>19614446.035728168</v>
      </c>
      <c r="M855" s="89">
        <f t="shared" si="1205"/>
        <v>24977623.067719519</v>
      </c>
      <c r="N855" s="89">
        <f t="shared" si="1205"/>
        <v>23783700.265544757</v>
      </c>
      <c r="O855" s="92">
        <f t="shared" si="1201"/>
        <v>269637041.73559439</v>
      </c>
    </row>
    <row r="856" spans="1:25" x14ac:dyDescent="0.25">
      <c r="A856" s="84"/>
      <c r="B856" s="58" t="s">
        <v>86</v>
      </c>
      <c r="C856" s="89">
        <f t="shared" ref="C856:N856" si="1206">C824*(1+$K$95)</f>
        <v>20657654.353245035</v>
      </c>
      <c r="D856" s="89">
        <f t="shared" si="1206"/>
        <v>20657654.353245035</v>
      </c>
      <c r="E856" s="89">
        <f t="shared" si="1206"/>
        <v>20657654.353245035</v>
      </c>
      <c r="F856" s="89">
        <f t="shared" si="1206"/>
        <v>20657654.353245035</v>
      </c>
      <c r="G856" s="89">
        <f t="shared" si="1206"/>
        <v>20657654.353245035</v>
      </c>
      <c r="H856" s="89">
        <f t="shared" si="1206"/>
        <v>20657654.353245035</v>
      </c>
      <c r="I856" s="89">
        <f t="shared" si="1206"/>
        <v>20657654.353245035</v>
      </c>
      <c r="J856" s="89">
        <f t="shared" si="1206"/>
        <v>20657654.353245035</v>
      </c>
      <c r="K856" s="89">
        <f t="shared" si="1206"/>
        <v>20657654.353245035</v>
      </c>
      <c r="L856" s="89">
        <f t="shared" si="1206"/>
        <v>20657654.353245035</v>
      </c>
      <c r="M856" s="89">
        <f t="shared" si="1206"/>
        <v>20657654.353245035</v>
      </c>
      <c r="N856" s="89">
        <f t="shared" si="1206"/>
        <v>20657654.353245035</v>
      </c>
      <c r="O856" s="92">
        <f t="shared" si="1201"/>
        <v>247891852.23894036</v>
      </c>
    </row>
    <row r="857" spans="1:25" x14ac:dyDescent="0.25">
      <c r="A857" s="82"/>
      <c r="B857" s="46" t="s">
        <v>208</v>
      </c>
      <c r="C857" s="47">
        <f t="shared" ref="C857:N857" si="1207">SUM(C850:C856)</f>
        <v>140653010.49053761</v>
      </c>
      <c r="D857" s="47">
        <f t="shared" si="1207"/>
        <v>139119140.59182227</v>
      </c>
      <c r="E857" s="47">
        <f t="shared" si="1207"/>
        <v>143597838.97816563</v>
      </c>
      <c r="F857" s="47">
        <f t="shared" si="1207"/>
        <v>136683582.17630315</v>
      </c>
      <c r="G857" s="47">
        <f t="shared" si="1207"/>
        <v>165158130.63662124</v>
      </c>
      <c r="H857" s="47">
        <f t="shared" si="1207"/>
        <v>144246349.95317248</v>
      </c>
      <c r="I857" s="47">
        <f t="shared" si="1207"/>
        <v>151545112.3330282</v>
      </c>
      <c r="J857" s="47">
        <f t="shared" si="1207"/>
        <v>149887147.78458589</v>
      </c>
      <c r="K857" s="47">
        <f t="shared" si="1207"/>
        <v>156547200.05358088</v>
      </c>
      <c r="L857" s="47">
        <f t="shared" si="1207"/>
        <v>145528959.21506554</v>
      </c>
      <c r="M857" s="47">
        <f t="shared" si="1207"/>
        <v>151665842.21936631</v>
      </c>
      <c r="N857" s="47">
        <f t="shared" si="1207"/>
        <v>149265848.34270921</v>
      </c>
      <c r="O857" s="47">
        <f t="shared" si="1201"/>
        <v>1773898162.7749586</v>
      </c>
    </row>
    <row r="858" spans="1:25" x14ac:dyDescent="0.25">
      <c r="A858" s="82"/>
      <c r="B858" s="60" t="s">
        <v>87</v>
      </c>
      <c r="C858" s="47">
        <f t="shared" ref="C858:N858" si="1208">C848+C857</f>
        <v>154898302.80423418</v>
      </c>
      <c r="D858" s="47">
        <f t="shared" si="1208"/>
        <v>151862533.07691824</v>
      </c>
      <c r="E858" s="47">
        <f t="shared" si="1208"/>
        <v>156341231.4632616</v>
      </c>
      <c r="F858" s="47">
        <f t="shared" si="1208"/>
        <v>149426974.66139913</v>
      </c>
      <c r="G858" s="47">
        <f t="shared" si="1208"/>
        <v>177901523.12171721</v>
      </c>
      <c r="H858" s="47">
        <f t="shared" si="1208"/>
        <v>156989742.43826845</v>
      </c>
      <c r="I858" s="47">
        <f t="shared" si="1208"/>
        <v>164288504.81812418</v>
      </c>
      <c r="J858" s="47">
        <f t="shared" si="1208"/>
        <v>162630540.26968187</v>
      </c>
      <c r="K858" s="47">
        <f t="shared" si="1208"/>
        <v>169290592.53867686</v>
      </c>
      <c r="L858" s="47">
        <f t="shared" si="1208"/>
        <v>158272351.70016152</v>
      </c>
      <c r="M858" s="47">
        <f t="shared" si="1208"/>
        <v>164409234.70446229</v>
      </c>
      <c r="N858" s="47">
        <f t="shared" si="1208"/>
        <v>162009240.82780519</v>
      </c>
      <c r="O858" s="47">
        <f t="shared" si="1201"/>
        <v>1928320772.4247108</v>
      </c>
    </row>
    <row r="859" spans="1:25" s="11" customFormat="1" x14ac:dyDescent="0.25">
      <c r="A859" s="82"/>
      <c r="B859" s="108" t="s">
        <v>204</v>
      </c>
      <c r="C859" s="109">
        <f>$O858*(3/12)/12</f>
        <v>40173349.42551481</v>
      </c>
      <c r="D859" s="109">
        <f t="shared" ref="D859" si="1209">$O858*(3/12)/12</f>
        <v>40173349.42551481</v>
      </c>
      <c r="E859" s="109">
        <f t="shared" ref="E859" si="1210">$O858*(3/12)/12</f>
        <v>40173349.42551481</v>
      </c>
      <c r="F859" s="109">
        <f t="shared" ref="F859" si="1211">$O858*(3/12)/12</f>
        <v>40173349.42551481</v>
      </c>
      <c r="G859" s="109">
        <f t="shared" ref="G859" si="1212">$O858*(3/12)/12</f>
        <v>40173349.42551481</v>
      </c>
      <c r="H859" s="109">
        <f t="shared" ref="H859" si="1213">$O858*(3/12)/12</f>
        <v>40173349.42551481</v>
      </c>
      <c r="I859" s="109">
        <f t="shared" ref="I859" si="1214">$O858*(3/12)/12</f>
        <v>40173349.42551481</v>
      </c>
      <c r="J859" s="109">
        <f t="shared" ref="J859" si="1215">$O858*(3/12)/12</f>
        <v>40173349.42551481</v>
      </c>
      <c r="K859" s="109">
        <f t="shared" ref="K859" si="1216">$O858*(3/12)/12</f>
        <v>40173349.42551481</v>
      </c>
      <c r="L859" s="109">
        <f t="shared" ref="L859" si="1217">$O858*(3/12)/12</f>
        <v>40173349.42551481</v>
      </c>
      <c r="M859" s="109">
        <f t="shared" ref="M859" si="1218">$O858*(3/12)/12</f>
        <v>40173349.42551481</v>
      </c>
      <c r="N859" s="109">
        <f>$O858*(3/12)/12</f>
        <v>40173349.42551481</v>
      </c>
      <c r="O859" s="109">
        <f t="shared" ref="O859:O861" si="1219">SUM(C859:N859)</f>
        <v>482080193.10617775</v>
      </c>
      <c r="P859" s="43"/>
      <c r="Q859" s="43"/>
      <c r="R859" s="40"/>
      <c r="S859" s="40"/>
      <c r="T859" s="40"/>
      <c r="U859" s="40"/>
      <c r="V859" s="40"/>
      <c r="W859" s="40"/>
      <c r="X859" s="40"/>
      <c r="Y859" s="40"/>
    </row>
    <row r="860" spans="1:25" s="11" customFormat="1" x14ac:dyDescent="0.25">
      <c r="A860" s="82"/>
      <c r="B860" s="108" t="s">
        <v>386</v>
      </c>
      <c r="C860" s="109">
        <f>C828*(1+$K$192)</f>
        <v>12470721.518779702</v>
      </c>
      <c r="D860" s="109">
        <v>0</v>
      </c>
      <c r="E860" s="109">
        <v>0</v>
      </c>
      <c r="F860" s="109">
        <v>0</v>
      </c>
      <c r="G860" s="109">
        <v>0</v>
      </c>
      <c r="H860" s="109">
        <v>0</v>
      </c>
      <c r="I860" s="109">
        <v>0</v>
      </c>
      <c r="J860" s="109">
        <v>0</v>
      </c>
      <c r="K860" s="109">
        <v>0</v>
      </c>
      <c r="L860" s="109">
        <v>0</v>
      </c>
      <c r="M860" s="109">
        <v>0</v>
      </c>
      <c r="N860" s="109">
        <v>0</v>
      </c>
      <c r="O860" s="109">
        <f t="shared" si="1219"/>
        <v>12470721.518779702</v>
      </c>
      <c r="P860" s="43"/>
      <c r="Q860" s="43"/>
      <c r="R860" s="40"/>
      <c r="S860" s="40"/>
      <c r="T860" s="40"/>
      <c r="U860" s="40"/>
      <c r="V860" s="40"/>
      <c r="W860" s="40"/>
      <c r="X860" s="40"/>
      <c r="Y860" s="40"/>
    </row>
    <row r="861" spans="1:25" s="11" customFormat="1" x14ac:dyDescent="0.25">
      <c r="A861" s="82"/>
      <c r="B861" s="60" t="s">
        <v>206</v>
      </c>
      <c r="C861" s="61">
        <f>C842-C858-C859-C860</f>
        <v>-141358927.27185827</v>
      </c>
      <c r="D861" s="61">
        <f t="shared" ref="D861" si="1220">D842-D858-D859-D860</f>
        <v>-125852436.02576265</v>
      </c>
      <c r="E861" s="61">
        <f t="shared" ref="E861" si="1221">E842-E858-E859-E860</f>
        <v>-130331134.41210601</v>
      </c>
      <c r="F861" s="61">
        <f t="shared" ref="F861" si="1222">F842-F858-F859-F860</f>
        <v>-123416877.61024353</v>
      </c>
      <c r="G861" s="61">
        <f t="shared" ref="G861" si="1223">G842-G858-G859-G860</f>
        <v>-151891426.07056162</v>
      </c>
      <c r="H861" s="61">
        <f t="shared" ref="H861" si="1224">H842-H858-H859-H860</f>
        <v>-130979645.38711286</v>
      </c>
      <c r="I861" s="61">
        <f t="shared" ref="I861" si="1225">I842-I858-I859-I860</f>
        <v>-138278407.76696858</v>
      </c>
      <c r="J861" s="61">
        <f t="shared" ref="J861" si="1226">J842-J858-J859-J860</f>
        <v>-136620443.21852627</v>
      </c>
      <c r="K861" s="61">
        <f t="shared" ref="K861" si="1227">K842-K858-K859-K860</f>
        <v>-143280495.48752126</v>
      </c>
      <c r="L861" s="61">
        <f t="shared" ref="L861" si="1228">L842-L858-L859-L860</f>
        <v>-132262254.64900592</v>
      </c>
      <c r="M861" s="61">
        <f t="shared" ref="M861" si="1229">M842-M858-M859-M860</f>
        <v>-138399137.65330669</v>
      </c>
      <c r="N861" s="61">
        <f t="shared" ref="N861" si="1230">N842-N858-N859-N860</f>
        <v>-135999143.77664959</v>
      </c>
      <c r="O861" s="47">
        <f t="shared" si="1219"/>
        <v>-1628670329.3296232</v>
      </c>
      <c r="P861" s="43"/>
      <c r="Q861" s="43"/>
      <c r="R861" s="40"/>
      <c r="S861" s="40"/>
      <c r="T861" s="40"/>
      <c r="U861" s="40"/>
      <c r="V861" s="40"/>
      <c r="W861" s="40"/>
      <c r="X861" s="40"/>
      <c r="Y861" s="40"/>
    </row>
    <row r="862" spans="1:25" x14ac:dyDescent="0.25">
      <c r="A862" s="85"/>
      <c r="B862" s="40"/>
      <c r="C862" s="40"/>
      <c r="D862" s="40"/>
      <c r="E862" s="40"/>
      <c r="F862" s="40"/>
      <c r="G862" s="40"/>
      <c r="H862" s="40"/>
      <c r="I862" s="40"/>
      <c r="J862" s="40"/>
      <c r="K862" s="40"/>
      <c r="L862" s="353" t="s">
        <v>217</v>
      </c>
      <c r="M862" s="354"/>
      <c r="N862" s="350">
        <f>SUM(C861:N861)+N830</f>
        <v>1734935090.7330799</v>
      </c>
      <c r="O862" s="40"/>
    </row>
    <row r="863" spans="1:25" x14ac:dyDescent="0.25">
      <c r="A863" s="85"/>
      <c r="B863" s="40"/>
      <c r="C863" s="40"/>
      <c r="D863" s="40"/>
      <c r="E863" s="40"/>
      <c r="F863" s="40"/>
      <c r="G863" s="40"/>
      <c r="H863" s="40"/>
      <c r="I863" s="40"/>
      <c r="J863" s="40"/>
      <c r="K863" s="40"/>
      <c r="L863" s="320"/>
      <c r="M863" s="355"/>
      <c r="N863" s="351"/>
      <c r="O863" s="40"/>
    </row>
    <row r="864" spans="1:25" x14ac:dyDescent="0.25">
      <c r="A864" s="85"/>
      <c r="B864" s="319" t="s">
        <v>632</v>
      </c>
      <c r="C864" s="352" t="s">
        <v>173</v>
      </c>
      <c r="D864" s="352"/>
      <c r="E864" s="352"/>
      <c r="F864" s="352"/>
      <c r="G864" s="352"/>
      <c r="H864" s="352"/>
      <c r="I864" s="40"/>
      <c r="J864" s="358" t="s">
        <v>231</v>
      </c>
      <c r="K864" s="359">
        <v>0.04</v>
      </c>
      <c r="L864" s="40"/>
      <c r="M864" s="40"/>
      <c r="N864" s="40"/>
      <c r="O864" s="361"/>
    </row>
    <row r="865" spans="1:15" x14ac:dyDescent="0.25">
      <c r="A865" s="85"/>
      <c r="B865" s="319"/>
      <c r="C865" s="352"/>
      <c r="D865" s="352"/>
      <c r="E865" s="352"/>
      <c r="F865" s="352"/>
      <c r="G865" s="352"/>
      <c r="H865" s="352"/>
      <c r="I865" s="40"/>
      <c r="J865" s="358"/>
      <c r="K865" s="360"/>
      <c r="L865" s="40"/>
      <c r="M865" s="40"/>
      <c r="N865" s="40"/>
      <c r="O865" s="362"/>
    </row>
    <row r="866" spans="1:15" x14ac:dyDescent="0.25">
      <c r="A866" s="85"/>
      <c r="B866" s="319"/>
      <c r="C866" s="352"/>
      <c r="D866" s="352"/>
      <c r="E866" s="352"/>
      <c r="F866" s="352"/>
      <c r="G866" s="352"/>
      <c r="H866" s="352"/>
      <c r="I866" s="40"/>
      <c r="J866" s="40"/>
      <c r="K866" s="40"/>
      <c r="L866" s="40"/>
      <c r="M866" s="40"/>
      <c r="N866" s="40"/>
      <c r="O866" s="40"/>
    </row>
  </sheetData>
  <mergeCells count="216">
    <mergeCell ref="B837:O838"/>
    <mergeCell ref="L862:M863"/>
    <mergeCell ref="N862:N863"/>
    <mergeCell ref="B864:B866"/>
    <mergeCell ref="C864:H866"/>
    <mergeCell ref="J864:J865"/>
    <mergeCell ref="K864:K865"/>
    <mergeCell ref="O864:O865"/>
    <mergeCell ref="B805:O806"/>
    <mergeCell ref="L830:M831"/>
    <mergeCell ref="N830:N831"/>
    <mergeCell ref="B832:B834"/>
    <mergeCell ref="C832:H834"/>
    <mergeCell ref="J832:J833"/>
    <mergeCell ref="K832:K833"/>
    <mergeCell ref="O832:O833"/>
    <mergeCell ref="B773:O774"/>
    <mergeCell ref="L798:M799"/>
    <mergeCell ref="N798:N799"/>
    <mergeCell ref="B800:B802"/>
    <mergeCell ref="C800:H802"/>
    <mergeCell ref="J800:J801"/>
    <mergeCell ref="K800:K801"/>
    <mergeCell ref="O800:O801"/>
    <mergeCell ref="B741:O742"/>
    <mergeCell ref="L766:M767"/>
    <mergeCell ref="N766:N767"/>
    <mergeCell ref="B768:B770"/>
    <mergeCell ref="C768:H770"/>
    <mergeCell ref="J768:J769"/>
    <mergeCell ref="K768:K769"/>
    <mergeCell ref="O768:O769"/>
    <mergeCell ref="B709:O710"/>
    <mergeCell ref="L734:M735"/>
    <mergeCell ref="N734:N735"/>
    <mergeCell ref="B736:B738"/>
    <mergeCell ref="C736:H738"/>
    <mergeCell ref="J736:J737"/>
    <mergeCell ref="K736:K737"/>
    <mergeCell ref="O736:O737"/>
    <mergeCell ref="B677:O678"/>
    <mergeCell ref="L702:M703"/>
    <mergeCell ref="N702:N703"/>
    <mergeCell ref="B704:B706"/>
    <mergeCell ref="C704:H706"/>
    <mergeCell ref="J704:J705"/>
    <mergeCell ref="K704:K705"/>
    <mergeCell ref="O704:O705"/>
    <mergeCell ref="B645:O646"/>
    <mergeCell ref="L670:M671"/>
    <mergeCell ref="N670:N671"/>
    <mergeCell ref="B672:B674"/>
    <mergeCell ref="C672:H674"/>
    <mergeCell ref="J672:J673"/>
    <mergeCell ref="K672:K673"/>
    <mergeCell ref="O672:O673"/>
    <mergeCell ref="B613:O614"/>
    <mergeCell ref="L638:M639"/>
    <mergeCell ref="N638:N639"/>
    <mergeCell ref="B640:B642"/>
    <mergeCell ref="C640:H642"/>
    <mergeCell ref="J640:J641"/>
    <mergeCell ref="K640:K641"/>
    <mergeCell ref="O640:O641"/>
    <mergeCell ref="B581:O582"/>
    <mergeCell ref="L606:M607"/>
    <mergeCell ref="N606:N607"/>
    <mergeCell ref="B608:B610"/>
    <mergeCell ref="C608:H610"/>
    <mergeCell ref="J608:J609"/>
    <mergeCell ref="K608:K609"/>
    <mergeCell ref="O608:O609"/>
    <mergeCell ref="B549:O550"/>
    <mergeCell ref="L574:M575"/>
    <mergeCell ref="N574:N575"/>
    <mergeCell ref="B576:B578"/>
    <mergeCell ref="C576:H578"/>
    <mergeCell ref="J576:J577"/>
    <mergeCell ref="K576:K577"/>
    <mergeCell ref="O576:O577"/>
    <mergeCell ref="B517:O518"/>
    <mergeCell ref="L542:M543"/>
    <mergeCell ref="N542:N543"/>
    <mergeCell ref="B544:B546"/>
    <mergeCell ref="C544:H546"/>
    <mergeCell ref="J544:J545"/>
    <mergeCell ref="K544:K545"/>
    <mergeCell ref="O544:O545"/>
    <mergeCell ref="B485:O486"/>
    <mergeCell ref="L510:M511"/>
    <mergeCell ref="N510:N511"/>
    <mergeCell ref="B512:B514"/>
    <mergeCell ref="C512:H514"/>
    <mergeCell ref="J512:J513"/>
    <mergeCell ref="K512:K513"/>
    <mergeCell ref="O512:O513"/>
    <mergeCell ref="B453:O454"/>
    <mergeCell ref="L478:M479"/>
    <mergeCell ref="N478:N479"/>
    <mergeCell ref="B480:B482"/>
    <mergeCell ref="C480:H482"/>
    <mergeCell ref="J480:J481"/>
    <mergeCell ref="K480:K481"/>
    <mergeCell ref="O480:O481"/>
    <mergeCell ref="B421:O422"/>
    <mergeCell ref="L446:M447"/>
    <mergeCell ref="N446:N447"/>
    <mergeCell ref="B448:B450"/>
    <mergeCell ref="C448:H450"/>
    <mergeCell ref="J448:J449"/>
    <mergeCell ref="K448:K449"/>
    <mergeCell ref="O448:O449"/>
    <mergeCell ref="B389:O390"/>
    <mergeCell ref="L414:M415"/>
    <mergeCell ref="N414:N415"/>
    <mergeCell ref="B416:B418"/>
    <mergeCell ref="C416:H418"/>
    <mergeCell ref="J416:J417"/>
    <mergeCell ref="K416:K417"/>
    <mergeCell ref="O416:O417"/>
    <mergeCell ref="B357:O358"/>
    <mergeCell ref="L382:M383"/>
    <mergeCell ref="N382:N383"/>
    <mergeCell ref="B384:B386"/>
    <mergeCell ref="C384:H386"/>
    <mergeCell ref="J384:J385"/>
    <mergeCell ref="K384:K385"/>
    <mergeCell ref="O384:O385"/>
    <mergeCell ref="B325:O326"/>
    <mergeCell ref="L350:M351"/>
    <mergeCell ref="N350:N351"/>
    <mergeCell ref="B352:B354"/>
    <mergeCell ref="C352:H354"/>
    <mergeCell ref="J352:J353"/>
    <mergeCell ref="K352:K353"/>
    <mergeCell ref="O352:O353"/>
    <mergeCell ref="B293:O294"/>
    <mergeCell ref="L318:M319"/>
    <mergeCell ref="N318:N319"/>
    <mergeCell ref="B320:B322"/>
    <mergeCell ref="C320:H322"/>
    <mergeCell ref="J320:J321"/>
    <mergeCell ref="K320:K321"/>
    <mergeCell ref="O320:O321"/>
    <mergeCell ref="B261:O262"/>
    <mergeCell ref="L286:M287"/>
    <mergeCell ref="N286:N287"/>
    <mergeCell ref="B288:B290"/>
    <mergeCell ref="C288:H290"/>
    <mergeCell ref="J288:J289"/>
    <mergeCell ref="K288:K289"/>
    <mergeCell ref="O288:O289"/>
    <mergeCell ref="B229:O230"/>
    <mergeCell ref="L254:M255"/>
    <mergeCell ref="N254:N255"/>
    <mergeCell ref="B256:B258"/>
    <mergeCell ref="C256:H258"/>
    <mergeCell ref="J256:J257"/>
    <mergeCell ref="K256:K257"/>
    <mergeCell ref="O256:O257"/>
    <mergeCell ref="B197:O198"/>
    <mergeCell ref="L222:M223"/>
    <mergeCell ref="N222:N223"/>
    <mergeCell ref="B224:B226"/>
    <mergeCell ref="C224:H226"/>
    <mergeCell ref="J224:J225"/>
    <mergeCell ref="K224:K225"/>
    <mergeCell ref="O224:O225"/>
    <mergeCell ref="B165:O166"/>
    <mergeCell ref="L190:M191"/>
    <mergeCell ref="N190:N191"/>
    <mergeCell ref="B192:B194"/>
    <mergeCell ref="C192:H194"/>
    <mergeCell ref="J192:J193"/>
    <mergeCell ref="K192:K193"/>
    <mergeCell ref="O192:O193"/>
    <mergeCell ref="B133:O134"/>
    <mergeCell ref="L158:M159"/>
    <mergeCell ref="N158:N159"/>
    <mergeCell ref="B160:B162"/>
    <mergeCell ref="C160:H162"/>
    <mergeCell ref="J160:J161"/>
    <mergeCell ref="K160:K161"/>
    <mergeCell ref="O160:O161"/>
    <mergeCell ref="B100:O101"/>
    <mergeCell ref="L126:M127"/>
    <mergeCell ref="N126:N127"/>
    <mergeCell ref="B128:B130"/>
    <mergeCell ref="C128:H130"/>
    <mergeCell ref="J128:J129"/>
    <mergeCell ref="K128:K129"/>
    <mergeCell ref="O128:O129"/>
    <mergeCell ref="L93:M94"/>
    <mergeCell ref="N93:N94"/>
    <mergeCell ref="B95:B97"/>
    <mergeCell ref="C95:H97"/>
    <mergeCell ref="J95:J96"/>
    <mergeCell ref="K95:K96"/>
    <mergeCell ref="O95:O96"/>
    <mergeCell ref="B34:O35"/>
    <mergeCell ref="L60:M61"/>
    <mergeCell ref="N60:N61"/>
    <mergeCell ref="B62:B64"/>
    <mergeCell ref="C62:H64"/>
    <mergeCell ref="J62:J63"/>
    <mergeCell ref="K62:K63"/>
    <mergeCell ref="O62:O63"/>
    <mergeCell ref="B1:O2"/>
    <mergeCell ref="L27:M28"/>
    <mergeCell ref="N27:N28"/>
    <mergeCell ref="B29:B31"/>
    <mergeCell ref="C29:H31"/>
    <mergeCell ref="J29:J30"/>
    <mergeCell ref="K29:K30"/>
    <mergeCell ref="O29:O30"/>
    <mergeCell ref="B67:O6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CEC29-7E48-4633-8644-6A311CCFB33C}">
  <dimension ref="A1:O64"/>
  <sheetViews>
    <sheetView showGridLines="0" workbookViewId="0">
      <selection activeCell="B1" sqref="B1"/>
    </sheetView>
  </sheetViews>
  <sheetFormatPr defaultRowHeight="13.2" x14ac:dyDescent="0.25"/>
  <cols>
    <col min="1" max="1" width="12.109375" style="86" bestFit="1" customWidth="1"/>
    <col min="2" max="4" width="8.88671875" style="86"/>
    <col min="5" max="6" width="12.44140625" style="86" customWidth="1"/>
    <col min="7" max="7" width="22.21875" style="86" customWidth="1"/>
    <col min="8" max="8" width="22.77734375" style="86" bestFit="1" customWidth="1"/>
    <col min="9" max="9" width="28.33203125" style="86" bestFit="1" customWidth="1"/>
    <col min="10" max="10" width="16.88671875" style="86" bestFit="1" customWidth="1"/>
    <col min="11" max="11" width="5.88671875" style="86" customWidth="1"/>
    <col min="12" max="12" width="11.21875" style="86" customWidth="1"/>
    <col min="13" max="13" width="13.6640625" style="86" customWidth="1"/>
    <col min="14" max="16384" width="8.88671875" style="86"/>
  </cols>
  <sheetData>
    <row r="1" spans="1:15" x14ac:dyDescent="0.25">
      <c r="A1" s="79" t="s">
        <v>389</v>
      </c>
      <c r="B1" s="121">
        <v>0.04</v>
      </c>
      <c r="D1" s="79" t="s">
        <v>322</v>
      </c>
      <c r="E1" s="79" t="s">
        <v>9</v>
      </c>
      <c r="F1" s="79" t="s">
        <v>6</v>
      </c>
      <c r="G1" s="79" t="s">
        <v>390</v>
      </c>
      <c r="H1" s="79" t="s">
        <v>391</v>
      </c>
      <c r="I1" s="79" t="s">
        <v>392</v>
      </c>
      <c r="J1" s="79" t="s">
        <v>388</v>
      </c>
      <c r="L1" s="305" t="s">
        <v>393</v>
      </c>
      <c r="M1" s="305"/>
      <c r="N1" s="375">
        <f>SUM(J2:J64)</f>
        <v>11755517677.554171</v>
      </c>
      <c r="O1" s="376"/>
    </row>
    <row r="2" spans="1:15" x14ac:dyDescent="0.25">
      <c r="D2" s="79">
        <v>0</v>
      </c>
      <c r="E2" s="88">
        <v>2024</v>
      </c>
      <c r="F2" s="88">
        <v>22</v>
      </c>
      <c r="G2" s="117">
        <f>'7.1. Stage 1 budget'!O21+'7.1. Stage 1 budget'!O22</f>
        <v>144905000</v>
      </c>
      <c r="H2" s="88">
        <v>1</v>
      </c>
      <c r="I2" s="117">
        <f>G2/H2</f>
        <v>144905000</v>
      </c>
      <c r="J2" s="117">
        <f>I2/((1+$B$1)^D2)</f>
        <v>144905000</v>
      </c>
      <c r="L2" s="305"/>
      <c r="M2" s="305"/>
      <c r="N2" s="376"/>
      <c r="O2" s="376"/>
    </row>
    <row r="3" spans="1:15" x14ac:dyDescent="0.25">
      <c r="D3" s="79">
        <v>1</v>
      </c>
      <c r="E3" s="88">
        <v>2025</v>
      </c>
      <c r="F3" s="88">
        <v>23</v>
      </c>
      <c r="G3" s="117">
        <f>'7.1. Stage 1 budget'!O51+'7.1. Stage 1 budget'!O52</f>
        <v>150701200</v>
      </c>
      <c r="H3" s="88">
        <v>1</v>
      </c>
      <c r="I3" s="117">
        <f t="shared" ref="I3:I64" si="0">G3/H3</f>
        <v>150701200</v>
      </c>
      <c r="J3" s="117">
        <f>I3/((1+$B$1)^D3)</f>
        <v>144905000</v>
      </c>
      <c r="L3" s="305"/>
      <c r="M3" s="305"/>
      <c r="N3" s="376"/>
      <c r="O3" s="376"/>
    </row>
    <row r="4" spans="1:15" x14ac:dyDescent="0.25">
      <c r="D4" s="79">
        <v>2</v>
      </c>
      <c r="E4" s="88">
        <v>2026</v>
      </c>
      <c r="F4" s="88">
        <v>24</v>
      </c>
      <c r="G4" s="117">
        <f>'7.1. Stage 1 budget'!O81+'7.1. Stage 1 budget'!O82</f>
        <v>156729248</v>
      </c>
      <c r="H4" s="88">
        <v>1</v>
      </c>
      <c r="I4" s="117">
        <f t="shared" si="0"/>
        <v>156729248</v>
      </c>
      <c r="J4" s="117">
        <f>I4/((1+$B$1)^D4)</f>
        <v>144904999.99999997</v>
      </c>
    </row>
    <row r="5" spans="1:15" x14ac:dyDescent="0.25">
      <c r="D5" s="79">
        <v>3</v>
      </c>
      <c r="E5" s="88">
        <v>2027</v>
      </c>
      <c r="F5" s="88">
        <v>25</v>
      </c>
      <c r="G5" s="117">
        <f>'7.1. Stage 1 budget'!O111+'7.1. Stage 1 budget'!O112+'7.1. Stage 1 budget'!O113</f>
        <v>437402707.76193988</v>
      </c>
      <c r="H5" s="88">
        <v>1</v>
      </c>
      <c r="I5" s="117">
        <f t="shared" si="0"/>
        <v>437402707.76193988</v>
      </c>
      <c r="J5" s="117">
        <f t="shared" ref="J5:J64" si="1">I5/((1+$B$1)^D5)</f>
        <v>388849414.47316283</v>
      </c>
    </row>
    <row r="6" spans="1:15" x14ac:dyDescent="0.25">
      <c r="D6" s="79">
        <v>4</v>
      </c>
      <c r="E6" s="88">
        <v>2028</v>
      </c>
      <c r="F6" s="88">
        <v>26</v>
      </c>
      <c r="G6" s="117">
        <f>'7.1. Stage 1 budget'!O142+'7.1. Stage 1 budget'!O143+'7.1. Stage 1 budget'!O144</f>
        <v>443922644.47873986</v>
      </c>
      <c r="H6" s="88">
        <v>1</v>
      </c>
      <c r="I6" s="117">
        <f t="shared" si="0"/>
        <v>443922644.47873986</v>
      </c>
      <c r="J6" s="117">
        <f t="shared" si="1"/>
        <v>379466936.99342573</v>
      </c>
    </row>
    <row r="7" spans="1:15" x14ac:dyDescent="0.25">
      <c r="D7" s="79">
        <v>5</v>
      </c>
      <c r="E7" s="88">
        <v>2029</v>
      </c>
      <c r="F7" s="88">
        <v>27</v>
      </c>
      <c r="G7" s="117">
        <f>'7.1. Stage 1 budget'!O173+'7.1. Stage 1 budget'!O174+'7.1. Stage 1 budget'!O175</f>
        <v>450703378.66421193</v>
      </c>
      <c r="H7" s="88">
        <v>1</v>
      </c>
      <c r="I7" s="117">
        <f t="shared" si="0"/>
        <v>450703378.66421193</v>
      </c>
      <c r="J7" s="117">
        <f t="shared" si="1"/>
        <v>370445324.03214014</v>
      </c>
    </row>
    <row r="8" spans="1:15" x14ac:dyDescent="0.25">
      <c r="D8" s="79">
        <v>6</v>
      </c>
      <c r="E8" s="88">
        <v>2030</v>
      </c>
      <c r="F8" s="88">
        <v>28</v>
      </c>
      <c r="G8" s="117">
        <f>'7.2. Stage 2 budget'!O21+'7.2. Stage 2 budget'!O22+'7.2. Stage 2 budget'!O23</f>
        <v>457755342.21710277</v>
      </c>
      <c r="H8" s="88">
        <v>1</v>
      </c>
      <c r="I8" s="117">
        <f t="shared" si="0"/>
        <v>457755342.21710277</v>
      </c>
      <c r="J8" s="117">
        <f t="shared" si="1"/>
        <v>361770696.18475014</v>
      </c>
    </row>
    <row r="9" spans="1:15" x14ac:dyDescent="0.25">
      <c r="D9" s="79">
        <v>7</v>
      </c>
      <c r="E9" s="88">
        <v>2031</v>
      </c>
      <c r="F9" s="88">
        <v>29</v>
      </c>
      <c r="G9" s="117">
        <f>'7.2. Stage 2 budget'!O52+'7.2. Stage 2 budget'!O53+'7.2. Stage 2 budget'!O55</f>
        <v>465089384.31210935</v>
      </c>
      <c r="H9" s="88">
        <v>1</v>
      </c>
      <c r="I9" s="117">
        <f t="shared" si="0"/>
        <v>465089384.31210935</v>
      </c>
      <c r="J9" s="117">
        <f t="shared" si="1"/>
        <v>353429707.86995214</v>
      </c>
    </row>
    <row r="10" spans="1:15" x14ac:dyDescent="0.25">
      <c r="D10" s="79">
        <v>8</v>
      </c>
      <c r="E10" s="88">
        <v>2032</v>
      </c>
      <c r="F10" s="88">
        <v>30</v>
      </c>
      <c r="G10" s="117">
        <f>'7.2. Stage 2 budget'!O84+'7.2. Stage 2 budget'!O85+'7.2. Stage 2 budget'!O87</f>
        <v>472716788.09091604</v>
      </c>
      <c r="H10" s="88">
        <v>1</v>
      </c>
      <c r="I10" s="117">
        <f t="shared" si="0"/>
        <v>472716788.09091604</v>
      </c>
      <c r="J10" s="117">
        <f t="shared" si="1"/>
        <v>345409526.79803073</v>
      </c>
    </row>
    <row r="11" spans="1:15" x14ac:dyDescent="0.25">
      <c r="D11" s="79">
        <v>9</v>
      </c>
      <c r="E11" s="88">
        <v>2033</v>
      </c>
      <c r="F11" s="88">
        <v>31</v>
      </c>
      <c r="G11" s="117">
        <f>'7.2. Stage 2 budget'!O117+'7.2. Stage 2 budget'!O118+'7.2. Stage 2 budget'!O119+'7.2. Stage 2 budget'!O120</f>
        <v>987513620.52463114</v>
      </c>
      <c r="H11" s="88">
        <v>2</v>
      </c>
      <c r="I11" s="117">
        <f t="shared" si="0"/>
        <v>493756810.26231557</v>
      </c>
      <c r="J11" s="117">
        <f t="shared" si="1"/>
        <v>346906985.49201632</v>
      </c>
    </row>
    <row r="12" spans="1:15" x14ac:dyDescent="0.25">
      <c r="D12" s="79">
        <v>10</v>
      </c>
      <c r="E12" s="88">
        <v>2034</v>
      </c>
      <c r="F12" s="88">
        <v>32</v>
      </c>
      <c r="G12" s="117">
        <f>SUM('7.3. Stage 3 budget'!O22:O27)</f>
        <v>1466824316.9829865</v>
      </c>
      <c r="H12" s="88">
        <v>3</v>
      </c>
      <c r="I12" s="117">
        <f t="shared" si="0"/>
        <v>488941438.9943288</v>
      </c>
      <c r="J12" s="117">
        <f t="shared" si="1"/>
        <v>330311316.83869362</v>
      </c>
    </row>
    <row r="13" spans="1:15" x14ac:dyDescent="0.25">
      <c r="D13" s="79">
        <v>11</v>
      </c>
      <c r="E13" s="88">
        <v>2035</v>
      </c>
      <c r="F13" s="88">
        <v>33</v>
      </c>
      <c r="G13" s="117">
        <f>SUM('7.3. Stage 3 budget'!O57:O61)</f>
        <v>1244812433.8227258</v>
      </c>
      <c r="H13" s="88">
        <v>3</v>
      </c>
      <c r="I13" s="117">
        <f t="shared" si="0"/>
        <v>414937477.94090861</v>
      </c>
      <c r="J13" s="117">
        <f t="shared" si="1"/>
        <v>269535473.46136832</v>
      </c>
    </row>
    <row r="14" spans="1:15" x14ac:dyDescent="0.25">
      <c r="D14" s="79">
        <v>12</v>
      </c>
      <c r="E14" s="88">
        <v>2036</v>
      </c>
      <c r="F14" s="88">
        <v>34</v>
      </c>
      <c r="G14" s="117">
        <f>SUM('7.3. Stage 3 budget'!O92:O96)</f>
        <v>1624861950.6947625</v>
      </c>
      <c r="H14" s="88">
        <v>3</v>
      </c>
      <c r="I14" s="117">
        <f t="shared" si="0"/>
        <v>541620650.23158753</v>
      </c>
      <c r="J14" s="117">
        <f t="shared" si="1"/>
        <v>338294660.12628597</v>
      </c>
    </row>
    <row r="15" spans="1:15" x14ac:dyDescent="0.25">
      <c r="D15" s="79">
        <v>13</v>
      </c>
      <c r="E15" s="88">
        <v>2037</v>
      </c>
      <c r="F15" s="88">
        <v>35</v>
      </c>
      <c r="G15" s="117">
        <f>SUM('7.3. Stage 3 budget'!O127:O131)</f>
        <v>1645689864.131676</v>
      </c>
      <c r="H15" s="88">
        <v>3</v>
      </c>
      <c r="I15" s="117">
        <f t="shared" si="0"/>
        <v>548563288.04389203</v>
      </c>
      <c r="J15" s="117">
        <f t="shared" si="1"/>
        <v>329452895.40399456</v>
      </c>
    </row>
    <row r="16" spans="1:15" x14ac:dyDescent="0.25">
      <c r="D16" s="79">
        <v>14</v>
      </c>
      <c r="E16" s="88">
        <v>2038</v>
      </c>
      <c r="F16" s="88">
        <v>36</v>
      </c>
      <c r="G16" s="117">
        <f>SUM('7.3. Stage 3 budget'!O162:O166)</f>
        <v>1667327783.8649671</v>
      </c>
      <c r="H16" s="88">
        <v>3</v>
      </c>
      <c r="I16" s="117">
        <f t="shared" si="0"/>
        <v>555775927.95498908</v>
      </c>
      <c r="J16" s="117">
        <f t="shared" si="1"/>
        <v>320946750.02617329</v>
      </c>
    </row>
    <row r="17" spans="4:10" x14ac:dyDescent="0.25">
      <c r="D17" s="79">
        <v>15</v>
      </c>
      <c r="E17" s="88">
        <v>2039</v>
      </c>
      <c r="F17" s="88">
        <v>37</v>
      </c>
      <c r="G17" s="117">
        <f>SUM('7.3. Stage 3 budget'!O197:O201)</f>
        <v>1689807987.7981563</v>
      </c>
      <c r="H17" s="88">
        <v>3</v>
      </c>
      <c r="I17" s="117">
        <f t="shared" si="0"/>
        <v>563269329.26605213</v>
      </c>
      <c r="J17" s="117">
        <f t="shared" si="1"/>
        <v>312763464.00855428</v>
      </c>
    </row>
    <row r="18" spans="4:10" x14ac:dyDescent="0.25">
      <c r="D18" s="79">
        <v>16</v>
      </c>
      <c r="E18" s="88">
        <v>2040</v>
      </c>
      <c r="F18" s="88">
        <v>38</v>
      </c>
      <c r="G18" s="117">
        <f>SUM('7.4. Stage 4 budget'!O23:O27)</f>
        <v>1655444876.047251</v>
      </c>
      <c r="H18" s="88">
        <v>4</v>
      </c>
      <c r="I18" s="117">
        <f t="shared" si="0"/>
        <v>413861219.01181275</v>
      </c>
      <c r="J18" s="117">
        <f t="shared" si="1"/>
        <v>220963888.42971528</v>
      </c>
    </row>
    <row r="19" spans="4:10" x14ac:dyDescent="0.25">
      <c r="D19" s="79">
        <v>17</v>
      </c>
      <c r="E19" s="88">
        <v>2041</v>
      </c>
      <c r="F19" s="88">
        <v>39</v>
      </c>
      <c r="G19" s="117">
        <f>SUM('7.4. Stage 4 budget'!O58:O62)</f>
        <v>1687122895.0709777</v>
      </c>
      <c r="H19" s="88">
        <v>4</v>
      </c>
      <c r="I19" s="117">
        <f t="shared" si="0"/>
        <v>421780723.76774442</v>
      </c>
      <c r="J19" s="117">
        <f t="shared" si="1"/>
        <v>216530939.19835585</v>
      </c>
    </row>
    <row r="20" spans="4:10" x14ac:dyDescent="0.25">
      <c r="D20" s="79">
        <v>18</v>
      </c>
      <c r="E20" s="88">
        <v>2042</v>
      </c>
      <c r="F20" s="88">
        <v>40</v>
      </c>
      <c r="G20" s="117">
        <f>SUM('7.5. Stage 5&amp;6 budget'!O24:O28)</f>
        <v>1729160605.6403244</v>
      </c>
      <c r="H20" s="88">
        <v>4</v>
      </c>
      <c r="I20" s="117">
        <f t="shared" si="0"/>
        <v>432290151.41008109</v>
      </c>
      <c r="J20" s="117">
        <f t="shared" si="1"/>
        <v>213390575.17225626</v>
      </c>
    </row>
    <row r="21" spans="4:10" x14ac:dyDescent="0.25">
      <c r="D21" s="79">
        <v>19</v>
      </c>
      <c r="E21" s="88">
        <v>2043</v>
      </c>
      <c r="F21" s="88">
        <v>41</v>
      </c>
      <c r="G21" s="117">
        <f>SUM('7.5. Stage 5&amp;6 budget'!O60:O64)</f>
        <v>1763739921.8188193</v>
      </c>
      <c r="H21" s="88">
        <v>4</v>
      </c>
      <c r="I21" s="117">
        <f t="shared" si="0"/>
        <v>440934980.45470482</v>
      </c>
      <c r="J21" s="117">
        <f t="shared" si="1"/>
        <v>209286447.97117111</v>
      </c>
    </row>
    <row r="22" spans="4:10" x14ac:dyDescent="0.25">
      <c r="D22" s="79">
        <v>20</v>
      </c>
      <c r="E22" s="88">
        <v>2044</v>
      </c>
      <c r="F22" s="88">
        <v>42</v>
      </c>
      <c r="G22" s="117">
        <f>SUM('7.5. Stage 5&amp;6 budget'!O96:O100)</f>
        <v>1799678556.5285909</v>
      </c>
      <c r="H22" s="88">
        <v>4</v>
      </c>
      <c r="I22" s="117">
        <f t="shared" si="0"/>
        <v>449919639.13214773</v>
      </c>
      <c r="J22" s="117">
        <f t="shared" si="1"/>
        <v>205337450.13950825</v>
      </c>
    </row>
    <row r="23" spans="4:10" x14ac:dyDescent="0.25">
      <c r="D23" s="79">
        <v>21</v>
      </c>
      <c r="E23" s="88">
        <v>2045</v>
      </c>
      <c r="F23" s="88">
        <v>43</v>
      </c>
      <c r="G23" s="117">
        <f>SUM('7.5. Stage 5&amp;6 budget'!O132:O137)</f>
        <v>2384606193.3337517</v>
      </c>
      <c r="H23" s="88">
        <v>4</v>
      </c>
      <c r="I23" s="117">
        <f t="shared" si="0"/>
        <v>596151548.33343792</v>
      </c>
      <c r="J23" s="117">
        <f t="shared" si="1"/>
        <v>261611331.36256695</v>
      </c>
    </row>
    <row r="24" spans="4:10" x14ac:dyDescent="0.25">
      <c r="D24" s="79">
        <v>22</v>
      </c>
      <c r="E24" s="88">
        <v>2046</v>
      </c>
      <c r="F24" s="88">
        <v>44</v>
      </c>
      <c r="G24" s="117">
        <f>SUM('7.5. Stage 5&amp;6 budget'!O168:O172)</f>
        <v>1875852936.550601</v>
      </c>
      <c r="H24" s="88">
        <v>4</v>
      </c>
      <c r="I24" s="117">
        <f t="shared" si="0"/>
        <v>468963234.13765025</v>
      </c>
      <c r="J24" s="117">
        <f t="shared" si="1"/>
        <v>197881562.78546938</v>
      </c>
    </row>
    <row r="25" spans="4:10" x14ac:dyDescent="0.25">
      <c r="D25" s="79">
        <v>23</v>
      </c>
      <c r="E25" s="88">
        <v>2047</v>
      </c>
      <c r="F25" s="88">
        <v>45</v>
      </c>
      <c r="G25" s="117">
        <f>SUM('7.5. Stage 5&amp;6 budget'!O204:O208)</f>
        <v>1916203769.1052396</v>
      </c>
      <c r="H25" s="88">
        <v>4</v>
      </c>
      <c r="I25" s="117">
        <f t="shared" si="0"/>
        <v>479050942.27630991</v>
      </c>
      <c r="J25" s="117">
        <f t="shared" si="1"/>
        <v>194363582.28224611</v>
      </c>
    </row>
    <row r="26" spans="4:10" x14ac:dyDescent="0.25">
      <c r="D26" s="79">
        <v>24</v>
      </c>
      <c r="E26" s="88">
        <v>2048</v>
      </c>
      <c r="F26" s="88">
        <v>46</v>
      </c>
      <c r="G26" s="117">
        <f>SUM('7.5. Stage 5&amp;6 budget'!O240:O244)</f>
        <v>1969679140.4166</v>
      </c>
      <c r="H26" s="88">
        <v>4</v>
      </c>
      <c r="I26" s="117">
        <f t="shared" si="0"/>
        <v>492419785.10415</v>
      </c>
      <c r="J26" s="117">
        <f t="shared" si="1"/>
        <v>192103532.56104693</v>
      </c>
    </row>
    <row r="27" spans="4:10" x14ac:dyDescent="0.25">
      <c r="D27" s="79">
        <v>25</v>
      </c>
      <c r="E27" s="88">
        <v>2049</v>
      </c>
      <c r="F27" s="88">
        <v>47</v>
      </c>
      <c r="G27" s="117">
        <f>SUM('7.5. Stage 5&amp;6 budget'!O276:O280)</f>
        <v>2013734165.5688155</v>
      </c>
      <c r="H27" s="88">
        <v>4</v>
      </c>
      <c r="I27" s="117">
        <f t="shared" si="0"/>
        <v>503433541.39220387</v>
      </c>
      <c r="J27" s="117">
        <f t="shared" si="1"/>
        <v>188846380.19443202</v>
      </c>
    </row>
    <row r="28" spans="4:10" x14ac:dyDescent="0.25">
      <c r="D28" s="79">
        <v>26</v>
      </c>
      <c r="E28" s="88">
        <v>2050</v>
      </c>
      <c r="F28" s="88">
        <v>48</v>
      </c>
      <c r="G28" s="117">
        <f>SUM('7.5. Stage 5&amp;6 budget'!O312:O316)</f>
        <v>2059526769.7925768</v>
      </c>
      <c r="H28" s="88">
        <v>4</v>
      </c>
      <c r="I28" s="117">
        <f t="shared" si="0"/>
        <v>514881692.4481442</v>
      </c>
      <c r="J28" s="117">
        <f t="shared" si="1"/>
        <v>185712282.70216992</v>
      </c>
    </row>
    <row r="29" spans="4:10" x14ac:dyDescent="0.25">
      <c r="D29" s="79">
        <v>27</v>
      </c>
      <c r="E29" s="88">
        <v>2051</v>
      </c>
      <c r="F29" s="88">
        <v>49</v>
      </c>
      <c r="G29" s="117">
        <f>SUM('7.5. Stage 5&amp;6 budget'!O347:O351)</f>
        <v>1994638825.8993275</v>
      </c>
      <c r="H29" s="88">
        <v>4</v>
      </c>
      <c r="I29" s="117">
        <f t="shared" si="0"/>
        <v>498659706.47483188</v>
      </c>
      <c r="J29" s="117">
        <f t="shared" si="1"/>
        <v>172943449.06225881</v>
      </c>
    </row>
    <row r="30" spans="4:10" x14ac:dyDescent="0.25">
      <c r="D30" s="79">
        <v>28</v>
      </c>
      <c r="E30" s="88">
        <v>2052</v>
      </c>
      <c r="F30" s="88">
        <v>50</v>
      </c>
      <c r="G30" s="117">
        <f>SUM('7.5. Stage 5&amp;6 budget'!O382:O386)</f>
        <v>2044117480.9228737</v>
      </c>
      <c r="H30" s="88">
        <v>4</v>
      </c>
      <c r="I30" s="117">
        <f t="shared" si="0"/>
        <v>511029370.23071843</v>
      </c>
      <c r="J30" s="117">
        <f t="shared" si="1"/>
        <v>170416782.13437715</v>
      </c>
    </row>
    <row r="31" spans="4:10" x14ac:dyDescent="0.25">
      <c r="D31" s="79">
        <v>29</v>
      </c>
      <c r="E31" s="88">
        <v>2053</v>
      </c>
      <c r="F31" s="88">
        <v>51</v>
      </c>
      <c r="G31" s="117">
        <f>SUM('7.5. Stage 5&amp;6 budget'!O417:O421)</f>
        <v>2095550267.0846233</v>
      </c>
      <c r="H31" s="88">
        <v>4</v>
      </c>
      <c r="I31" s="117">
        <f t="shared" si="0"/>
        <v>523887566.77115583</v>
      </c>
      <c r="J31" s="117">
        <f t="shared" si="1"/>
        <v>167985289.4249078</v>
      </c>
    </row>
    <row r="32" spans="4:10" x14ac:dyDescent="0.25">
      <c r="D32" s="79">
        <v>30</v>
      </c>
      <c r="E32" s="88">
        <v>2054</v>
      </c>
      <c r="F32" s="88">
        <v>52</v>
      </c>
      <c r="G32" s="117">
        <f>SUM('7.6. Stage 7&amp;8 budget'!O23:O26)</f>
        <v>1647573677.1503897</v>
      </c>
      <c r="H32" s="88">
        <v>3</v>
      </c>
      <c r="I32" s="117">
        <f t="shared" si="0"/>
        <v>549191225.71679652</v>
      </c>
      <c r="J32" s="117">
        <f t="shared" si="1"/>
        <v>169325907.17569271</v>
      </c>
    </row>
    <row r="33" spans="4:10" x14ac:dyDescent="0.25">
      <c r="D33" s="79">
        <v>31</v>
      </c>
      <c r="E33" s="88">
        <v>2055</v>
      </c>
      <c r="F33" s="88">
        <v>53</v>
      </c>
      <c r="G33" s="117">
        <f>SUM('7.6. Stage 7&amp;8 budget'!O57:O60)</f>
        <v>1509586026.3650808</v>
      </c>
      <c r="H33" s="88">
        <v>3</v>
      </c>
      <c r="I33" s="117">
        <f t="shared" si="0"/>
        <v>503195342.12169361</v>
      </c>
      <c r="J33" s="117">
        <f t="shared" si="1"/>
        <v>149177420.78210586</v>
      </c>
    </row>
    <row r="34" spans="4:10" x14ac:dyDescent="0.25">
      <c r="D34" s="79">
        <v>32</v>
      </c>
      <c r="E34" s="88">
        <v>2056</v>
      </c>
      <c r="F34" s="88">
        <v>54</v>
      </c>
      <c r="G34" s="117">
        <f>SUM('7.6. Stage 7&amp;8 budget'!O91:O94)</f>
        <v>1555834444.9538686</v>
      </c>
      <c r="H34" s="88">
        <v>3</v>
      </c>
      <c r="I34" s="117">
        <f t="shared" si="0"/>
        <v>518611481.65128952</v>
      </c>
      <c r="J34" s="117">
        <f t="shared" si="1"/>
        <v>147834320.65315041</v>
      </c>
    </row>
    <row r="35" spans="4:10" x14ac:dyDescent="0.25">
      <c r="D35" s="79">
        <v>33</v>
      </c>
      <c r="E35" s="88">
        <v>2057</v>
      </c>
      <c r="F35" s="88">
        <v>55</v>
      </c>
      <c r="G35" s="117">
        <f>SUM('7.6. Stage 7&amp;8 budget'!O125:O128)</f>
        <v>1785188633.334475</v>
      </c>
      <c r="H35" s="88">
        <v>3</v>
      </c>
      <c r="I35" s="117">
        <f t="shared" si="0"/>
        <v>595062877.77815831</v>
      </c>
      <c r="J35" s="117">
        <f t="shared" si="1"/>
        <v>163103267.45010239</v>
      </c>
    </row>
    <row r="36" spans="4:10" x14ac:dyDescent="0.25">
      <c r="D36" s="79">
        <v>34</v>
      </c>
      <c r="E36" s="88">
        <v>2058</v>
      </c>
      <c r="F36" s="88">
        <v>56</v>
      </c>
      <c r="G36" s="117">
        <f>SUM('7.6. Stage 7&amp;8 budget'!O159:O162)</f>
        <v>1608017798.626358</v>
      </c>
      <c r="H36" s="88">
        <v>3</v>
      </c>
      <c r="I36" s="117">
        <f t="shared" si="0"/>
        <v>536005932.8754527</v>
      </c>
      <c r="J36" s="117">
        <f t="shared" si="1"/>
        <v>141265483.62394345</v>
      </c>
    </row>
    <row r="37" spans="4:10" x14ac:dyDescent="0.25">
      <c r="D37" s="79">
        <v>35</v>
      </c>
      <c r="E37" s="88">
        <v>2059</v>
      </c>
      <c r="F37" s="88">
        <v>57</v>
      </c>
      <c r="G37" s="117">
        <f>SUM('7.6. Stage 7&amp;8 budget'!O192:O195)</f>
        <v>1643945735.4438794</v>
      </c>
      <c r="H37" s="88">
        <v>3</v>
      </c>
      <c r="I37" s="117">
        <f t="shared" si="0"/>
        <v>547981911.81462646</v>
      </c>
      <c r="J37" s="117">
        <f t="shared" si="1"/>
        <v>138867094.13254416</v>
      </c>
    </row>
    <row r="38" spans="4:10" x14ac:dyDescent="0.25">
      <c r="D38" s="79">
        <v>36</v>
      </c>
      <c r="E38" s="88">
        <v>2060</v>
      </c>
      <c r="F38" s="88">
        <v>58</v>
      </c>
      <c r="G38" s="117">
        <f>SUM('7.7. Stage 9&amp;10&amp;11'!O22:O25)</f>
        <v>1317728834.3819649</v>
      </c>
      <c r="H38" s="88">
        <v>2</v>
      </c>
      <c r="I38" s="117">
        <f t="shared" si="0"/>
        <v>658864417.19098246</v>
      </c>
      <c r="J38" s="117">
        <f t="shared" si="1"/>
        <v>160544650.4114565</v>
      </c>
    </row>
    <row r="39" spans="4:10" x14ac:dyDescent="0.25">
      <c r="D39" s="79">
        <v>37</v>
      </c>
      <c r="E39" s="88">
        <v>2061</v>
      </c>
      <c r="F39" s="88">
        <v>59</v>
      </c>
      <c r="G39" s="117">
        <f>SUM('7.7. Stage 9&amp;10&amp;11'!O55:O58)</f>
        <v>1350790903.7487299</v>
      </c>
      <c r="H39" s="88">
        <v>2</v>
      </c>
      <c r="I39" s="117">
        <f t="shared" si="0"/>
        <v>675395451.87436497</v>
      </c>
      <c r="J39" s="117">
        <f t="shared" si="1"/>
        <v>158243025.4842948</v>
      </c>
    </row>
    <row r="40" spans="4:10" x14ac:dyDescent="0.25">
      <c r="D40" s="79">
        <v>38</v>
      </c>
      <c r="E40" s="88">
        <v>2062</v>
      </c>
      <c r="F40" s="88">
        <v>60</v>
      </c>
      <c r="G40" s="117">
        <f>SUM('7.7. Stage 9&amp;10&amp;11'!O88:O91)</f>
        <v>1386140248.1739616</v>
      </c>
      <c r="H40" s="88">
        <v>2</v>
      </c>
      <c r="I40" s="117">
        <f t="shared" si="0"/>
        <v>693070124.08698082</v>
      </c>
      <c r="J40" s="117">
        <f t="shared" si="1"/>
        <v>156138601.41539234</v>
      </c>
    </row>
    <row r="41" spans="4:10" x14ac:dyDescent="0.25">
      <c r="D41" s="79">
        <v>39</v>
      </c>
      <c r="E41" s="88">
        <v>2063</v>
      </c>
      <c r="F41" s="88">
        <v>61</v>
      </c>
      <c r="G41" s="117">
        <f>SUM('7.7. Stage 9&amp;10&amp;11'!O121:O124)</f>
        <v>1410182836.418282</v>
      </c>
      <c r="H41" s="88">
        <v>2</v>
      </c>
      <c r="I41" s="117">
        <f t="shared" si="0"/>
        <v>705091418.20914102</v>
      </c>
      <c r="J41" s="117">
        <f t="shared" si="1"/>
        <v>152737330.61477306</v>
      </c>
    </row>
    <row r="42" spans="4:10" x14ac:dyDescent="0.25">
      <c r="D42" s="79">
        <v>40</v>
      </c>
      <c r="E42" s="88">
        <v>2064</v>
      </c>
      <c r="F42" s="88">
        <v>62</v>
      </c>
      <c r="G42" s="117">
        <f>SUM('7.7. Stage 9&amp;10&amp;11'!O154:O156)</f>
        <v>1109050451.5162508</v>
      </c>
      <c r="H42" s="88">
        <v>2</v>
      </c>
      <c r="I42" s="117">
        <f t="shared" si="0"/>
        <v>554525225.75812542</v>
      </c>
      <c r="J42" s="117">
        <f t="shared" si="1"/>
        <v>115501529.51466164</v>
      </c>
    </row>
    <row r="43" spans="4:10" x14ac:dyDescent="0.25">
      <c r="D43" s="79">
        <v>41</v>
      </c>
      <c r="E43" s="88">
        <v>2065</v>
      </c>
      <c r="F43" s="88">
        <v>63</v>
      </c>
      <c r="G43" s="117">
        <f>SUM('7.7. Stage 9&amp;10&amp;11'!O186:O188)</f>
        <v>1147412469.576901</v>
      </c>
      <c r="H43" s="88">
        <v>2</v>
      </c>
      <c r="I43" s="117">
        <f t="shared" si="0"/>
        <v>573706234.78845048</v>
      </c>
      <c r="J43" s="117">
        <f t="shared" si="1"/>
        <v>114900695.73198009</v>
      </c>
    </row>
    <row r="44" spans="4:10" x14ac:dyDescent="0.25">
      <c r="D44" s="79">
        <v>42</v>
      </c>
      <c r="E44" s="88">
        <v>2066</v>
      </c>
      <c r="F44" s="88">
        <v>64</v>
      </c>
      <c r="G44" s="117">
        <f>SUM('7.7. Stage 9&amp;10&amp;11'!O218:O220)</f>
        <v>1187308968.359977</v>
      </c>
      <c r="H44" s="88">
        <v>2</v>
      </c>
      <c r="I44" s="117">
        <f t="shared" si="0"/>
        <v>593654484.1799885</v>
      </c>
      <c r="J44" s="117">
        <f t="shared" si="1"/>
        <v>114322970.94094014</v>
      </c>
    </row>
    <row r="45" spans="4:10" x14ac:dyDescent="0.25">
      <c r="D45" s="79">
        <v>43</v>
      </c>
      <c r="E45" s="88">
        <v>2067</v>
      </c>
      <c r="F45" s="88">
        <v>65</v>
      </c>
      <c r="G45" s="117">
        <f>SUM('7.7. Stage 9&amp;10&amp;11'!O250:O252)</f>
        <v>1228801327.0943763</v>
      </c>
      <c r="H45" s="88">
        <v>2</v>
      </c>
      <c r="I45" s="117">
        <f t="shared" si="0"/>
        <v>614400663.54718816</v>
      </c>
      <c r="J45" s="117">
        <f t="shared" si="1"/>
        <v>113767466.33417095</v>
      </c>
    </row>
    <row r="46" spans="4:10" x14ac:dyDescent="0.25">
      <c r="D46" s="79">
        <v>44</v>
      </c>
      <c r="E46" s="88">
        <v>2068</v>
      </c>
      <c r="F46" s="88">
        <v>66</v>
      </c>
      <c r="G46" s="117">
        <f>SUM('7.7. Stage 9&amp;10&amp;11'!O282:O284)</f>
        <v>1271953380.1781509</v>
      </c>
      <c r="H46" s="88">
        <v>2</v>
      </c>
      <c r="I46" s="117">
        <f t="shared" si="0"/>
        <v>635976690.08907545</v>
      </c>
      <c r="J46" s="117">
        <f t="shared" si="1"/>
        <v>113233327.28920051</v>
      </c>
    </row>
    <row r="47" spans="4:10" x14ac:dyDescent="0.25">
      <c r="D47" s="79">
        <v>45</v>
      </c>
      <c r="E47" s="88">
        <v>2069</v>
      </c>
      <c r="F47" s="88">
        <v>67</v>
      </c>
      <c r="G47" s="117">
        <f>SUM('7.7. Stage 9&amp;10&amp;11'!O314:O316)</f>
        <v>1316831515.3852773</v>
      </c>
      <c r="H47" s="88">
        <v>2</v>
      </c>
      <c r="I47" s="117">
        <f t="shared" si="0"/>
        <v>658415757.69263864</v>
      </c>
      <c r="J47" s="117">
        <f t="shared" si="1"/>
        <v>112719732.05365211</v>
      </c>
    </row>
    <row r="48" spans="4:10" x14ac:dyDescent="0.25">
      <c r="D48" s="79">
        <v>46</v>
      </c>
      <c r="E48" s="88">
        <v>2070</v>
      </c>
      <c r="F48" s="88">
        <v>68</v>
      </c>
      <c r="G48" s="117">
        <f>SUM('7.7. Stage 9&amp;10&amp;11'!O346:O348)</f>
        <v>1363504776.0006886</v>
      </c>
      <c r="H48" s="88">
        <v>2</v>
      </c>
      <c r="I48" s="117">
        <f t="shared" si="0"/>
        <v>681752388.00034428</v>
      </c>
      <c r="J48" s="117">
        <f t="shared" si="1"/>
        <v>112225890.48100939</v>
      </c>
    </row>
    <row r="49" spans="4:10" x14ac:dyDescent="0.25">
      <c r="D49" s="79">
        <v>47</v>
      </c>
      <c r="E49" s="88">
        <v>2071</v>
      </c>
      <c r="F49" s="88">
        <v>69</v>
      </c>
      <c r="G49" s="117">
        <f>SUM('7.7. Stage 9&amp;10&amp;11'!O378:O380)</f>
        <v>1412044967.0407159</v>
      </c>
      <c r="H49" s="88">
        <v>2</v>
      </c>
      <c r="I49" s="117">
        <f t="shared" si="0"/>
        <v>706022483.52035797</v>
      </c>
      <c r="J49" s="117">
        <f t="shared" si="1"/>
        <v>111751042.81500675</v>
      </c>
    </row>
    <row r="50" spans="4:10" x14ac:dyDescent="0.25">
      <c r="D50" s="79">
        <v>48</v>
      </c>
      <c r="E50" s="88">
        <v>2072</v>
      </c>
      <c r="F50" s="88">
        <v>70</v>
      </c>
      <c r="G50" s="117">
        <f>SUM('7.7. Stage 9&amp;10&amp;11'!O410:O412)</f>
        <v>1462526765.7223444</v>
      </c>
      <c r="H50" s="88">
        <v>2</v>
      </c>
      <c r="I50" s="117">
        <f t="shared" si="0"/>
        <v>731263382.8611722</v>
      </c>
      <c r="J50" s="117">
        <f t="shared" si="1"/>
        <v>111294458.52077343</v>
      </c>
    </row>
    <row r="51" spans="4:10" x14ac:dyDescent="0.25">
      <c r="D51" s="79">
        <v>49</v>
      </c>
      <c r="E51" s="88">
        <v>2073</v>
      </c>
      <c r="F51" s="88">
        <v>71</v>
      </c>
      <c r="G51" s="117">
        <f>SUM('7.7. Stage 9&amp;10&amp;11'!O442:O444)</f>
        <v>1515027836.3512383</v>
      </c>
      <c r="H51" s="88">
        <v>2</v>
      </c>
      <c r="I51" s="117">
        <f t="shared" si="0"/>
        <v>757513918.17561913</v>
      </c>
      <c r="J51" s="117">
        <f t="shared" si="1"/>
        <v>110855435.16093372</v>
      </c>
    </row>
    <row r="52" spans="4:10" x14ac:dyDescent="0.25">
      <c r="D52" s="79">
        <v>50</v>
      </c>
      <c r="E52" s="88">
        <v>2074</v>
      </c>
      <c r="F52" s="88">
        <v>72</v>
      </c>
      <c r="G52" s="117">
        <f>SUM('7.7. Stage 9&amp;10&amp;11'!O474:O476)</f>
        <v>1569628949.8052881</v>
      </c>
      <c r="H52" s="88">
        <v>2</v>
      </c>
      <c r="I52" s="117">
        <f t="shared" si="0"/>
        <v>784814474.90264404</v>
      </c>
      <c r="J52" s="117">
        <f t="shared" si="1"/>
        <v>110433297.31493402</v>
      </c>
    </row>
    <row r="53" spans="4:10" x14ac:dyDescent="0.25">
      <c r="D53" s="79">
        <v>51</v>
      </c>
      <c r="E53" s="88">
        <v>2075</v>
      </c>
      <c r="F53" s="88">
        <v>73</v>
      </c>
      <c r="G53" s="117">
        <f>SUM('7.7. Stage 9&amp;10&amp;11'!O506:O508)</f>
        <v>1626414107.7974994</v>
      </c>
      <c r="H53" s="88">
        <v>2</v>
      </c>
      <c r="I53" s="117">
        <f t="shared" si="0"/>
        <v>813207053.89874971</v>
      </c>
      <c r="J53" s="117">
        <f t="shared" si="1"/>
        <v>110027395.53993426</v>
      </c>
    </row>
    <row r="54" spans="4:10" x14ac:dyDescent="0.25">
      <c r="D54" s="79">
        <v>52</v>
      </c>
      <c r="E54" s="88">
        <v>2076</v>
      </c>
      <c r="F54" s="88">
        <v>74</v>
      </c>
      <c r="G54" s="117">
        <f>SUM('7.7. Stage 9&amp;10&amp;11'!O538:O540)</f>
        <v>1685470672.1093998</v>
      </c>
      <c r="H54" s="88">
        <v>2</v>
      </c>
      <c r="I54" s="117">
        <f t="shared" si="0"/>
        <v>842735336.0546999</v>
      </c>
      <c r="J54" s="117">
        <f t="shared" si="1"/>
        <v>109637105.37166533</v>
      </c>
    </row>
    <row r="55" spans="4:10" x14ac:dyDescent="0.25">
      <c r="D55" s="79">
        <v>53</v>
      </c>
      <c r="E55" s="88">
        <v>2077</v>
      </c>
      <c r="F55" s="88">
        <v>75</v>
      </c>
      <c r="G55" s="117">
        <f>SUM('7.7. Stage 9&amp;10&amp;11'!O570:O572)</f>
        <v>1746889498.9937756</v>
      </c>
      <c r="H55" s="88">
        <v>2</v>
      </c>
      <c r="I55" s="117">
        <f t="shared" si="0"/>
        <v>873444749.4968878</v>
      </c>
      <c r="J55" s="117">
        <f t="shared" si="1"/>
        <v>109261826.36371435</v>
      </c>
    </row>
    <row r="56" spans="4:10" x14ac:dyDescent="0.25">
      <c r="D56" s="79">
        <v>54</v>
      </c>
      <c r="E56" s="88">
        <v>2078</v>
      </c>
      <c r="F56" s="88">
        <v>76</v>
      </c>
      <c r="G56" s="117">
        <f>SUM('7.7. Stage 9&amp;10&amp;11'!O602:O604)</f>
        <v>1810765078.9535272</v>
      </c>
      <c r="H56" s="88">
        <v>2</v>
      </c>
      <c r="I56" s="117">
        <f t="shared" si="0"/>
        <v>905382539.47676361</v>
      </c>
      <c r="J56" s="117">
        <f t="shared" si="1"/>
        <v>108900981.16376157</v>
      </c>
    </row>
    <row r="57" spans="4:10" x14ac:dyDescent="0.25">
      <c r="D57" s="79">
        <v>55</v>
      </c>
      <c r="E57" s="88">
        <v>2079</v>
      </c>
      <c r="F57" s="88">
        <v>77</v>
      </c>
      <c r="G57" s="117">
        <f>SUM('7.7. Stage 9&amp;10&amp;11'!O634:O636)</f>
        <v>1877195682.1116679</v>
      </c>
      <c r="H57" s="88">
        <v>2</v>
      </c>
      <c r="I57" s="117">
        <f t="shared" si="0"/>
        <v>938597841.05583394</v>
      </c>
      <c r="J57" s="117">
        <f t="shared" si="1"/>
        <v>108554014.62534538</v>
      </c>
    </row>
    <row r="58" spans="4:10" x14ac:dyDescent="0.25">
      <c r="D58" s="79">
        <v>56</v>
      </c>
      <c r="E58" s="88">
        <v>2080</v>
      </c>
      <c r="F58" s="88">
        <v>78</v>
      </c>
      <c r="G58" s="117">
        <f>SUM('7.7. Stage 9&amp;10&amp;11'!O666:O668)</f>
        <v>1946283509.3961349</v>
      </c>
      <c r="H58" s="88">
        <v>2</v>
      </c>
      <c r="I58" s="117">
        <f t="shared" si="0"/>
        <v>973141754.69806743</v>
      </c>
      <c r="J58" s="117">
        <f t="shared" si="1"/>
        <v>108220392.95379138</v>
      </c>
    </row>
    <row r="59" spans="4:10" x14ac:dyDescent="0.25">
      <c r="D59" s="79">
        <v>57</v>
      </c>
      <c r="E59" s="88">
        <v>2081</v>
      </c>
      <c r="F59" s="88">
        <v>79</v>
      </c>
      <c r="G59" s="117">
        <f>SUM('7.7. Stage 9&amp;10&amp;11'!O698:O700)</f>
        <v>2018134849.7719798</v>
      </c>
      <c r="H59" s="88">
        <v>2</v>
      </c>
      <c r="I59" s="117">
        <f t="shared" si="0"/>
        <v>1009067424.8859899</v>
      </c>
      <c r="J59" s="117">
        <f t="shared" si="1"/>
        <v>107899602.88498938</v>
      </c>
    </row>
    <row r="60" spans="4:10" x14ac:dyDescent="0.25">
      <c r="D60" s="79">
        <v>58</v>
      </c>
      <c r="E60" s="88">
        <v>2082</v>
      </c>
      <c r="F60" s="88">
        <v>80</v>
      </c>
      <c r="G60" s="117">
        <f>SUM('7.7. Stage 9&amp;10&amp;11'!O730:O732)</f>
        <v>2092860243.7628596</v>
      </c>
      <c r="H60" s="88">
        <v>2</v>
      </c>
      <c r="I60" s="117">
        <f t="shared" si="0"/>
        <v>1046430121.8814298</v>
      </c>
      <c r="J60" s="117">
        <f t="shared" si="1"/>
        <v>107591150.89575681</v>
      </c>
    </row>
    <row r="61" spans="4:10" x14ac:dyDescent="0.25">
      <c r="D61" s="79">
        <v>59</v>
      </c>
      <c r="E61" s="88">
        <v>2083</v>
      </c>
      <c r="F61" s="88">
        <v>81</v>
      </c>
      <c r="G61" s="117">
        <f>SUM('7.7. Stage 9&amp;10&amp;11'!O762:O764)</f>
        <v>2170574653.5133734</v>
      </c>
      <c r="H61" s="88">
        <v>2</v>
      </c>
      <c r="I61" s="117">
        <f t="shared" si="0"/>
        <v>1085287326.7566867</v>
      </c>
      <c r="J61" s="117">
        <f t="shared" si="1"/>
        <v>107294562.44457157</v>
      </c>
    </row>
    <row r="62" spans="4:10" x14ac:dyDescent="0.25">
      <c r="D62" s="79">
        <v>60</v>
      </c>
      <c r="E62" s="88">
        <v>2084</v>
      </c>
      <c r="F62" s="88">
        <v>82</v>
      </c>
      <c r="G62" s="117">
        <f>SUM('7.7. Stage 9&amp;10&amp;11'!O794:O796)</f>
        <v>2251397639.6539087</v>
      </c>
      <c r="H62" s="88">
        <v>2</v>
      </c>
      <c r="I62" s="117">
        <f t="shared" si="0"/>
        <v>1125698819.8269544</v>
      </c>
      <c r="J62" s="117">
        <f t="shared" si="1"/>
        <v>107009381.24150883</v>
      </c>
    </row>
    <row r="63" spans="4:10" x14ac:dyDescent="0.25">
      <c r="D63" s="79">
        <v>61</v>
      </c>
      <c r="E63" s="88">
        <v>2085</v>
      </c>
      <c r="F63" s="88">
        <v>83</v>
      </c>
      <c r="G63" s="117">
        <f>SUM('7.7. Stage 9&amp;10&amp;11'!O826:O828)</f>
        <v>2335453545.2400656</v>
      </c>
      <c r="H63" s="88">
        <v>2</v>
      </c>
      <c r="I63" s="117">
        <f t="shared" si="0"/>
        <v>1167726772.6200328</v>
      </c>
      <c r="J63" s="117">
        <f t="shared" si="1"/>
        <v>106735168.54625624</v>
      </c>
    </row>
    <row r="64" spans="4:10" x14ac:dyDescent="0.25">
      <c r="D64" s="79">
        <v>62</v>
      </c>
      <c r="E64" s="88">
        <v>2086</v>
      </c>
      <c r="F64" s="88">
        <v>84</v>
      </c>
      <c r="G64" s="117">
        <f>SUM('7.7. Stage 9&amp;10&amp;11'!O858:O860)</f>
        <v>2422871687.0496683</v>
      </c>
      <c r="H64" s="88">
        <v>2</v>
      </c>
      <c r="I64" s="117">
        <f t="shared" si="0"/>
        <v>1211435843.5248342</v>
      </c>
      <c r="J64" s="117">
        <f t="shared" si="1"/>
        <v>106471502.49312876</v>
      </c>
    </row>
  </sheetData>
  <mergeCells count="2">
    <mergeCell ref="L1:M3"/>
    <mergeCell ref="N1:O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955EE-5571-439B-885D-CB69126BE3ED}">
  <dimension ref="A1:J42"/>
  <sheetViews>
    <sheetView showGridLines="0" topLeftCell="A7" zoomScale="85" zoomScaleNormal="85" workbookViewId="0">
      <selection activeCell="H1" sqref="H1"/>
    </sheetView>
  </sheetViews>
  <sheetFormatPr defaultRowHeight="13.2" x14ac:dyDescent="0.25"/>
  <cols>
    <col min="1" max="2" width="8.88671875" style="86"/>
    <col min="3" max="3" width="13" style="86" bestFit="1" customWidth="1"/>
    <col min="4" max="4" width="26.88671875" style="86" bestFit="1" customWidth="1"/>
    <col min="5" max="5" width="31.6640625" style="86" bestFit="1" customWidth="1"/>
    <col min="6" max="6" width="22" style="86" bestFit="1" customWidth="1"/>
    <col min="7" max="7" width="21" style="86" bestFit="1" customWidth="1"/>
    <col min="8" max="8" width="44.5546875" style="86" bestFit="1" customWidth="1"/>
    <col min="9" max="9" width="19.6640625" style="86" bestFit="1" customWidth="1"/>
    <col min="10" max="10" width="20.44140625" style="86" bestFit="1" customWidth="1"/>
    <col min="11" max="11" width="8.88671875" style="86" customWidth="1"/>
    <col min="12" max="16384" width="8.88671875" style="86"/>
  </cols>
  <sheetData>
    <row r="1" spans="1:10" x14ac:dyDescent="0.25">
      <c r="A1" s="73" t="s">
        <v>322</v>
      </c>
      <c r="B1" s="73" t="s">
        <v>6</v>
      </c>
      <c r="C1" s="165" t="s">
        <v>314</v>
      </c>
      <c r="D1" s="73" t="s">
        <v>315</v>
      </c>
      <c r="E1" s="73" t="s">
        <v>316</v>
      </c>
      <c r="F1" s="73" t="s">
        <v>317</v>
      </c>
      <c r="G1" s="165" t="s">
        <v>91</v>
      </c>
      <c r="H1" s="165" t="s">
        <v>318</v>
      </c>
      <c r="I1" s="73" t="s">
        <v>319</v>
      </c>
      <c r="J1" s="73" t="s">
        <v>92</v>
      </c>
    </row>
    <row r="2" spans="1:10" x14ac:dyDescent="0.25">
      <c r="A2" s="73">
        <v>1</v>
      </c>
      <c r="B2" s="88">
        <v>22</v>
      </c>
      <c r="C2" s="88">
        <v>1.8799999999999999E-3</v>
      </c>
      <c r="D2" s="88">
        <f>1-C2</f>
        <v>0.99812000000000001</v>
      </c>
      <c r="E2" s="117">
        <f>'3.1. My Income Tax Calculation'!I2</f>
        <v>240000000</v>
      </c>
      <c r="F2" s="88">
        <f>'3.1. My Income Tax Calculation'!B12</f>
        <v>6.3529411764705876E-2</v>
      </c>
      <c r="G2" s="118">
        <v>2.3900000000000001E-2</v>
      </c>
      <c r="H2" s="118">
        <v>4.5699999999999998E-2</v>
      </c>
      <c r="I2" s="88">
        <f>COUNT(B2:B40)</f>
        <v>39</v>
      </c>
      <c r="J2" s="117">
        <f>(D2*0*(1+F2))/((1+G2+H2)^B2)</f>
        <v>0</v>
      </c>
    </row>
    <row r="3" spans="1:10" x14ac:dyDescent="0.25">
      <c r="A3" s="73">
        <v>2</v>
      </c>
      <c r="B3" s="88">
        <v>23</v>
      </c>
      <c r="C3" s="88">
        <v>1.8400000000000001E-3</v>
      </c>
      <c r="D3" s="88">
        <f t="shared" ref="D3:D40" si="0">1-C3</f>
        <v>0.99816000000000005</v>
      </c>
      <c r="E3" s="117">
        <f>'3.1. My Income Tax Calculation'!I3</f>
        <v>312000000</v>
      </c>
      <c r="F3" s="88"/>
      <c r="G3" s="88"/>
      <c r="H3" s="88"/>
      <c r="I3" s="88"/>
      <c r="J3" s="117">
        <f>(D3*E2*(1+$F$2))/((1+$G$2+$H$2)^A3)</f>
        <v>222698924.69473737</v>
      </c>
    </row>
    <row r="4" spans="1:10" x14ac:dyDescent="0.25">
      <c r="A4" s="73">
        <v>3</v>
      </c>
      <c r="B4" s="88">
        <v>24</v>
      </c>
      <c r="C4" s="88">
        <v>1.8E-3</v>
      </c>
      <c r="D4" s="88">
        <f t="shared" si="0"/>
        <v>0.99819999999999998</v>
      </c>
      <c r="E4" s="117">
        <f>'3.1. My Income Tax Calculation'!I4</f>
        <v>313651764.70588237</v>
      </c>
      <c r="F4" s="88"/>
      <c r="G4" s="88"/>
      <c r="H4" s="88"/>
      <c r="I4" s="88"/>
      <c r="J4" s="117">
        <f t="shared" ref="J4:J40" si="1">(D4*E3*(1+$F$2))/((1+$G$2+$H$2)^A4)</f>
        <v>270680818.80549222</v>
      </c>
    </row>
    <row r="5" spans="1:10" x14ac:dyDescent="0.25">
      <c r="A5" s="73">
        <v>4</v>
      </c>
      <c r="B5" s="88">
        <v>25</v>
      </c>
      <c r="C5" s="88">
        <v>1.75E-3</v>
      </c>
      <c r="D5" s="88">
        <f t="shared" si="0"/>
        <v>0.99824999999999997</v>
      </c>
      <c r="E5" s="117">
        <f>'3.1. My Income Tax Calculation'!I5</f>
        <v>480000000</v>
      </c>
      <c r="F5" s="88"/>
      <c r="G5" s="88"/>
      <c r="H5" s="88"/>
      <c r="I5" s="88"/>
      <c r="J5" s="117">
        <f t="shared" si="1"/>
        <v>254419843.98953158</v>
      </c>
    </row>
    <row r="6" spans="1:10" x14ac:dyDescent="0.25">
      <c r="A6" s="73">
        <v>5</v>
      </c>
      <c r="B6" s="88">
        <v>26</v>
      </c>
      <c r="C6" s="88">
        <v>1.72E-3</v>
      </c>
      <c r="D6" s="88">
        <f t="shared" si="0"/>
        <v>0.99827999999999995</v>
      </c>
      <c r="E6" s="117">
        <f>'3.1. My Income Tax Calculation'!I6</f>
        <v>482541176.47058827</v>
      </c>
      <c r="F6" s="88"/>
      <c r="G6" s="88"/>
      <c r="H6" s="88"/>
      <c r="I6" s="88"/>
      <c r="J6" s="117">
        <f t="shared" si="1"/>
        <v>364029132.90356451</v>
      </c>
    </row>
    <row r="7" spans="1:10" x14ac:dyDescent="0.25">
      <c r="A7" s="73">
        <v>6</v>
      </c>
      <c r="B7" s="88">
        <v>27</v>
      </c>
      <c r="C7" s="88">
        <v>1.7099999999999999E-3</v>
      </c>
      <c r="D7" s="88">
        <f t="shared" si="0"/>
        <v>0.99829000000000001</v>
      </c>
      <c r="E7" s="117">
        <f>'3.1. My Income Tax Calculation'!I7</f>
        <v>744000000</v>
      </c>
      <c r="F7" s="88"/>
      <c r="G7" s="88"/>
      <c r="H7" s="88"/>
      <c r="I7" s="88"/>
      <c r="J7" s="117">
        <f t="shared" si="1"/>
        <v>342146607.91778862</v>
      </c>
    </row>
    <row r="8" spans="1:10" x14ac:dyDescent="0.25">
      <c r="A8" s="73">
        <v>7</v>
      </c>
      <c r="B8" s="88">
        <v>28</v>
      </c>
      <c r="C8" s="88">
        <v>1.6999999999999999E-3</v>
      </c>
      <c r="D8" s="88">
        <f t="shared" si="0"/>
        <v>0.99829999999999997</v>
      </c>
      <c r="E8" s="117">
        <f>'3.1. My Income Tax Calculation'!I8</f>
        <v>747938823.52941179</v>
      </c>
      <c r="F8" s="88"/>
      <c r="G8" s="88"/>
      <c r="H8" s="88"/>
      <c r="I8" s="88"/>
      <c r="J8" s="117">
        <f t="shared" si="1"/>
        <v>493212132.9539597</v>
      </c>
    </row>
    <row r="9" spans="1:10" x14ac:dyDescent="0.25">
      <c r="A9" s="73">
        <v>8</v>
      </c>
      <c r="B9" s="88">
        <v>29</v>
      </c>
      <c r="C9" s="88">
        <v>1.72E-3</v>
      </c>
      <c r="D9" s="88">
        <f t="shared" si="0"/>
        <v>0.99827999999999995</v>
      </c>
      <c r="E9" s="117">
        <f>'3.1. My Income Tax Calculation'!I9</f>
        <v>960000000</v>
      </c>
      <c r="F9" s="88"/>
      <c r="G9" s="88"/>
      <c r="H9" s="88"/>
      <c r="I9" s="88"/>
      <c r="J9" s="117">
        <f t="shared" si="1"/>
        <v>463550226.86888218</v>
      </c>
    </row>
    <row r="10" spans="1:10" x14ac:dyDescent="0.25">
      <c r="A10" s="73">
        <v>9</v>
      </c>
      <c r="B10" s="88">
        <v>30</v>
      </c>
      <c r="C10" s="88">
        <v>1.75E-3</v>
      </c>
      <c r="D10" s="88">
        <f t="shared" si="0"/>
        <v>0.99824999999999997</v>
      </c>
      <c r="E10" s="117">
        <f>'3.1. My Income Tax Calculation'!I10</f>
        <v>1200000000</v>
      </c>
      <c r="F10" s="88"/>
      <c r="G10" s="88"/>
      <c r="H10" s="88"/>
      <c r="I10" s="88"/>
      <c r="J10" s="117">
        <f t="shared" si="1"/>
        <v>556246777.98687148</v>
      </c>
    </row>
    <row r="11" spans="1:10" x14ac:dyDescent="0.25">
      <c r="A11" s="73">
        <v>10</v>
      </c>
      <c r="B11" s="88">
        <v>31</v>
      </c>
      <c r="C11" s="88">
        <v>1.8E-3</v>
      </c>
      <c r="D11" s="88">
        <f t="shared" si="0"/>
        <v>0.99819999999999998</v>
      </c>
      <c r="E11" s="117">
        <f>'3.1. My Income Tax Calculation'!I11</f>
        <v>1800000000</v>
      </c>
      <c r="F11" s="88"/>
      <c r="G11" s="88"/>
      <c r="H11" s="88"/>
      <c r="I11" s="88"/>
      <c r="J11" s="117">
        <f t="shared" si="1"/>
        <v>650031456.72570872</v>
      </c>
    </row>
    <row r="12" spans="1:10" x14ac:dyDescent="0.25">
      <c r="A12" s="73">
        <v>11</v>
      </c>
      <c r="B12" s="88">
        <v>32</v>
      </c>
      <c r="C12" s="88">
        <v>1.8699999999999999E-3</v>
      </c>
      <c r="D12" s="88">
        <f t="shared" si="0"/>
        <v>0.99812999999999996</v>
      </c>
      <c r="E12" s="117">
        <f>'3.1. My Income Tax Calculation'!I12</f>
        <v>2400000000</v>
      </c>
      <c r="F12" s="88"/>
      <c r="G12" s="88"/>
      <c r="H12" s="88"/>
      <c r="I12" s="88"/>
      <c r="J12" s="117">
        <f t="shared" si="1"/>
        <v>911535909.41297877</v>
      </c>
    </row>
    <row r="13" spans="1:10" x14ac:dyDescent="0.25">
      <c r="A13" s="73">
        <v>12</v>
      </c>
      <c r="B13" s="88">
        <v>33</v>
      </c>
      <c r="C13" s="88">
        <v>1.9499999999999999E-3</v>
      </c>
      <c r="D13" s="88">
        <f t="shared" si="0"/>
        <v>0.99804999999999999</v>
      </c>
      <c r="E13" s="117">
        <f>'3.1. My Income Tax Calculation'!I13</f>
        <v>2412705882.3529415</v>
      </c>
      <c r="F13" s="88"/>
      <c r="G13" s="88"/>
      <c r="H13" s="88"/>
      <c r="I13" s="88"/>
      <c r="J13" s="117">
        <f t="shared" si="1"/>
        <v>1136204001.3948789</v>
      </c>
    </row>
    <row r="14" spans="1:10" x14ac:dyDescent="0.25">
      <c r="A14" s="73">
        <v>13</v>
      </c>
      <c r="B14" s="88">
        <v>34</v>
      </c>
      <c r="C14" s="88">
        <v>2.0500000000000002E-3</v>
      </c>
      <c r="D14" s="88">
        <f t="shared" si="0"/>
        <v>0.99795</v>
      </c>
      <c r="E14" s="117">
        <f>'3.1. My Income Tax Calculation'!I14</f>
        <v>2425479031.1418691</v>
      </c>
      <c r="F14" s="88"/>
      <c r="G14" s="88"/>
      <c r="H14" s="88"/>
      <c r="I14" s="88"/>
      <c r="J14" s="117">
        <f t="shared" si="1"/>
        <v>1067786793.1577187</v>
      </c>
    </row>
    <row r="15" spans="1:10" x14ac:dyDescent="0.25">
      <c r="A15" s="73">
        <v>14</v>
      </c>
      <c r="B15" s="88">
        <v>35</v>
      </c>
      <c r="C15" s="88">
        <v>2.1700000000000001E-3</v>
      </c>
      <c r="D15" s="88">
        <f t="shared" si="0"/>
        <v>0.99782999999999999</v>
      </c>
      <c r="E15" s="117">
        <f>'3.1. My Income Tax Calculation'!I15</f>
        <v>2438319802.4832082</v>
      </c>
      <c r="F15" s="88"/>
      <c r="G15" s="88"/>
      <c r="H15" s="88"/>
      <c r="I15" s="88"/>
      <c r="J15" s="117">
        <f t="shared" si="1"/>
        <v>1003469245.2133414</v>
      </c>
    </row>
    <row r="16" spans="1:10" x14ac:dyDescent="0.25">
      <c r="A16" s="73">
        <v>15</v>
      </c>
      <c r="B16" s="88">
        <v>36</v>
      </c>
      <c r="C16" s="88">
        <v>2.32E-3</v>
      </c>
      <c r="D16" s="88">
        <f t="shared" si="0"/>
        <v>0.99768000000000001</v>
      </c>
      <c r="E16" s="117">
        <f>'3.1. My Income Tax Calculation'!I16</f>
        <v>2451228554.3787079</v>
      </c>
      <c r="F16" s="88"/>
      <c r="G16" s="88"/>
      <c r="H16" s="88"/>
      <c r="I16" s="88"/>
      <c r="J16" s="117">
        <f t="shared" si="1"/>
        <v>942997459.91094577</v>
      </c>
    </row>
    <row r="17" spans="1:10" x14ac:dyDescent="0.25">
      <c r="A17" s="73">
        <v>16</v>
      </c>
      <c r="B17" s="88">
        <v>37</v>
      </c>
      <c r="C17" s="88">
        <v>2.49E-3</v>
      </c>
      <c r="D17" s="88">
        <f t="shared" si="0"/>
        <v>0.99751000000000001</v>
      </c>
      <c r="E17" s="117">
        <f>'3.1. My Income Tax Calculation'!I17</f>
        <v>2464205646.725419</v>
      </c>
      <c r="F17" s="88"/>
      <c r="G17" s="88"/>
      <c r="H17" s="88"/>
      <c r="I17" s="88"/>
      <c r="J17" s="117">
        <f t="shared" si="1"/>
        <v>886152081.5090512</v>
      </c>
    </row>
    <row r="18" spans="1:10" x14ac:dyDescent="0.25">
      <c r="A18" s="73">
        <v>17</v>
      </c>
      <c r="B18" s="88">
        <v>38</v>
      </c>
      <c r="C18" s="88">
        <v>2.6800000000000001E-3</v>
      </c>
      <c r="D18" s="88">
        <f t="shared" si="0"/>
        <v>0.99731999999999998</v>
      </c>
      <c r="E18" s="117">
        <f>'3.1. My Income Tax Calculation'!I18</f>
        <v>2477251441.3257303</v>
      </c>
      <c r="F18" s="88"/>
      <c r="G18" s="88"/>
      <c r="H18" s="88"/>
      <c r="I18" s="88"/>
      <c r="J18" s="117">
        <f t="shared" si="1"/>
        <v>832716709.15428245</v>
      </c>
    </row>
    <row r="19" spans="1:10" x14ac:dyDescent="0.25">
      <c r="A19" s="73">
        <v>18</v>
      </c>
      <c r="B19" s="88">
        <v>39</v>
      </c>
      <c r="C19" s="88">
        <v>2.8999999999999998E-3</v>
      </c>
      <c r="D19" s="88">
        <f t="shared" si="0"/>
        <v>0.99709999999999999</v>
      </c>
      <c r="E19" s="117">
        <f>'3.1. My Income Tax Calculation'!I19</f>
        <v>2490366301.8974547</v>
      </c>
      <c r="F19" s="88"/>
      <c r="G19" s="88"/>
      <c r="H19" s="88"/>
      <c r="I19" s="88"/>
      <c r="J19" s="117">
        <f t="shared" si="1"/>
        <v>782479942.91119134</v>
      </c>
    </row>
    <row r="20" spans="1:10" x14ac:dyDescent="0.25">
      <c r="A20" s="73">
        <v>19</v>
      </c>
      <c r="B20" s="88">
        <v>40</v>
      </c>
      <c r="C20" s="88">
        <v>3.15E-3</v>
      </c>
      <c r="D20" s="88">
        <f t="shared" si="0"/>
        <v>0.99685000000000001</v>
      </c>
      <c r="E20" s="117">
        <f>'3.1. My Income Tax Calculation'!I20</f>
        <v>2503550594.083971</v>
      </c>
      <c r="F20" s="88"/>
      <c r="G20" s="88"/>
      <c r="H20" s="88"/>
      <c r="I20" s="88"/>
      <c r="J20" s="117">
        <f t="shared" si="1"/>
        <v>735251735.419312</v>
      </c>
    </row>
    <row r="21" spans="1:10" x14ac:dyDescent="0.25">
      <c r="A21" s="73">
        <v>20</v>
      </c>
      <c r="B21" s="88">
        <v>41</v>
      </c>
      <c r="C21" s="88">
        <v>3.4199999999999999E-3</v>
      </c>
      <c r="D21" s="88">
        <f t="shared" si="0"/>
        <v>0.99658000000000002</v>
      </c>
      <c r="E21" s="117">
        <f>'3.1. My Income Tax Calculation'!I21</f>
        <v>2516804685.4644156</v>
      </c>
      <c r="F21" s="88"/>
      <c r="G21" s="88"/>
      <c r="H21" s="88"/>
      <c r="I21" s="88"/>
      <c r="J21" s="117">
        <f t="shared" si="1"/>
        <v>690860176.73160243</v>
      </c>
    </row>
    <row r="22" spans="1:10" x14ac:dyDescent="0.25">
      <c r="A22" s="73">
        <v>21</v>
      </c>
      <c r="B22" s="88">
        <v>42</v>
      </c>
      <c r="C22" s="88">
        <v>3.7100000000000002E-3</v>
      </c>
      <c r="D22" s="88">
        <f t="shared" si="0"/>
        <v>0.99629000000000001</v>
      </c>
      <c r="E22" s="117">
        <f>'3.1. My Income Tax Calculation'!I22</f>
        <v>2530128945.5639334</v>
      </c>
      <c r="F22" s="88"/>
      <c r="G22" s="88"/>
      <c r="H22" s="88"/>
      <c r="I22" s="88"/>
      <c r="J22" s="117">
        <f t="shared" si="1"/>
        <v>649135724.0777719</v>
      </c>
    </row>
    <row r="23" spans="1:10" x14ac:dyDescent="0.25">
      <c r="A23" s="73">
        <v>22</v>
      </c>
      <c r="B23" s="88">
        <v>43</v>
      </c>
      <c r="C23" s="88">
        <v>4.0299999999999997E-3</v>
      </c>
      <c r="D23" s="88">
        <f t="shared" si="0"/>
        <v>0.99597000000000002</v>
      </c>
      <c r="E23" s="117">
        <f>'3.1. My Income Tax Calculation'!I23</f>
        <v>2543523745.8639779</v>
      </c>
      <c r="F23" s="88"/>
      <c r="G23" s="88"/>
      <c r="H23" s="88"/>
      <c r="I23" s="88"/>
      <c r="J23" s="117">
        <f t="shared" si="1"/>
        <v>609912793.76133883</v>
      </c>
    </row>
    <row r="24" spans="1:10" x14ac:dyDescent="0.25">
      <c r="A24" s="73">
        <v>23</v>
      </c>
      <c r="B24" s="88">
        <v>44</v>
      </c>
      <c r="C24" s="88">
        <v>4.3699999999999998E-3</v>
      </c>
      <c r="D24" s="88">
        <f t="shared" si="0"/>
        <v>0.99563000000000001</v>
      </c>
      <c r="E24" s="117">
        <f>'3.1. My Income Tax Calculation'!I24</f>
        <v>2556989459.8126698</v>
      </c>
      <c r="F24" s="88"/>
      <c r="G24" s="88"/>
      <c r="H24" s="88"/>
      <c r="I24" s="88"/>
      <c r="J24" s="117">
        <f t="shared" si="1"/>
        <v>573048272.36987841</v>
      </c>
    </row>
    <row r="25" spans="1:10" x14ac:dyDescent="0.25">
      <c r="A25" s="73">
        <v>24</v>
      </c>
      <c r="B25" s="88">
        <v>45</v>
      </c>
      <c r="C25" s="88">
        <v>4.7299999999999998E-3</v>
      </c>
      <c r="D25" s="88">
        <f t="shared" si="0"/>
        <v>0.99526999999999999</v>
      </c>
      <c r="E25" s="117">
        <f>'3.1. My Income Tax Calculation'!I25</f>
        <v>2570526462.8352079</v>
      </c>
      <c r="F25" s="88"/>
      <c r="G25" s="88"/>
      <c r="H25" s="88"/>
      <c r="I25" s="88"/>
      <c r="J25" s="117">
        <f t="shared" si="1"/>
        <v>538401044.81154835</v>
      </c>
    </row>
    <row r="26" spans="1:10" x14ac:dyDescent="0.25">
      <c r="A26" s="73">
        <v>25</v>
      </c>
      <c r="B26" s="88">
        <v>46</v>
      </c>
      <c r="C26" s="88">
        <v>5.1200000000000004E-3</v>
      </c>
      <c r="D26" s="88">
        <f t="shared" si="0"/>
        <v>0.99487999999999999</v>
      </c>
      <c r="E26" s="117">
        <f>'3.1. My Income Tax Calculation'!I26</f>
        <v>2584135132.3443356</v>
      </c>
      <c r="F26" s="88"/>
      <c r="G26" s="88"/>
      <c r="H26" s="88"/>
      <c r="I26" s="88"/>
      <c r="J26" s="117">
        <f t="shared" si="1"/>
        <v>505833313.43047827</v>
      </c>
    </row>
    <row r="27" spans="1:10" x14ac:dyDescent="0.25">
      <c r="A27" s="73">
        <v>26</v>
      </c>
      <c r="B27" s="88">
        <v>47</v>
      </c>
      <c r="C27" s="88">
        <v>5.5300000000000002E-3</v>
      </c>
      <c r="D27" s="88">
        <f t="shared" si="0"/>
        <v>0.99446999999999997</v>
      </c>
      <c r="E27" s="117">
        <f>'3.1. My Income Tax Calculation'!I27</f>
        <v>2597815847.750864</v>
      </c>
      <c r="F27" s="88"/>
      <c r="G27" s="88"/>
      <c r="H27" s="88"/>
      <c r="I27" s="88"/>
      <c r="J27" s="117">
        <f t="shared" si="1"/>
        <v>475225964.77828407</v>
      </c>
    </row>
    <row r="28" spans="1:10" x14ac:dyDescent="0.25">
      <c r="A28" s="73">
        <v>27</v>
      </c>
      <c r="B28" s="88">
        <v>48</v>
      </c>
      <c r="C28" s="88">
        <v>5.9699999999999996E-3</v>
      </c>
      <c r="D28" s="88">
        <f t="shared" si="0"/>
        <v>0.99402999999999997</v>
      </c>
      <c r="E28" s="117">
        <f>'3.1. My Income Tax Calculation'!I28</f>
        <v>2611568990.4742513</v>
      </c>
      <c r="F28" s="88"/>
      <c r="G28" s="88"/>
      <c r="H28" s="88"/>
      <c r="I28" s="88"/>
      <c r="J28" s="117">
        <f t="shared" si="1"/>
        <v>446457078.92459166</v>
      </c>
    </row>
    <row r="29" spans="1:10" x14ac:dyDescent="0.25">
      <c r="A29" s="73">
        <v>28</v>
      </c>
      <c r="B29" s="88">
        <v>49</v>
      </c>
      <c r="C29" s="88">
        <v>6.4599999999999996E-3</v>
      </c>
      <c r="D29" s="88">
        <f t="shared" si="0"/>
        <v>0.99353999999999998</v>
      </c>
      <c r="E29" s="117">
        <f>'3.1. My Income Tax Calculation'!I29</f>
        <v>2625394943.9532328</v>
      </c>
      <c r="F29" s="88"/>
      <c r="G29" s="88"/>
      <c r="H29" s="88"/>
      <c r="I29" s="88"/>
      <c r="J29" s="117">
        <f t="shared" si="1"/>
        <v>419408594.12257034</v>
      </c>
    </row>
    <row r="30" spans="1:10" x14ac:dyDescent="0.25">
      <c r="A30" s="73">
        <v>29</v>
      </c>
      <c r="B30" s="88">
        <v>50</v>
      </c>
      <c r="C30" s="88">
        <v>7.0000000000000001E-3</v>
      </c>
      <c r="D30" s="88">
        <f t="shared" si="0"/>
        <v>0.99299999999999999</v>
      </c>
      <c r="E30" s="117">
        <f>'3.1. My Income Tax Calculation'!I30</f>
        <v>2639294093.6565146</v>
      </c>
      <c r="F30" s="88"/>
      <c r="G30" s="88"/>
      <c r="H30" s="88"/>
      <c r="I30" s="88"/>
      <c r="J30" s="117">
        <f t="shared" si="1"/>
        <v>393978901.0211919</v>
      </c>
    </row>
    <row r="31" spans="1:10" x14ac:dyDescent="0.25">
      <c r="A31" s="73">
        <v>30</v>
      </c>
      <c r="B31" s="88">
        <v>51</v>
      </c>
      <c r="C31" s="88">
        <v>7.6299999999999996E-3</v>
      </c>
      <c r="D31" s="88">
        <f t="shared" si="0"/>
        <v>0.99236999999999997</v>
      </c>
      <c r="E31" s="117">
        <f>'3.1. My Income Tax Calculation'!I31</f>
        <v>2653266827.0935202</v>
      </c>
      <c r="F31" s="88"/>
      <c r="G31" s="88"/>
      <c r="H31" s="88"/>
      <c r="I31" s="88"/>
      <c r="J31" s="117">
        <f t="shared" si="1"/>
        <v>370057397.13219446</v>
      </c>
    </row>
    <row r="32" spans="1:10" x14ac:dyDescent="0.25">
      <c r="A32" s="73">
        <v>31</v>
      </c>
      <c r="B32" s="88">
        <v>52</v>
      </c>
      <c r="C32" s="88">
        <v>8.3300000000000006E-3</v>
      </c>
      <c r="D32" s="88">
        <f t="shared" si="0"/>
        <v>0.99167000000000005</v>
      </c>
      <c r="E32" s="117">
        <f>'3.1. My Income Tax Calculation'!I32</f>
        <v>2667313533.8251915</v>
      </c>
      <c r="F32" s="88"/>
      <c r="G32" s="88"/>
      <c r="H32" s="88"/>
      <c r="I32" s="88"/>
      <c r="J32" s="117">
        <f t="shared" si="1"/>
        <v>347563678.70646232</v>
      </c>
    </row>
    <row r="33" spans="1:10" x14ac:dyDescent="0.25">
      <c r="A33" s="73">
        <v>32</v>
      </c>
      <c r="B33" s="88">
        <v>53</v>
      </c>
      <c r="C33" s="88">
        <v>9.1299999999999992E-3</v>
      </c>
      <c r="D33" s="88">
        <f t="shared" si="0"/>
        <v>0.99087000000000003</v>
      </c>
      <c r="E33" s="117">
        <f>'3.1. My Income Tax Calculation'!I33</f>
        <v>2681434605.4748545</v>
      </c>
      <c r="F33" s="88"/>
      <c r="G33" s="88"/>
      <c r="H33" s="88"/>
      <c r="I33" s="88"/>
      <c r="J33" s="117">
        <f t="shared" si="1"/>
        <v>326404123.73681021</v>
      </c>
    </row>
    <row r="34" spans="1:10" x14ac:dyDescent="0.25">
      <c r="A34" s="73">
        <v>33</v>
      </c>
      <c r="B34" s="88">
        <v>54</v>
      </c>
      <c r="C34" s="88">
        <v>1.001E-2</v>
      </c>
      <c r="D34" s="88">
        <f t="shared" si="0"/>
        <v>0.98999000000000004</v>
      </c>
      <c r="E34" s="117">
        <f>'3.1. My Income Tax Calculation'!I34</f>
        <v>2695630435.7391338</v>
      </c>
      <c r="F34" s="88"/>
      <c r="G34" s="88"/>
      <c r="H34" s="88"/>
      <c r="I34" s="88"/>
      <c r="J34" s="117">
        <f t="shared" si="1"/>
        <v>306507786.69010472</v>
      </c>
    </row>
    <row r="35" spans="1:10" x14ac:dyDescent="0.25">
      <c r="A35" s="73">
        <v>34</v>
      </c>
      <c r="B35" s="88">
        <v>55</v>
      </c>
      <c r="C35" s="88">
        <v>1.0959999999999999E-2</v>
      </c>
      <c r="D35" s="88">
        <f t="shared" si="0"/>
        <v>0.98904000000000003</v>
      </c>
      <c r="E35" s="117">
        <f>'3.1. My Income Tax Calculation'!I35</f>
        <v>2709901420.3989296</v>
      </c>
      <c r="F35" s="88"/>
      <c r="G35" s="88"/>
      <c r="H35" s="88"/>
      <c r="I35" s="88"/>
      <c r="J35" s="117">
        <f t="shared" si="1"/>
        <v>287803656.71939534</v>
      </c>
    </row>
    <row r="36" spans="1:10" x14ac:dyDescent="0.25">
      <c r="A36" s="73">
        <v>35</v>
      </c>
      <c r="B36" s="88">
        <v>56</v>
      </c>
      <c r="C36" s="88">
        <v>1.197E-2</v>
      </c>
      <c r="D36" s="88">
        <f t="shared" si="0"/>
        <v>0.98802999999999996</v>
      </c>
      <c r="E36" s="117">
        <f>'3.1. My Income Tax Calculation'!I36</f>
        <v>2724247957.3304534</v>
      </c>
      <c r="F36" s="88"/>
      <c r="G36" s="88"/>
      <c r="H36" s="88"/>
      <c r="I36" s="88"/>
      <c r="J36" s="117">
        <f t="shared" si="1"/>
        <v>270224256.08847219</v>
      </c>
    </row>
    <row r="37" spans="1:10" x14ac:dyDescent="0.25">
      <c r="A37" s="73">
        <v>36</v>
      </c>
      <c r="B37" s="88">
        <v>57</v>
      </c>
      <c r="C37" s="88">
        <v>1.304E-2</v>
      </c>
      <c r="D37" s="88">
        <f t="shared" si="0"/>
        <v>0.98695999999999995</v>
      </c>
      <c r="E37" s="117">
        <f>'3.1. My Income Tax Calculation'!I37</f>
        <v>2738670446.5163202</v>
      </c>
      <c r="F37" s="88"/>
      <c r="G37" s="88"/>
      <c r="H37" s="88"/>
      <c r="I37" s="88"/>
      <c r="J37" s="117">
        <f t="shared" si="1"/>
        <v>253702938.40314847</v>
      </c>
    </row>
    <row r="38" spans="1:10" x14ac:dyDescent="0.25">
      <c r="A38" s="73">
        <v>37</v>
      </c>
      <c r="B38" s="88">
        <v>58</v>
      </c>
      <c r="C38" s="88">
        <v>1.418E-2</v>
      </c>
      <c r="D38" s="88">
        <f t="shared" si="0"/>
        <v>0.98582000000000003</v>
      </c>
      <c r="E38" s="117">
        <f>'3.1. My Income Tax Calculation'!I38</f>
        <v>2753169290.0567012</v>
      </c>
      <c r="F38" s="88"/>
      <c r="G38" s="88"/>
      <c r="H38" s="88"/>
      <c r="I38" s="88"/>
      <c r="J38" s="117">
        <f t="shared" si="1"/>
        <v>238174530.27178937</v>
      </c>
    </row>
    <row r="39" spans="1:10" x14ac:dyDescent="0.25">
      <c r="A39" s="73">
        <v>38</v>
      </c>
      <c r="B39" s="88">
        <v>59</v>
      </c>
      <c r="C39" s="88">
        <v>1.542E-2</v>
      </c>
      <c r="D39" s="88">
        <f t="shared" si="0"/>
        <v>0.98458000000000001</v>
      </c>
      <c r="E39" s="117">
        <f>'3.1. My Income Tax Calculation'!I39</f>
        <v>2767744892.1805305</v>
      </c>
      <c r="F39" s="88"/>
      <c r="G39" s="88"/>
      <c r="H39" s="88"/>
      <c r="I39" s="88"/>
      <c r="J39" s="117">
        <f t="shared" si="1"/>
        <v>223573563.66280606</v>
      </c>
    </row>
    <row r="40" spans="1:10" x14ac:dyDescent="0.25">
      <c r="A40" s="73">
        <v>39</v>
      </c>
      <c r="B40" s="88">
        <v>60</v>
      </c>
      <c r="C40" s="88">
        <v>1.6799999999999999E-2</v>
      </c>
      <c r="D40" s="88">
        <f t="shared" si="0"/>
        <v>0.98319999999999996</v>
      </c>
      <c r="E40" s="117">
        <f>'3.1. My Income Tax Calculation'!I40</f>
        <v>2782397659.2567806</v>
      </c>
      <c r="F40" s="88"/>
      <c r="G40" s="88"/>
      <c r="H40" s="88"/>
      <c r="I40" s="88"/>
      <c r="J40" s="117">
        <f t="shared" si="1"/>
        <v>209837477.41548473</v>
      </c>
    </row>
    <row r="41" spans="1:10" x14ac:dyDescent="0.25">
      <c r="H41" s="319" t="s">
        <v>323</v>
      </c>
      <c r="I41" s="319"/>
      <c r="J41" s="377">
        <f>SUM(J2:J40)</f>
        <v>20051721073.78616</v>
      </c>
    </row>
    <row r="42" spans="1:10" x14ac:dyDescent="0.25">
      <c r="H42" s="319"/>
      <c r="I42" s="319"/>
      <c r="J42" s="378"/>
    </row>
  </sheetData>
  <mergeCells count="2">
    <mergeCell ref="H41:I42"/>
    <mergeCell ref="J41:J42"/>
  </mergeCells>
  <hyperlinks>
    <hyperlink ref="H1" r:id="rId1" xr:uid="{8409E0CC-B13E-467C-BA82-A1C4A9E60F63}"/>
    <hyperlink ref="G1" r:id="rId2" xr:uid="{8066ABE8-0796-4F19-980E-6E108474DE3F}"/>
    <hyperlink ref="C1" r:id="rId3" xr:uid="{1100F6B0-AF75-4BCA-BC3A-32C8D087B024}"/>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85EF5-5B3A-4E27-BECA-010F722FF209}">
  <dimension ref="A1:J42"/>
  <sheetViews>
    <sheetView showGridLines="0" topLeftCell="A22" zoomScale="85" zoomScaleNormal="85" workbookViewId="0">
      <selection activeCell="F7" sqref="F7"/>
    </sheetView>
  </sheetViews>
  <sheetFormatPr defaultRowHeight="13.2" x14ac:dyDescent="0.25"/>
  <cols>
    <col min="1" max="1" width="8.88671875" style="138"/>
    <col min="2" max="2" width="8.88671875" style="86"/>
    <col min="3" max="3" width="12.5546875" style="86" bestFit="1" customWidth="1"/>
    <col min="4" max="4" width="26.88671875" style="86" bestFit="1" customWidth="1"/>
    <col min="5" max="5" width="31.6640625" style="86" bestFit="1" customWidth="1"/>
    <col min="6" max="6" width="22" style="86" bestFit="1" customWidth="1"/>
    <col min="7" max="7" width="21" style="86" bestFit="1" customWidth="1"/>
    <col min="8" max="8" width="44.5546875" style="86" bestFit="1" customWidth="1"/>
    <col min="9" max="9" width="19.6640625" style="86" bestFit="1" customWidth="1"/>
    <col min="10" max="10" width="20.44140625" style="86" bestFit="1" customWidth="1"/>
    <col min="11" max="16384" width="8.88671875" style="86"/>
  </cols>
  <sheetData>
    <row r="1" spans="1:10" x14ac:dyDescent="0.25">
      <c r="A1" s="79" t="s">
        <v>322</v>
      </c>
      <c r="B1" s="79" t="s">
        <v>6</v>
      </c>
      <c r="C1" s="275" t="s">
        <v>314</v>
      </c>
      <c r="D1" s="79" t="s">
        <v>315</v>
      </c>
      <c r="E1" s="79" t="s">
        <v>316</v>
      </c>
      <c r="F1" s="79" t="s">
        <v>317</v>
      </c>
      <c r="G1" s="275" t="s">
        <v>91</v>
      </c>
      <c r="H1" s="275" t="s">
        <v>318</v>
      </c>
      <c r="I1" s="79" t="s">
        <v>319</v>
      </c>
      <c r="J1" s="79" t="s">
        <v>92</v>
      </c>
    </row>
    <row r="2" spans="1:10" x14ac:dyDescent="0.25">
      <c r="A2" s="79">
        <v>1</v>
      </c>
      <c r="B2" s="88">
        <v>22</v>
      </c>
      <c r="C2" s="88">
        <v>1.1000000000000001E-3</v>
      </c>
      <c r="D2" s="88">
        <f>1-C2</f>
        <v>0.99890000000000001</v>
      </c>
      <c r="E2" s="117">
        <f>'3.2. My wife''s Tax Calc'!I7</f>
        <v>180000000</v>
      </c>
      <c r="F2" s="88">
        <f>'3.1. My Income Tax Calculation'!B12</f>
        <v>6.3529411764705876E-2</v>
      </c>
      <c r="G2" s="118">
        <v>2.3900000000000001E-2</v>
      </c>
      <c r="H2" s="118">
        <v>4.5699999999999998E-2</v>
      </c>
      <c r="I2" s="88">
        <f>COUNT(B2:B40)</f>
        <v>39</v>
      </c>
      <c r="J2" s="117">
        <f>(D2*0*(1+F2))/((1+G2+H2)^B2)</f>
        <v>0</v>
      </c>
    </row>
    <row r="3" spans="1:10" x14ac:dyDescent="0.25">
      <c r="A3" s="79">
        <v>2</v>
      </c>
      <c r="B3" s="88">
        <v>23</v>
      </c>
      <c r="C3" s="88">
        <v>1.1199999999999999E-3</v>
      </c>
      <c r="D3" s="88">
        <f t="shared" ref="D3:D40" si="0">1-C3</f>
        <v>0.99887999999999999</v>
      </c>
      <c r="E3" s="117">
        <f>'3.2. My wife''s Tax Calc'!I8</f>
        <v>180952941.17647061</v>
      </c>
      <c r="F3" s="88"/>
      <c r="G3" s="88"/>
      <c r="H3" s="88"/>
      <c r="I3" s="88"/>
      <c r="J3" s="117">
        <f>(D3*E2*(1+$F$2))/((1+$G$2+$H$2)^A3)</f>
        <v>167144672.62193382</v>
      </c>
    </row>
    <row r="4" spans="1:10" x14ac:dyDescent="0.25">
      <c r="A4" s="79">
        <v>3</v>
      </c>
      <c r="B4" s="88">
        <v>24</v>
      </c>
      <c r="C4" s="88">
        <v>1.15E-3</v>
      </c>
      <c r="D4" s="88">
        <f t="shared" si="0"/>
        <v>0.99885000000000002</v>
      </c>
      <c r="E4" s="117">
        <f>'3.2. My wife''s Tax Calc'!I9</f>
        <v>420000000</v>
      </c>
      <c r="F4" s="88"/>
      <c r="G4" s="88"/>
      <c r="H4" s="88"/>
      <c r="I4" s="88"/>
      <c r="J4" s="117">
        <f t="shared" ref="J4:J40" si="1">(D4*E3*(1+$F$2))/((1+$G$2+$H$2)^A4)</f>
        <v>157090977.6029025</v>
      </c>
    </row>
    <row r="5" spans="1:10" x14ac:dyDescent="0.25">
      <c r="A5" s="79">
        <v>4</v>
      </c>
      <c r="B5" s="88">
        <v>25</v>
      </c>
      <c r="C5" s="88">
        <v>1.17E-3</v>
      </c>
      <c r="D5" s="88">
        <f t="shared" si="0"/>
        <v>0.99883</v>
      </c>
      <c r="E5" s="117">
        <f>'3.2. My wife''s Tax Calc'!I10</f>
        <v>422223529.41176474</v>
      </c>
      <c r="F5" s="88"/>
      <c r="G5" s="88"/>
      <c r="H5" s="88"/>
      <c r="I5" s="88"/>
      <c r="J5" s="117">
        <f t="shared" si="1"/>
        <v>340882570.51311183</v>
      </c>
    </row>
    <row r="6" spans="1:10" x14ac:dyDescent="0.25">
      <c r="A6" s="79">
        <v>5</v>
      </c>
      <c r="B6" s="88">
        <v>26</v>
      </c>
      <c r="C6" s="88">
        <v>1.1999999999999999E-3</v>
      </c>
      <c r="D6" s="88">
        <f t="shared" si="0"/>
        <v>0.99880000000000002</v>
      </c>
      <c r="E6" s="117">
        <f>'3.2. My wife''s Tax Calc'!I11</f>
        <v>424458830.44982696</v>
      </c>
      <c r="F6" s="88"/>
      <c r="G6" s="88"/>
      <c r="H6" s="88"/>
      <c r="I6" s="88"/>
      <c r="J6" s="117">
        <f t="shared" si="1"/>
        <v>320378599.74339926</v>
      </c>
    </row>
    <row r="7" spans="1:10" x14ac:dyDescent="0.25">
      <c r="A7" s="79">
        <v>6</v>
      </c>
      <c r="B7" s="88">
        <v>27</v>
      </c>
      <c r="C7" s="88">
        <v>1.24E-3</v>
      </c>
      <c r="D7" s="88">
        <f t="shared" si="0"/>
        <v>0.99875999999999998</v>
      </c>
      <c r="E7" s="117">
        <f>'3.2. My wife''s Tax Calc'!I12</f>
        <v>720000000</v>
      </c>
      <c r="F7" s="88"/>
      <c r="G7" s="88"/>
      <c r="H7" s="88"/>
      <c r="I7" s="88"/>
      <c r="J7" s="117">
        <f t="shared" si="1"/>
        <v>301104920.78815502</v>
      </c>
    </row>
    <row r="8" spans="1:10" x14ac:dyDescent="0.25">
      <c r="A8" s="79">
        <v>7</v>
      </c>
      <c r="B8" s="88">
        <v>28</v>
      </c>
      <c r="C8" s="88">
        <v>1.2800000000000001E-3</v>
      </c>
      <c r="D8" s="88">
        <f t="shared" si="0"/>
        <v>0.99872000000000005</v>
      </c>
      <c r="E8" s="117">
        <f>'3.2. My wife''s Tax Calc'!I13</f>
        <v>840000000</v>
      </c>
      <c r="F8" s="88"/>
      <c r="G8" s="88"/>
      <c r="H8" s="88"/>
      <c r="I8" s="88"/>
      <c r="J8" s="117">
        <f t="shared" si="1"/>
        <v>477502872.38994551</v>
      </c>
    </row>
    <row r="9" spans="1:10" x14ac:dyDescent="0.25">
      <c r="A9" s="79">
        <v>8</v>
      </c>
      <c r="B9" s="88">
        <v>29</v>
      </c>
      <c r="C9" s="88">
        <v>1.32E-3</v>
      </c>
      <c r="D9" s="88">
        <f t="shared" si="0"/>
        <v>0.99868000000000001</v>
      </c>
      <c r="E9" s="117">
        <f>'3.2. My wife''s Tax Calc'!I14</f>
        <v>960000000</v>
      </c>
      <c r="F9" s="88"/>
      <c r="G9" s="88"/>
      <c r="H9" s="88"/>
      <c r="I9" s="88"/>
      <c r="J9" s="117">
        <f t="shared" si="1"/>
        <v>520815606.23425937</v>
      </c>
    </row>
    <row r="10" spans="1:10" x14ac:dyDescent="0.25">
      <c r="A10" s="79">
        <v>9</v>
      </c>
      <c r="B10" s="88">
        <v>30</v>
      </c>
      <c r="C10" s="88">
        <v>1.3699999999999999E-3</v>
      </c>
      <c r="D10" s="88">
        <f t="shared" si="0"/>
        <v>0.99863000000000002</v>
      </c>
      <c r="E10" s="117">
        <f>'3.2. My wife''s Tax Calc'!I15</f>
        <v>965082352.94117653</v>
      </c>
      <c r="F10" s="88"/>
      <c r="G10" s="88"/>
      <c r="H10" s="88"/>
      <c r="I10" s="88"/>
      <c r="J10" s="117">
        <f t="shared" si="1"/>
        <v>556458522.31508088</v>
      </c>
    </row>
    <row r="11" spans="1:10" x14ac:dyDescent="0.25">
      <c r="A11" s="79">
        <v>10</v>
      </c>
      <c r="B11" s="88">
        <v>31</v>
      </c>
      <c r="C11" s="88">
        <v>1.42E-3</v>
      </c>
      <c r="D11" s="88">
        <f t="shared" si="0"/>
        <v>0.99858000000000002</v>
      </c>
      <c r="E11" s="117">
        <f>'3.2. My wife''s Tax Calc'!I16</f>
        <v>970191612.45674753</v>
      </c>
      <c r="F11" s="88"/>
      <c r="G11" s="88"/>
      <c r="H11" s="88"/>
      <c r="I11" s="88"/>
      <c r="J11" s="117">
        <f t="shared" si="1"/>
        <v>522977253.74176276</v>
      </c>
    </row>
    <row r="12" spans="1:10" x14ac:dyDescent="0.25">
      <c r="A12" s="79">
        <v>11</v>
      </c>
      <c r="B12" s="88">
        <v>32</v>
      </c>
      <c r="C12" s="88">
        <v>1.47E-3</v>
      </c>
      <c r="D12" s="88">
        <f t="shared" si="0"/>
        <v>0.99853000000000003</v>
      </c>
      <c r="E12" s="117">
        <f>'3.2. My wife''s Tax Calc'!I17</f>
        <v>975327920.99328327</v>
      </c>
      <c r="F12" s="88"/>
      <c r="G12" s="88"/>
      <c r="H12" s="88"/>
      <c r="I12" s="88"/>
      <c r="J12" s="117">
        <f t="shared" si="1"/>
        <v>491510501.2817136</v>
      </c>
    </row>
    <row r="13" spans="1:10" x14ac:dyDescent="0.25">
      <c r="A13" s="79">
        <v>12</v>
      </c>
      <c r="B13" s="88">
        <v>33</v>
      </c>
      <c r="C13" s="88">
        <v>1.5399999999999999E-3</v>
      </c>
      <c r="D13" s="88">
        <f t="shared" si="0"/>
        <v>0.99846000000000001</v>
      </c>
      <c r="E13" s="117">
        <f>'3.2. My wife''s Tax Calc'!I18</f>
        <v>980491421.75148296</v>
      </c>
      <c r="F13" s="88"/>
      <c r="G13" s="88"/>
      <c r="H13" s="88"/>
      <c r="I13" s="88"/>
      <c r="J13" s="117">
        <f t="shared" si="1"/>
        <v>461927801.88680398</v>
      </c>
    </row>
    <row r="14" spans="1:10" x14ac:dyDescent="0.25">
      <c r="A14" s="79">
        <v>13</v>
      </c>
      <c r="B14" s="88">
        <v>34</v>
      </c>
      <c r="C14" s="88">
        <v>1.6100000000000001E-3</v>
      </c>
      <c r="D14" s="88">
        <f t="shared" si="0"/>
        <v>0.99839</v>
      </c>
      <c r="E14" s="117">
        <f>'3.2. My wife''s Tax Calc'!I19</f>
        <v>985682258.69016731</v>
      </c>
      <c r="F14" s="88"/>
      <c r="G14" s="88"/>
      <c r="H14" s="88"/>
      <c r="I14" s="88"/>
      <c r="J14" s="117">
        <f t="shared" si="1"/>
        <v>434125603.72723114</v>
      </c>
    </row>
    <row r="15" spans="1:10" x14ac:dyDescent="0.25">
      <c r="A15" s="79">
        <v>14</v>
      </c>
      <c r="B15" s="88">
        <v>35</v>
      </c>
      <c r="C15" s="88">
        <v>1.6999999999999999E-3</v>
      </c>
      <c r="D15" s="88">
        <f t="shared" si="0"/>
        <v>0.99829999999999997</v>
      </c>
      <c r="E15" s="117">
        <f>'3.2. My wife''s Tax Calc'!I20</f>
        <v>990900576.5302918</v>
      </c>
      <c r="F15" s="88"/>
      <c r="G15" s="88"/>
      <c r="H15" s="88"/>
      <c r="I15" s="88"/>
      <c r="J15" s="117">
        <f t="shared" si="1"/>
        <v>407988569.79688096</v>
      </c>
    </row>
    <row r="16" spans="1:10" x14ac:dyDescent="0.25">
      <c r="A16" s="79">
        <v>15</v>
      </c>
      <c r="B16" s="88">
        <v>36</v>
      </c>
      <c r="C16" s="88">
        <v>1.82E-3</v>
      </c>
      <c r="D16" s="88">
        <f t="shared" si="0"/>
        <v>0.99817999999999996</v>
      </c>
      <c r="E16" s="117">
        <f>'3.2. My wife''s Tax Calc'!I21</f>
        <v>996146520.7589817</v>
      </c>
      <c r="F16" s="88"/>
      <c r="G16" s="88"/>
      <c r="H16" s="88"/>
      <c r="I16" s="88"/>
      <c r="J16" s="117">
        <f t="shared" si="1"/>
        <v>383413619.71779096</v>
      </c>
    </row>
    <row r="17" spans="1:10" x14ac:dyDescent="0.25">
      <c r="A17" s="79">
        <v>16</v>
      </c>
      <c r="B17" s="88">
        <v>37</v>
      </c>
      <c r="C17" s="88">
        <v>1.9599999999999999E-3</v>
      </c>
      <c r="D17" s="88">
        <f t="shared" si="0"/>
        <v>0.99804000000000004</v>
      </c>
      <c r="E17" s="117">
        <f>'3.2. My wife''s Tax Calc'!I22</f>
        <v>1001420237.6335881</v>
      </c>
      <c r="F17" s="88"/>
      <c r="G17" s="88"/>
      <c r="H17" s="88"/>
      <c r="I17" s="88"/>
      <c r="J17" s="117">
        <f t="shared" si="1"/>
        <v>360311701.62124634</v>
      </c>
    </row>
    <row r="18" spans="1:10" x14ac:dyDescent="0.25">
      <c r="A18" s="79">
        <v>17</v>
      </c>
      <c r="B18" s="88">
        <v>38</v>
      </c>
      <c r="C18" s="88">
        <v>2.1299999999999999E-3</v>
      </c>
      <c r="D18" s="88">
        <f t="shared" si="0"/>
        <v>0.99787000000000003</v>
      </c>
      <c r="E18" s="117">
        <f>'3.2. My wife''s Tax Calc'!I23</f>
        <v>1006721874.185766</v>
      </c>
      <c r="F18" s="88"/>
      <c r="G18" s="88"/>
      <c r="H18" s="88"/>
      <c r="I18" s="88"/>
      <c r="J18" s="117">
        <f t="shared" si="1"/>
        <v>338591563.16470224</v>
      </c>
    </row>
    <row r="19" spans="1:10" x14ac:dyDescent="0.25">
      <c r="A19" s="79">
        <v>18</v>
      </c>
      <c r="B19" s="88">
        <v>39</v>
      </c>
      <c r="C19" s="88">
        <v>2.32E-3</v>
      </c>
      <c r="D19" s="88">
        <f t="shared" si="0"/>
        <v>0.99768000000000001</v>
      </c>
      <c r="E19" s="117">
        <f>'3.2. My wife''s Tax Calc'!I24</f>
        <v>1012051578.2255731</v>
      </c>
      <c r="F19" s="88"/>
      <c r="G19" s="88"/>
      <c r="H19" s="88"/>
      <c r="I19" s="88"/>
      <c r="J19" s="117">
        <f t="shared" si="1"/>
        <v>318174360.23432028</v>
      </c>
    </row>
    <row r="20" spans="1:10" x14ac:dyDescent="0.25">
      <c r="A20" s="79">
        <v>19</v>
      </c>
      <c r="B20" s="88">
        <v>40</v>
      </c>
      <c r="C20" s="88">
        <v>2.5300000000000001E-3</v>
      </c>
      <c r="D20" s="88">
        <f t="shared" si="0"/>
        <v>0.99746999999999997</v>
      </c>
      <c r="E20" s="117">
        <f>'3.2. My wife''s Tax Calc'!I25</f>
        <v>1017409498.3455909</v>
      </c>
      <c r="F20" s="88"/>
      <c r="G20" s="88"/>
      <c r="H20" s="88"/>
      <c r="I20" s="88"/>
      <c r="J20" s="117">
        <f t="shared" si="1"/>
        <v>298982316.92353517</v>
      </c>
    </row>
    <row r="21" spans="1:10" x14ac:dyDescent="0.25">
      <c r="A21" s="79">
        <v>20</v>
      </c>
      <c r="B21" s="88">
        <v>41</v>
      </c>
      <c r="C21" s="88">
        <v>2.7499999999999998E-3</v>
      </c>
      <c r="D21" s="88">
        <f t="shared" si="0"/>
        <v>0.99724999999999997</v>
      </c>
      <c r="E21" s="117">
        <f>'3.2. My wife''s Tax Calc'!I26</f>
        <v>1022795783.9250677</v>
      </c>
      <c r="F21" s="88"/>
      <c r="G21" s="88"/>
      <c r="H21" s="88"/>
      <c r="I21" s="88"/>
      <c r="J21" s="117">
        <f t="shared" si="1"/>
        <v>280945093.89363575</v>
      </c>
    </row>
    <row r="22" spans="1:10" x14ac:dyDescent="0.25">
      <c r="A22" s="79">
        <v>21</v>
      </c>
      <c r="B22" s="88">
        <v>42</v>
      </c>
      <c r="C22" s="88">
        <v>2.98E-3</v>
      </c>
      <c r="D22" s="88">
        <f t="shared" si="0"/>
        <v>0.99702000000000002</v>
      </c>
      <c r="E22" s="117">
        <f>'3.2. My wife''s Tax Calc'!I27</f>
        <v>1028210585.1340828</v>
      </c>
      <c r="F22" s="88"/>
      <c r="G22" s="88"/>
      <c r="H22" s="88"/>
      <c r="I22" s="88"/>
      <c r="J22" s="117">
        <f t="shared" si="1"/>
        <v>263993372.92293793</v>
      </c>
    </row>
    <row r="23" spans="1:10" x14ac:dyDescent="0.25">
      <c r="A23" s="79">
        <v>22</v>
      </c>
      <c r="B23" s="88">
        <v>43</v>
      </c>
      <c r="C23" s="88">
        <v>3.2000000000000002E-3</v>
      </c>
      <c r="D23" s="88">
        <f t="shared" si="0"/>
        <v>0.99680000000000002</v>
      </c>
      <c r="E23" s="117">
        <f>'3.2. My wife''s Tax Calc'!I28</f>
        <v>1033654052.9377339</v>
      </c>
      <c r="F23" s="88"/>
      <c r="G23" s="88"/>
      <c r="H23" s="88"/>
      <c r="I23" s="88"/>
      <c r="J23" s="117">
        <f t="shared" si="1"/>
        <v>248066963.69688466</v>
      </c>
    </row>
    <row r="24" spans="1:10" x14ac:dyDescent="0.25">
      <c r="A24" s="79">
        <v>23</v>
      </c>
      <c r="B24" s="88">
        <v>44</v>
      </c>
      <c r="C24" s="88">
        <v>3.4399999999999999E-3</v>
      </c>
      <c r="D24" s="88">
        <f t="shared" si="0"/>
        <v>0.99656</v>
      </c>
      <c r="E24" s="117">
        <f>'3.2. My wife''s Tax Calc'!I29</f>
        <v>1039126339.1003455</v>
      </c>
      <c r="F24" s="88"/>
      <c r="G24" s="88"/>
      <c r="H24" s="88"/>
      <c r="I24" s="88"/>
      <c r="J24" s="117">
        <f t="shared" si="1"/>
        <v>233096686.59864262</v>
      </c>
    </row>
    <row r="25" spans="1:10" x14ac:dyDescent="0.25">
      <c r="A25" s="79">
        <v>24</v>
      </c>
      <c r="B25" s="88">
        <v>45</v>
      </c>
      <c r="C25" s="88">
        <v>3.6800000000000001E-3</v>
      </c>
      <c r="D25" s="88">
        <f t="shared" si="0"/>
        <v>0.99631999999999998</v>
      </c>
      <c r="E25" s="117">
        <f>'3.2. My wife''s Tax Calc'!I30</f>
        <v>1044627596.1897004</v>
      </c>
      <c r="F25" s="88"/>
      <c r="G25" s="88"/>
      <c r="H25" s="88"/>
      <c r="I25" s="88"/>
      <c r="J25" s="117">
        <f t="shared" si="1"/>
        <v>219029818.97408712</v>
      </c>
    </row>
    <row r="26" spans="1:10" x14ac:dyDescent="0.25">
      <c r="A26" s="79">
        <v>25</v>
      </c>
      <c r="B26" s="88">
        <v>46</v>
      </c>
      <c r="C26" s="88">
        <v>3.9199999999999999E-3</v>
      </c>
      <c r="D26" s="88">
        <f t="shared" si="0"/>
        <v>0.99607999999999997</v>
      </c>
      <c r="E26" s="117">
        <f>'3.2. My wife''s Tax Calc'!I31</f>
        <v>1050157977.581293</v>
      </c>
      <c r="F26" s="88"/>
      <c r="G26" s="88"/>
      <c r="H26" s="88"/>
      <c r="I26" s="88"/>
      <c r="J26" s="117">
        <f t="shared" si="1"/>
        <v>205811843.64352965</v>
      </c>
    </row>
    <row r="27" spans="1:10" x14ac:dyDescent="0.25">
      <c r="A27" s="79">
        <v>26</v>
      </c>
      <c r="B27" s="88">
        <v>47</v>
      </c>
      <c r="C27" s="88">
        <v>4.1900000000000001E-3</v>
      </c>
      <c r="D27" s="88">
        <f t="shared" si="0"/>
        <v>0.99580999999999997</v>
      </c>
      <c r="E27" s="117">
        <f>'3.2. My wife''s Tax Calc'!I32</f>
        <v>1055717637.4626057</v>
      </c>
      <c r="F27" s="88"/>
      <c r="G27" s="88"/>
      <c r="H27" s="88"/>
      <c r="I27" s="88"/>
      <c r="J27" s="117">
        <f t="shared" si="1"/>
        <v>193385707.29525545</v>
      </c>
    </row>
    <row r="28" spans="1:10" x14ac:dyDescent="0.25">
      <c r="A28" s="79">
        <v>27</v>
      </c>
      <c r="B28" s="88">
        <v>48</v>
      </c>
      <c r="C28" s="88">
        <v>4.4799999999999996E-3</v>
      </c>
      <c r="D28" s="88">
        <f t="shared" si="0"/>
        <v>0.99551999999999996</v>
      </c>
      <c r="E28" s="117">
        <f>'3.2. My wife''s Tax Calc'!I33</f>
        <v>1061306730.8374078</v>
      </c>
      <c r="F28" s="88"/>
      <c r="G28" s="88"/>
      <c r="H28" s="88"/>
      <c r="I28" s="88"/>
      <c r="J28" s="117">
        <f t="shared" si="1"/>
        <v>181706149.9634681</v>
      </c>
    </row>
    <row r="29" spans="1:10" x14ac:dyDescent="0.25">
      <c r="A29" s="79">
        <v>28</v>
      </c>
      <c r="B29" s="88">
        <v>49</v>
      </c>
      <c r="C29" s="88">
        <v>4.79E-3</v>
      </c>
      <c r="D29" s="88">
        <f t="shared" si="0"/>
        <v>0.99521000000000004</v>
      </c>
      <c r="E29" s="117">
        <f>'3.2. My wife''s Tax Calc'!I34</f>
        <v>1066925413.5300765</v>
      </c>
      <c r="F29" s="88"/>
      <c r="G29" s="88"/>
      <c r="H29" s="88"/>
      <c r="I29" s="88"/>
      <c r="J29" s="117">
        <f t="shared" si="1"/>
        <v>170728535.66668719</v>
      </c>
    </row>
    <row r="30" spans="1:10" x14ac:dyDescent="0.25">
      <c r="A30" s="79">
        <v>29</v>
      </c>
      <c r="B30" s="88">
        <v>50</v>
      </c>
      <c r="C30" s="88">
        <v>5.13E-3</v>
      </c>
      <c r="D30" s="88">
        <f t="shared" si="0"/>
        <v>0.99487000000000003</v>
      </c>
      <c r="E30" s="117">
        <f>'3.2. My wife''s Tax Calc'!I35</f>
        <v>1072573842.1899416</v>
      </c>
      <c r="F30" s="88"/>
      <c r="G30" s="88"/>
      <c r="H30" s="88"/>
      <c r="I30" s="88"/>
      <c r="J30" s="117">
        <f t="shared" si="1"/>
        <v>160409271.4480775</v>
      </c>
    </row>
    <row r="31" spans="1:10" x14ac:dyDescent="0.25">
      <c r="A31" s="79">
        <v>30</v>
      </c>
      <c r="B31" s="88">
        <v>51</v>
      </c>
      <c r="C31" s="88">
        <v>5.4999999999999997E-3</v>
      </c>
      <c r="D31" s="88">
        <f t="shared" si="0"/>
        <v>0.99450000000000005</v>
      </c>
      <c r="E31" s="117">
        <f>'3.2. My wife''s Tax Calc'!I36</f>
        <v>1078252174.2956533</v>
      </c>
      <c r="F31" s="88"/>
      <c r="G31" s="88"/>
      <c r="H31" s="88"/>
      <c r="I31" s="88"/>
      <c r="J31" s="117">
        <f t="shared" si="1"/>
        <v>150709165.75901914</v>
      </c>
    </row>
    <row r="32" spans="1:10" x14ac:dyDescent="0.25">
      <c r="A32" s="79">
        <v>31</v>
      </c>
      <c r="B32" s="88">
        <v>52</v>
      </c>
      <c r="C32" s="88">
        <v>5.9199999999999999E-3</v>
      </c>
      <c r="D32" s="88">
        <f t="shared" si="0"/>
        <v>0.99407999999999996</v>
      </c>
      <c r="E32" s="117">
        <f>'3.2. My wife''s Tax Calc'!I37</f>
        <v>1083960568.1595716</v>
      </c>
      <c r="F32" s="88"/>
      <c r="G32" s="88"/>
      <c r="H32" s="88"/>
      <c r="I32" s="88"/>
      <c r="J32" s="117">
        <f t="shared" si="1"/>
        <v>141588493.77370632</v>
      </c>
    </row>
    <row r="33" spans="1:10" x14ac:dyDescent="0.25">
      <c r="A33" s="79">
        <v>32</v>
      </c>
      <c r="B33" s="88">
        <v>53</v>
      </c>
      <c r="C33" s="88">
        <v>6.3800000000000003E-3</v>
      </c>
      <c r="D33" s="88">
        <f t="shared" si="0"/>
        <v>0.99361999999999995</v>
      </c>
      <c r="E33" s="117">
        <f>'3.2. My wife''s Tax Calc'!I38</f>
        <v>1089699182.9321811</v>
      </c>
      <c r="F33" s="88"/>
      <c r="G33" s="88"/>
      <c r="H33" s="88"/>
      <c r="I33" s="88"/>
      <c r="J33" s="117">
        <f t="shared" si="1"/>
        <v>133014411.44076894</v>
      </c>
    </row>
    <row r="34" spans="1:10" x14ac:dyDescent="0.25">
      <c r="A34" s="79">
        <v>33</v>
      </c>
      <c r="B34" s="88">
        <v>54</v>
      </c>
      <c r="C34" s="88">
        <v>6.8500000000000002E-3</v>
      </c>
      <c r="D34" s="88">
        <f t="shared" si="0"/>
        <v>0.99314999999999998</v>
      </c>
      <c r="E34" s="117">
        <f>'3.2. My wife''s Tax Calc'!I39</f>
        <v>1095468178.606528</v>
      </c>
      <c r="F34" s="88"/>
      <c r="G34" s="88"/>
      <c r="H34" s="88"/>
      <c r="I34" s="88"/>
      <c r="J34" s="117">
        <f t="shared" si="1"/>
        <v>124958259.25200495</v>
      </c>
    </row>
    <row r="35" spans="1:10" x14ac:dyDescent="0.25">
      <c r="A35" s="79">
        <v>34</v>
      </c>
      <c r="B35" s="88">
        <v>55</v>
      </c>
      <c r="C35" s="88">
        <v>7.3299999999999997E-3</v>
      </c>
      <c r="D35" s="88">
        <f t="shared" si="0"/>
        <v>0.99267000000000005</v>
      </c>
      <c r="E35" s="117">
        <f>'3.2. My wife''s Tax Calc'!I40</f>
        <v>1101267716.0226803</v>
      </c>
      <c r="F35" s="88"/>
      <c r="G35" s="88"/>
      <c r="H35" s="88"/>
      <c r="I35" s="88"/>
      <c r="J35" s="117">
        <f t="shared" si="1"/>
        <v>117388827.21137923</v>
      </c>
    </row>
    <row r="36" spans="1:10" x14ac:dyDescent="0.25">
      <c r="A36" s="79">
        <v>35</v>
      </c>
      <c r="B36" s="88">
        <v>56</v>
      </c>
      <c r="C36" s="88">
        <v>7.7999999999999996E-3</v>
      </c>
      <c r="D36" s="88">
        <f t="shared" si="0"/>
        <v>0.99219999999999997</v>
      </c>
      <c r="E36" s="117">
        <f>'3.2. My wife''s Tax Calc'!I41</f>
        <v>1107097956.8722122</v>
      </c>
      <c r="F36" s="88"/>
      <c r="G36" s="88"/>
      <c r="H36" s="88"/>
      <c r="I36" s="88"/>
      <c r="J36" s="117">
        <f t="shared" si="1"/>
        <v>110279004.3697909</v>
      </c>
    </row>
    <row r="37" spans="1:10" x14ac:dyDescent="0.25">
      <c r="A37" s="79">
        <v>36</v>
      </c>
      <c r="B37" s="88">
        <v>57</v>
      </c>
      <c r="C37" s="88">
        <v>8.2500000000000004E-3</v>
      </c>
      <c r="D37" s="88">
        <f t="shared" si="0"/>
        <v>0.99175000000000002</v>
      </c>
      <c r="E37" s="117">
        <f>'3.2. My wife''s Tax Calc'!I42</f>
        <v>1112959063.7027123</v>
      </c>
      <c r="F37" s="88"/>
      <c r="G37" s="88"/>
      <c r="H37" s="88"/>
      <c r="I37" s="88"/>
      <c r="J37" s="117">
        <f t="shared" si="1"/>
        <v>103601864.18271893</v>
      </c>
    </row>
    <row r="38" spans="1:10" x14ac:dyDescent="0.25">
      <c r="A38" s="79">
        <v>37</v>
      </c>
      <c r="B38" s="88">
        <v>58</v>
      </c>
      <c r="C38" s="88">
        <v>8.6999999999999994E-3</v>
      </c>
      <c r="D38" s="88">
        <f t="shared" si="0"/>
        <v>0.99129999999999996</v>
      </c>
      <c r="E38" s="117">
        <f>'3.2. My wife''s Tax Calc'!I43</f>
        <v>1118851199.9223149</v>
      </c>
      <c r="F38" s="88"/>
      <c r="G38" s="88"/>
      <c r="H38" s="88"/>
      <c r="I38" s="88"/>
      <c r="J38" s="117">
        <f t="shared" si="1"/>
        <v>97328989.445071682</v>
      </c>
    </row>
    <row r="39" spans="1:10" x14ac:dyDescent="0.25">
      <c r="A39" s="79">
        <v>38</v>
      </c>
      <c r="B39" s="88">
        <v>59</v>
      </c>
      <c r="C39" s="88">
        <v>9.1999999999999998E-3</v>
      </c>
      <c r="D39" s="88">
        <f t="shared" si="0"/>
        <v>0.99080000000000001</v>
      </c>
      <c r="E39" s="117">
        <f>'3.2. My wife''s Tax Calc'!I44</f>
        <v>1124774529.8042567</v>
      </c>
      <c r="F39" s="88"/>
      <c r="G39" s="88"/>
      <c r="H39" s="88"/>
      <c r="I39" s="88"/>
      <c r="J39" s="117">
        <f t="shared" si="1"/>
        <v>91431291.20926778</v>
      </c>
    </row>
    <row r="40" spans="1:10" x14ac:dyDescent="0.25">
      <c r="A40" s="79">
        <v>39</v>
      </c>
      <c r="B40" s="88">
        <v>60</v>
      </c>
      <c r="C40" s="88">
        <v>9.7999999999999997E-3</v>
      </c>
      <c r="D40" s="88">
        <f t="shared" si="0"/>
        <v>0.99019999999999997</v>
      </c>
      <c r="E40" s="117">
        <f>'3.2. My wife''s Tax Calc'!I45</f>
        <v>1130729218.4914558</v>
      </c>
      <c r="F40" s="88"/>
      <c r="G40" s="88"/>
      <c r="H40" s="88"/>
      <c r="I40" s="88"/>
      <c r="J40" s="117">
        <f t="shared" si="1"/>
        <v>85882271.815795943</v>
      </c>
    </row>
    <row r="41" spans="1:10" x14ac:dyDescent="0.25">
      <c r="H41" s="305" t="s">
        <v>323</v>
      </c>
      <c r="I41" s="305"/>
      <c r="J41" s="377">
        <f>SUM(J2:J40)</f>
        <v>10172738056.867508</v>
      </c>
    </row>
    <row r="42" spans="1:10" x14ac:dyDescent="0.25">
      <c r="H42" s="305"/>
      <c r="I42" s="305"/>
      <c r="J42" s="378"/>
    </row>
  </sheetData>
  <mergeCells count="2">
    <mergeCell ref="H41:I42"/>
    <mergeCell ref="J41:J42"/>
  </mergeCells>
  <hyperlinks>
    <hyperlink ref="C1" r:id="rId1" xr:uid="{B6909F98-7F79-4E6F-8A61-597B69F10D26}"/>
    <hyperlink ref="H1" r:id="rId2" xr:uid="{80BF98DC-51E5-4885-B7CC-B1FD2899F089}"/>
    <hyperlink ref="G1" r:id="rId3" xr:uid="{69704624-C737-4B6D-B03E-88E814BE983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09A6B-5696-4153-9BDE-01A10628EFC4}">
  <dimension ref="A1:P44"/>
  <sheetViews>
    <sheetView showGridLines="0" workbookViewId="0">
      <selection activeCell="A11" sqref="A11"/>
    </sheetView>
  </sheetViews>
  <sheetFormatPr defaultRowHeight="13.2" x14ac:dyDescent="0.25"/>
  <cols>
    <col min="1" max="1" width="15.88671875" style="86" bestFit="1" customWidth="1"/>
    <col min="2" max="2" width="12" style="86" bestFit="1" customWidth="1"/>
    <col min="3" max="3" width="12.21875" style="86" bestFit="1" customWidth="1"/>
    <col min="4" max="6" width="8.88671875" style="86"/>
    <col min="7" max="7" width="19.88671875" style="86" bestFit="1" customWidth="1"/>
    <col min="8" max="8" width="29" style="86" bestFit="1" customWidth="1"/>
    <col min="9" max="9" width="11.6640625" style="86" customWidth="1"/>
    <col min="10" max="10" width="18.21875" style="86" customWidth="1"/>
    <col min="11" max="16384" width="8.88671875" style="86"/>
  </cols>
  <sheetData>
    <row r="1" spans="1:16" x14ac:dyDescent="0.25">
      <c r="A1" s="79" t="s">
        <v>343</v>
      </c>
      <c r="B1" s="88">
        <f>'3.1. My Income Tax Calculation'!$B$12</f>
        <v>6.3529411764705876E-2</v>
      </c>
    </row>
    <row r="2" spans="1:16" x14ac:dyDescent="0.25">
      <c r="A2" s="79" t="s">
        <v>344</v>
      </c>
      <c r="B2" s="118">
        <f>'9.1. My human capital'!$G$2</f>
        <v>2.3900000000000001E-2</v>
      </c>
    </row>
    <row r="3" spans="1:16" x14ac:dyDescent="0.25">
      <c r="A3" s="79" t="s">
        <v>99</v>
      </c>
      <c r="B3" s="121">
        <f>'7.7. Stage 9&amp;10&amp;11'!$K$29</f>
        <v>0.04</v>
      </c>
    </row>
    <row r="4" spans="1:16" x14ac:dyDescent="0.25">
      <c r="D4" s="73" t="s">
        <v>322</v>
      </c>
      <c r="E4" s="73" t="s">
        <v>9</v>
      </c>
      <c r="F4" s="73" t="s">
        <v>6</v>
      </c>
      <c r="G4" s="73" t="s">
        <v>347</v>
      </c>
      <c r="H4" s="73" t="s">
        <v>349</v>
      </c>
      <c r="I4" s="73" t="s">
        <v>345</v>
      </c>
      <c r="J4" s="73" t="s">
        <v>346</v>
      </c>
      <c r="L4" s="305" t="s">
        <v>348</v>
      </c>
      <c r="M4" s="305"/>
      <c r="N4" s="305"/>
      <c r="O4" s="377">
        <f>SUM(J5:J43)</f>
        <v>2469091270.9241457</v>
      </c>
      <c r="P4" s="378"/>
    </row>
    <row r="5" spans="1:16" x14ac:dyDescent="0.25">
      <c r="D5" s="73">
        <v>1</v>
      </c>
      <c r="E5" s="88">
        <v>2024</v>
      </c>
      <c r="F5" s="88">
        <v>22</v>
      </c>
      <c r="G5" s="117">
        <f>'3.1. My Income Tax Calculation'!H2</f>
        <v>20000000</v>
      </c>
      <c r="H5" s="117">
        <f>IF(G5*22% &gt; 36000000, 36000000, IF(G5*22% = 36000000, 36000000,  IF(G5*22% &lt; 36000000, G5*22%)))</f>
        <v>4400000</v>
      </c>
      <c r="I5" s="122">
        <f>I6*(1+$B$3)</f>
        <v>4.6163659884006325</v>
      </c>
      <c r="J5" s="117">
        <f>H5*I5</f>
        <v>20312010.348962784</v>
      </c>
      <c r="L5" s="305"/>
      <c r="M5" s="305"/>
      <c r="N5" s="305"/>
      <c r="O5" s="378"/>
      <c r="P5" s="378"/>
    </row>
    <row r="6" spans="1:16" x14ac:dyDescent="0.25">
      <c r="A6" s="152" t="s">
        <v>408</v>
      </c>
      <c r="D6" s="73">
        <v>2</v>
      </c>
      <c r="E6" s="88">
        <v>2025</v>
      </c>
      <c r="F6" s="88">
        <v>23</v>
      </c>
      <c r="G6" s="117">
        <f>'3.1. My Income Tax Calculation'!H3</f>
        <v>26000000</v>
      </c>
      <c r="H6" s="117">
        <f>IF(G6*22% &gt; 36000000, 36000000, IF(G6*22% = 36000000, 36000000,  IF(G6*22% &lt; 36000000, G6*22%)))</f>
        <v>5720000</v>
      </c>
      <c r="I6" s="122">
        <f>I7*(1+$B$3)</f>
        <v>4.438813450385223</v>
      </c>
      <c r="J6" s="117">
        <f t="shared" ref="J6:J44" si="0">H6*I6</f>
        <v>25390012.936203476</v>
      </c>
      <c r="L6" s="305" t="s">
        <v>350</v>
      </c>
      <c r="M6" s="305"/>
      <c r="N6" s="305"/>
      <c r="O6" s="388">
        <v>0.75</v>
      </c>
      <c r="P6" s="378"/>
    </row>
    <row r="7" spans="1:16" x14ac:dyDescent="0.25">
      <c r="A7" s="152" t="s">
        <v>409</v>
      </c>
      <c r="D7" s="73">
        <v>3</v>
      </c>
      <c r="E7" s="88">
        <v>2026</v>
      </c>
      <c r="F7" s="88">
        <v>24</v>
      </c>
      <c r="G7" s="117">
        <f>'3.1. My Income Tax Calculation'!H4</f>
        <v>26137647.05882353</v>
      </c>
      <c r="H7" s="117">
        <f t="shared" ref="H7:H44" si="1">IF(G7*22% &gt; 36000000, 36000000, IF(G7*22% = 36000000, 36000000,  IF(G7*22% &lt; 36000000, G7*22%)))</f>
        <v>5750282.3529411769</v>
      </c>
      <c r="I7" s="122">
        <f t="shared" ref="I7:I42" si="2">I8*(1+$B$3)</f>
        <v>4.2680898561396372</v>
      </c>
      <c r="J7" s="117">
        <f t="shared" si="0"/>
        <v>24542721.780527003</v>
      </c>
      <c r="L7" s="305"/>
      <c r="M7" s="305"/>
      <c r="N7" s="305"/>
      <c r="O7" s="378"/>
      <c r="P7" s="378"/>
    </row>
    <row r="8" spans="1:16" x14ac:dyDescent="0.25">
      <c r="A8" s="152" t="s">
        <v>410</v>
      </c>
      <c r="D8" s="73">
        <v>4</v>
      </c>
      <c r="E8" s="88">
        <v>2027</v>
      </c>
      <c r="F8" s="88">
        <v>25</v>
      </c>
      <c r="G8" s="117">
        <f>'3.1. My Income Tax Calculation'!H5</f>
        <v>40000000</v>
      </c>
      <c r="H8" s="117">
        <f t="shared" si="1"/>
        <v>8800000</v>
      </c>
      <c r="I8" s="122">
        <f t="shared" si="2"/>
        <v>4.1039325539804201</v>
      </c>
      <c r="J8" s="117">
        <f t="shared" si="0"/>
        <v>36114606.475027695</v>
      </c>
      <c r="L8" s="305" t="s">
        <v>352</v>
      </c>
      <c r="M8" s="305"/>
      <c r="N8" s="305"/>
      <c r="O8" s="377">
        <f>O4*O6/COUNT(J5:J43)</f>
        <v>47482524.440848954</v>
      </c>
      <c r="P8" s="377"/>
    </row>
    <row r="9" spans="1:16" x14ac:dyDescent="0.25">
      <c r="A9" s="152" t="s">
        <v>411</v>
      </c>
      <c r="D9" s="73">
        <v>5</v>
      </c>
      <c r="E9" s="88">
        <v>2028</v>
      </c>
      <c r="F9" s="88">
        <v>26</v>
      </c>
      <c r="G9" s="117">
        <f>'3.1. My Income Tax Calculation'!H6</f>
        <v>40211764.705882356</v>
      </c>
      <c r="H9" s="117">
        <f t="shared" si="1"/>
        <v>8846588.2352941185</v>
      </c>
      <c r="I9" s="122">
        <f t="shared" si="2"/>
        <v>3.9460889942119421</v>
      </c>
      <c r="J9" s="117">
        <f t="shared" si="0"/>
        <v>34909424.471618965</v>
      </c>
      <c r="L9" s="305"/>
      <c r="M9" s="305"/>
      <c r="N9" s="305"/>
      <c r="O9" s="377"/>
      <c r="P9" s="377"/>
    </row>
    <row r="10" spans="1:16" x14ac:dyDescent="0.25">
      <c r="A10" s="152" t="s">
        <v>412</v>
      </c>
      <c r="D10" s="73">
        <v>6</v>
      </c>
      <c r="E10" s="88">
        <v>2029</v>
      </c>
      <c r="F10" s="88">
        <v>27</v>
      </c>
      <c r="G10" s="117">
        <f>'3.1. My Income Tax Calculation'!H7</f>
        <v>62000000</v>
      </c>
      <c r="H10" s="117">
        <f t="shared" si="1"/>
        <v>13640000</v>
      </c>
      <c r="I10" s="122">
        <f t="shared" si="2"/>
        <v>3.7943163405884057</v>
      </c>
      <c r="J10" s="117">
        <f t="shared" si="0"/>
        <v>51754474.885625854</v>
      </c>
      <c r="L10" s="305" t="s">
        <v>351</v>
      </c>
      <c r="M10" s="305"/>
      <c r="N10" s="305"/>
      <c r="O10" s="377">
        <f>O8*O6</f>
        <v>35611893.330636717</v>
      </c>
      <c r="P10" s="377"/>
    </row>
    <row r="11" spans="1:16" x14ac:dyDescent="0.25">
      <c r="A11" s="152" t="s">
        <v>635</v>
      </c>
      <c r="D11" s="73">
        <v>7</v>
      </c>
      <c r="E11" s="88">
        <v>2030</v>
      </c>
      <c r="F11" s="88">
        <v>28</v>
      </c>
      <c r="G11" s="117">
        <f>'3.1. My Income Tax Calculation'!H8</f>
        <v>62328235.294117652</v>
      </c>
      <c r="H11" s="117">
        <f t="shared" si="1"/>
        <v>13712211.764705883</v>
      </c>
      <c r="I11" s="122">
        <f t="shared" si="2"/>
        <v>3.6483810967196209</v>
      </c>
      <c r="J11" s="117">
        <f t="shared" si="0"/>
        <v>50027374.196569338</v>
      </c>
      <c r="L11" s="305"/>
      <c r="M11" s="305"/>
      <c r="N11" s="305"/>
      <c r="O11" s="377"/>
      <c r="P11" s="377"/>
    </row>
    <row r="12" spans="1:16" x14ac:dyDescent="0.25">
      <c r="D12" s="73">
        <v>8</v>
      </c>
      <c r="E12" s="88">
        <v>2031</v>
      </c>
      <c r="F12" s="88">
        <v>29</v>
      </c>
      <c r="G12" s="117">
        <f>'3.1. My Income Tax Calculation'!H9</f>
        <v>80000000</v>
      </c>
      <c r="H12" s="117">
        <f t="shared" si="1"/>
        <v>17600000</v>
      </c>
      <c r="I12" s="122">
        <f t="shared" si="2"/>
        <v>3.5080587468457893</v>
      </c>
      <c r="J12" s="117">
        <f t="shared" si="0"/>
        <v>61741833.944485895</v>
      </c>
      <c r="L12" s="305" t="s">
        <v>353</v>
      </c>
      <c r="M12" s="305"/>
      <c r="N12" s="305"/>
      <c r="O12" s="377">
        <f>O10*12</f>
        <v>427342719.96764064</v>
      </c>
      <c r="P12" s="377"/>
    </row>
    <row r="13" spans="1:16" x14ac:dyDescent="0.25">
      <c r="D13" s="73">
        <v>9</v>
      </c>
      <c r="E13" s="88">
        <v>2032</v>
      </c>
      <c r="F13" s="88">
        <v>30</v>
      </c>
      <c r="G13" s="117">
        <f>'3.1. My Income Tax Calculation'!H10</f>
        <v>100000000</v>
      </c>
      <c r="H13" s="117">
        <f t="shared" si="1"/>
        <v>22000000</v>
      </c>
      <c r="I13" s="122">
        <f t="shared" si="2"/>
        <v>3.3731334104286437</v>
      </c>
      <c r="J13" s="117">
        <f t="shared" si="0"/>
        <v>74208935.029430166</v>
      </c>
      <c r="L13" s="305"/>
      <c r="M13" s="305"/>
      <c r="N13" s="305"/>
      <c r="O13" s="377"/>
      <c r="P13" s="377"/>
    </row>
    <row r="14" spans="1:16" x14ac:dyDescent="0.25">
      <c r="D14" s="73">
        <v>10</v>
      </c>
      <c r="E14" s="88">
        <v>2033</v>
      </c>
      <c r="F14" s="88">
        <v>31</v>
      </c>
      <c r="G14" s="117">
        <f>'3.1. My Income Tax Calculation'!H11</f>
        <v>150000000</v>
      </c>
      <c r="H14" s="117">
        <f t="shared" si="1"/>
        <v>33000000</v>
      </c>
      <c r="I14" s="122">
        <f t="shared" si="2"/>
        <v>3.2433975100275418</v>
      </c>
      <c r="J14" s="117">
        <f t="shared" si="0"/>
        <v>107032117.83090888</v>
      </c>
    </row>
    <row r="15" spans="1:16" x14ac:dyDescent="0.25">
      <c r="D15" s="73">
        <v>11</v>
      </c>
      <c r="E15" s="88">
        <v>2034</v>
      </c>
      <c r="F15" s="88">
        <v>32</v>
      </c>
      <c r="G15" s="117">
        <f>'3.1. My Income Tax Calculation'!H12</f>
        <v>200000000</v>
      </c>
      <c r="H15" s="117">
        <f t="shared" si="1"/>
        <v>36000000</v>
      </c>
      <c r="I15" s="122">
        <f t="shared" si="2"/>
        <v>3.1186514519495594</v>
      </c>
      <c r="J15" s="117">
        <f t="shared" si="0"/>
        <v>112271452.27018414</v>
      </c>
    </row>
    <row r="16" spans="1:16" x14ac:dyDescent="0.25">
      <c r="D16" s="73">
        <v>12</v>
      </c>
      <c r="E16" s="88">
        <v>2035</v>
      </c>
      <c r="F16" s="88">
        <v>33</v>
      </c>
      <c r="G16" s="117">
        <f>'3.1. My Income Tax Calculation'!H13</f>
        <v>201058823.52941179</v>
      </c>
      <c r="H16" s="117">
        <f t="shared" si="1"/>
        <v>36000000</v>
      </c>
      <c r="I16" s="122">
        <f t="shared" si="2"/>
        <v>2.9987033191822685</v>
      </c>
      <c r="J16" s="117">
        <f t="shared" si="0"/>
        <v>107953319.49056166</v>
      </c>
    </row>
    <row r="17" spans="2:16" x14ac:dyDescent="0.25">
      <c r="D17" s="73">
        <v>13</v>
      </c>
      <c r="E17" s="88">
        <v>2036</v>
      </c>
      <c r="F17" s="88">
        <v>34</v>
      </c>
      <c r="G17" s="117">
        <f>'3.1. My Income Tax Calculation'!H14</f>
        <v>202123252.59515575</v>
      </c>
      <c r="H17" s="117">
        <f t="shared" si="1"/>
        <v>36000000</v>
      </c>
      <c r="I17" s="122">
        <f t="shared" si="2"/>
        <v>2.8833685761367964</v>
      </c>
      <c r="J17" s="117">
        <f t="shared" si="0"/>
        <v>103801268.74092467</v>
      </c>
    </row>
    <row r="18" spans="2:16" x14ac:dyDescent="0.25">
      <c r="B18"/>
      <c r="D18" s="73">
        <v>14</v>
      </c>
      <c r="E18" s="88">
        <v>2037</v>
      </c>
      <c r="F18" s="88">
        <v>35</v>
      </c>
      <c r="G18" s="117">
        <f>'3.1. My Income Tax Calculation'!H15</f>
        <v>203193316.87360069</v>
      </c>
      <c r="H18" s="117">
        <f t="shared" si="1"/>
        <v>36000000</v>
      </c>
      <c r="I18" s="122">
        <f t="shared" si="2"/>
        <v>2.7724697847469195</v>
      </c>
      <c r="J18" s="117">
        <f t="shared" si="0"/>
        <v>99808912.250889108</v>
      </c>
    </row>
    <row r="19" spans="2:16" x14ac:dyDescent="0.25">
      <c r="D19" s="73">
        <v>15</v>
      </c>
      <c r="E19" s="88">
        <v>2038</v>
      </c>
      <c r="F19" s="88">
        <v>36</v>
      </c>
      <c r="G19" s="117">
        <f>'3.1. My Income Tax Calculation'!H16</f>
        <v>204269046.19822565</v>
      </c>
      <c r="H19" s="117">
        <f t="shared" si="1"/>
        <v>36000000</v>
      </c>
      <c r="I19" s="122">
        <f t="shared" si="2"/>
        <v>2.6658363314874225</v>
      </c>
      <c r="J19" s="117">
        <f t="shared" si="0"/>
        <v>95970107.933547214</v>
      </c>
    </row>
    <row r="20" spans="2:16" x14ac:dyDescent="0.25">
      <c r="D20" s="73">
        <v>16</v>
      </c>
      <c r="E20" s="88">
        <v>2039</v>
      </c>
      <c r="F20" s="88">
        <v>37</v>
      </c>
      <c r="G20" s="117">
        <f>'3.1. My Income Tax Calculation'!H17</f>
        <v>205350470.56045157</v>
      </c>
      <c r="H20" s="117">
        <f t="shared" si="1"/>
        <v>36000000</v>
      </c>
      <c r="I20" s="122">
        <f t="shared" si="2"/>
        <v>2.5633041648917523</v>
      </c>
      <c r="J20" s="117">
        <f t="shared" si="0"/>
        <v>92278949.936103076</v>
      </c>
    </row>
    <row r="21" spans="2:16" x14ac:dyDescent="0.25">
      <c r="D21" s="73">
        <v>17</v>
      </c>
      <c r="E21" s="88">
        <v>2040</v>
      </c>
      <c r="F21" s="88">
        <v>38</v>
      </c>
      <c r="G21" s="117">
        <f>'3.1. My Income Tax Calculation'!H18</f>
        <v>206437620.11047751</v>
      </c>
      <c r="H21" s="117">
        <f t="shared" si="1"/>
        <v>36000000</v>
      </c>
      <c r="I21" s="122">
        <f t="shared" si="2"/>
        <v>2.4647155431651462</v>
      </c>
      <c r="J21" s="117">
        <f t="shared" si="0"/>
        <v>88729759.553945258</v>
      </c>
    </row>
    <row r="22" spans="2:16" x14ac:dyDescent="0.25">
      <c r="D22" s="73">
        <v>18</v>
      </c>
      <c r="E22" s="88">
        <v>2041</v>
      </c>
      <c r="F22" s="88">
        <v>39</v>
      </c>
      <c r="G22" s="117">
        <f>'3.1. My Income Tax Calculation'!H19</f>
        <v>207530525.15812123</v>
      </c>
      <c r="H22" s="117">
        <f t="shared" si="1"/>
        <v>36000000</v>
      </c>
      <c r="I22" s="122">
        <f t="shared" si="2"/>
        <v>2.369918791504948</v>
      </c>
      <c r="J22" s="117">
        <f t="shared" si="0"/>
        <v>85317076.494178131</v>
      </c>
    </row>
    <row r="23" spans="2:16" x14ac:dyDescent="0.25">
      <c r="D23" s="73">
        <v>19</v>
      </c>
      <c r="E23" s="88">
        <v>2042</v>
      </c>
      <c r="F23" s="88">
        <v>40</v>
      </c>
      <c r="G23" s="117">
        <f>'3.1. My Income Tax Calculation'!H20</f>
        <v>208629216.17366424</v>
      </c>
      <c r="H23" s="117">
        <f t="shared" si="1"/>
        <v>36000000</v>
      </c>
      <c r="I23" s="122">
        <f t="shared" si="2"/>
        <v>2.2787680687547578</v>
      </c>
      <c r="J23" s="117">
        <f t="shared" si="0"/>
        <v>82035650.475171283</v>
      </c>
      <c r="L23" s="379" t="s">
        <v>645</v>
      </c>
      <c r="M23" s="380"/>
      <c r="N23" s="380"/>
      <c r="O23" s="380"/>
      <c r="P23" s="381"/>
    </row>
    <row r="24" spans="2:16" x14ac:dyDescent="0.25">
      <c r="D24" s="73">
        <v>20</v>
      </c>
      <c r="E24" s="88">
        <v>2043</v>
      </c>
      <c r="F24" s="88">
        <v>41</v>
      </c>
      <c r="G24" s="117">
        <f>'3.1. My Income Tax Calculation'!H21</f>
        <v>209733723.7887013</v>
      </c>
      <c r="H24" s="117">
        <f t="shared" si="1"/>
        <v>36000000</v>
      </c>
      <c r="I24" s="122">
        <f t="shared" si="2"/>
        <v>2.1911231430334208</v>
      </c>
      <c r="J24" s="117">
        <f t="shared" si="0"/>
        <v>78880433.149203151</v>
      </c>
      <c r="L24" s="382"/>
      <c r="M24" s="383"/>
      <c r="N24" s="383"/>
      <c r="O24" s="383"/>
      <c r="P24" s="384"/>
    </row>
    <row r="25" spans="2:16" x14ac:dyDescent="0.25">
      <c r="D25" s="73">
        <v>21</v>
      </c>
      <c r="E25" s="88">
        <v>2044</v>
      </c>
      <c r="F25" s="88">
        <v>42</v>
      </c>
      <c r="G25" s="117">
        <f>'3.1. My Income Tax Calculation'!H22</f>
        <v>210844078.79699445</v>
      </c>
      <c r="H25" s="117">
        <f t="shared" si="1"/>
        <v>36000000</v>
      </c>
      <c r="I25" s="122">
        <f t="shared" si="2"/>
        <v>2.1068491759936738</v>
      </c>
      <c r="J25" s="117">
        <f t="shared" si="0"/>
        <v>75846570.335772261</v>
      </c>
      <c r="L25" s="382"/>
      <c r="M25" s="383"/>
      <c r="N25" s="383"/>
      <c r="O25" s="383"/>
      <c r="P25" s="384"/>
    </row>
    <row r="26" spans="2:16" x14ac:dyDescent="0.25">
      <c r="D26" s="73">
        <v>22</v>
      </c>
      <c r="E26" s="88">
        <v>2045</v>
      </c>
      <c r="F26" s="88">
        <v>43</v>
      </c>
      <c r="G26" s="117">
        <f>'3.1. My Income Tax Calculation'!H23</f>
        <v>211960312.15533149</v>
      </c>
      <c r="H26" s="117">
        <f t="shared" si="1"/>
        <v>36000000</v>
      </c>
      <c r="I26" s="122">
        <f t="shared" si="2"/>
        <v>2.0258165153785326</v>
      </c>
      <c r="J26" s="117">
        <f t="shared" si="0"/>
        <v>72929394.553627178</v>
      </c>
      <c r="L26" s="385"/>
      <c r="M26" s="386"/>
      <c r="N26" s="386"/>
      <c r="O26" s="386"/>
      <c r="P26" s="387"/>
    </row>
    <row r="27" spans="2:16" x14ac:dyDescent="0.25">
      <c r="D27" s="73">
        <v>23</v>
      </c>
      <c r="E27" s="88">
        <v>2046</v>
      </c>
      <c r="F27" s="88">
        <v>44</v>
      </c>
      <c r="G27" s="117">
        <f>'3.1. My Income Tax Calculation'!H24</f>
        <v>213082454.98438916</v>
      </c>
      <c r="H27" s="117">
        <f t="shared" si="1"/>
        <v>36000000</v>
      </c>
      <c r="I27" s="122">
        <f t="shared" si="2"/>
        <v>1.9479004955562813</v>
      </c>
      <c r="J27" s="117">
        <f t="shared" si="0"/>
        <v>70124417.840026125</v>
      </c>
    </row>
    <row r="28" spans="2:16" x14ac:dyDescent="0.25">
      <c r="D28" s="73">
        <v>24</v>
      </c>
      <c r="E28" s="88">
        <v>2047</v>
      </c>
      <c r="F28" s="88">
        <v>45</v>
      </c>
      <c r="G28" s="117">
        <f>'3.1. My Income Tax Calculation'!H25</f>
        <v>214210538.56960064</v>
      </c>
      <c r="H28" s="117">
        <f t="shared" si="1"/>
        <v>36000000</v>
      </c>
      <c r="I28" s="122">
        <f t="shared" si="2"/>
        <v>1.8729812457271935</v>
      </c>
      <c r="J28" s="117">
        <f t="shared" si="0"/>
        <v>67427324.846178964</v>
      </c>
    </row>
    <row r="29" spans="2:16" x14ac:dyDescent="0.25">
      <c r="D29" s="73">
        <v>25</v>
      </c>
      <c r="E29" s="88">
        <v>2048</v>
      </c>
      <c r="F29" s="88">
        <v>46</v>
      </c>
      <c r="G29" s="117">
        <f>'3.1. My Income Tax Calculation'!H26</f>
        <v>215344594.36202794</v>
      </c>
      <c r="H29" s="117">
        <f t="shared" si="1"/>
        <v>36000000</v>
      </c>
      <c r="I29" s="122">
        <f t="shared" si="2"/>
        <v>1.8009435055069167</v>
      </c>
      <c r="J29" s="117">
        <f t="shared" si="0"/>
        <v>64833966.198249005</v>
      </c>
    </row>
    <row r="30" spans="2:16" x14ac:dyDescent="0.25">
      <c r="D30" s="73">
        <v>26</v>
      </c>
      <c r="E30" s="88">
        <v>2049</v>
      </c>
      <c r="F30" s="88">
        <v>47</v>
      </c>
      <c r="G30" s="117">
        <f>'3.1. My Income Tax Calculation'!H27</f>
        <v>216484653.97923869</v>
      </c>
      <c r="H30" s="117">
        <f t="shared" si="1"/>
        <v>36000000</v>
      </c>
      <c r="I30" s="122">
        <f t="shared" si="2"/>
        <v>1.7316764476028046</v>
      </c>
      <c r="J30" s="117">
        <f t="shared" si="0"/>
        <v>62340352.113700964</v>
      </c>
    </row>
    <row r="31" spans="2:16" x14ac:dyDescent="0.25">
      <c r="D31" s="73">
        <v>27</v>
      </c>
      <c r="E31" s="88">
        <v>2050</v>
      </c>
      <c r="F31" s="88">
        <v>48</v>
      </c>
      <c r="G31" s="117">
        <f>'3.1. My Income Tax Calculation'!H28</f>
        <v>217630749.20618761</v>
      </c>
      <c r="H31" s="117">
        <f t="shared" si="1"/>
        <v>36000000</v>
      </c>
      <c r="I31" s="122">
        <f t="shared" si="2"/>
        <v>1.6650735073103891</v>
      </c>
      <c r="J31" s="117">
        <f t="shared" si="0"/>
        <v>59942646.263174005</v>
      </c>
    </row>
    <row r="32" spans="2:16" x14ac:dyDescent="0.25">
      <c r="D32" s="73">
        <v>28</v>
      </c>
      <c r="E32" s="88">
        <v>2051</v>
      </c>
      <c r="F32" s="88">
        <v>49</v>
      </c>
      <c r="G32" s="117">
        <f>'3.1. My Income Tax Calculation'!H29</f>
        <v>218782911.99610272</v>
      </c>
      <c r="H32" s="117">
        <f t="shared" si="1"/>
        <v>36000000</v>
      </c>
      <c r="I32" s="122">
        <f t="shared" si="2"/>
        <v>1.6010322185676817</v>
      </c>
      <c r="J32" s="117">
        <f t="shared" si="0"/>
        <v>57637159.868436545</v>
      </c>
    </row>
    <row r="33" spans="4:10" x14ac:dyDescent="0.25">
      <c r="D33" s="73">
        <v>29</v>
      </c>
      <c r="E33" s="88">
        <v>2052</v>
      </c>
      <c r="F33" s="88">
        <v>50</v>
      </c>
      <c r="G33" s="117">
        <f>'3.1. My Income Tax Calculation'!H30</f>
        <v>219941174.47137621</v>
      </c>
      <c r="H33" s="117">
        <f t="shared" si="1"/>
        <v>36000000</v>
      </c>
      <c r="I33" s="122">
        <f t="shared" si="2"/>
        <v>1.5394540563150785</v>
      </c>
      <c r="J33" s="117">
        <f t="shared" si="0"/>
        <v>55420346.027342826</v>
      </c>
    </row>
    <row r="34" spans="4:10" x14ac:dyDescent="0.25">
      <c r="D34" s="73">
        <v>30</v>
      </c>
      <c r="E34" s="88">
        <v>2053</v>
      </c>
      <c r="F34" s="88">
        <v>51</v>
      </c>
      <c r="G34" s="117">
        <f>'3.1. My Income Tax Calculation'!H31</f>
        <v>221105568.92445999</v>
      </c>
      <c r="H34" s="117">
        <f t="shared" si="1"/>
        <v>36000000</v>
      </c>
      <c r="I34" s="122">
        <f t="shared" si="2"/>
        <v>1.4802442849183446</v>
      </c>
      <c r="J34" s="117">
        <f t="shared" si="0"/>
        <v>53288794.257060409</v>
      </c>
    </row>
    <row r="35" spans="4:10" x14ac:dyDescent="0.25">
      <c r="D35" s="73">
        <v>31</v>
      </c>
      <c r="E35" s="88">
        <v>2054</v>
      </c>
      <c r="F35" s="88">
        <v>52</v>
      </c>
      <c r="G35" s="117">
        <f>'3.1. My Income Tax Calculation'!H32</f>
        <v>222276127.81876597</v>
      </c>
      <c r="H35" s="117">
        <f t="shared" si="1"/>
        <v>36000000</v>
      </c>
      <c r="I35" s="122">
        <f t="shared" si="2"/>
        <v>1.4233118124214852</v>
      </c>
      <c r="J35" s="117">
        <f t="shared" si="0"/>
        <v>51239225.247173466</v>
      </c>
    </row>
    <row r="36" spans="4:10" x14ac:dyDescent="0.25">
      <c r="D36" s="73">
        <v>32</v>
      </c>
      <c r="E36" s="88">
        <v>2055</v>
      </c>
      <c r="F36" s="88">
        <v>53</v>
      </c>
      <c r="G36" s="117">
        <f>'3.1. My Income Tax Calculation'!H33</f>
        <v>223452883.78957123</v>
      </c>
      <c r="H36" s="117">
        <f t="shared" si="1"/>
        <v>36000000</v>
      </c>
      <c r="I36" s="122">
        <f t="shared" si="2"/>
        <v>1.3685690504052741</v>
      </c>
      <c r="J36" s="117">
        <f t="shared" si="0"/>
        <v>49268485.814589866</v>
      </c>
    </row>
    <row r="37" spans="4:10" x14ac:dyDescent="0.25">
      <c r="D37" s="73">
        <v>33</v>
      </c>
      <c r="E37" s="88">
        <v>2056</v>
      </c>
      <c r="F37" s="88">
        <v>54</v>
      </c>
      <c r="G37" s="117">
        <f>'3.1. My Income Tax Calculation'!H34</f>
        <v>224635869.6449278</v>
      </c>
      <c r="H37" s="117">
        <f t="shared" si="1"/>
        <v>36000000</v>
      </c>
      <c r="I37" s="122">
        <f t="shared" si="2"/>
        <v>1.3159317792358405</v>
      </c>
      <c r="J37" s="117">
        <f t="shared" si="0"/>
        <v>47373544.052490257</v>
      </c>
    </row>
    <row r="38" spans="4:10" x14ac:dyDescent="0.25">
      <c r="D38" s="73">
        <v>34</v>
      </c>
      <c r="E38" s="88">
        <v>2057</v>
      </c>
      <c r="F38" s="88">
        <v>55</v>
      </c>
      <c r="G38" s="117">
        <f>'3.1. My Income Tax Calculation'!H35</f>
        <v>225825118.36657745</v>
      </c>
      <c r="H38" s="117">
        <f t="shared" si="1"/>
        <v>36000000</v>
      </c>
      <c r="I38" s="122">
        <f t="shared" si="2"/>
        <v>1.2653190184960004</v>
      </c>
      <c r="J38" s="117">
        <f t="shared" si="0"/>
        <v>45551484.665856011</v>
      </c>
    </row>
    <row r="39" spans="4:10" x14ac:dyDescent="0.25">
      <c r="D39" s="73">
        <v>35</v>
      </c>
      <c r="E39" s="88">
        <v>2058</v>
      </c>
      <c r="F39" s="88">
        <v>56</v>
      </c>
      <c r="G39" s="117">
        <f>'3.1. My Income Tax Calculation'!H36</f>
        <v>227020663.11087111</v>
      </c>
      <c r="H39" s="117">
        <f t="shared" si="1"/>
        <v>36000000</v>
      </c>
      <c r="I39" s="122">
        <f t="shared" si="2"/>
        <v>1.2166529024000003</v>
      </c>
      <c r="J39" s="117">
        <f t="shared" si="0"/>
        <v>43799504.486400016</v>
      </c>
    </row>
    <row r="40" spans="4:10" x14ac:dyDescent="0.25">
      <c r="D40" s="73">
        <v>36</v>
      </c>
      <c r="E40" s="88">
        <v>2059</v>
      </c>
      <c r="F40" s="88">
        <v>57</v>
      </c>
      <c r="G40" s="117">
        <f>'3.1. My Income Tax Calculation'!H37</f>
        <v>228222537.20969337</v>
      </c>
      <c r="H40" s="117">
        <f t="shared" si="1"/>
        <v>36000000</v>
      </c>
      <c r="I40" s="122">
        <f t="shared" si="2"/>
        <v>1.1698585600000002</v>
      </c>
      <c r="J40" s="117">
        <f t="shared" si="0"/>
        <v>42114908.160000011</v>
      </c>
    </row>
    <row r="41" spans="4:10" x14ac:dyDescent="0.25">
      <c r="D41" s="73">
        <v>37</v>
      </c>
      <c r="E41" s="88">
        <v>2060</v>
      </c>
      <c r="F41" s="88">
        <v>58</v>
      </c>
      <c r="G41" s="117">
        <f>'3.1. My Income Tax Calculation'!H38</f>
        <v>229430774.17139176</v>
      </c>
      <c r="H41" s="117">
        <f t="shared" si="1"/>
        <v>36000000</v>
      </c>
      <c r="I41" s="122">
        <f t="shared" si="2"/>
        <v>1.1248640000000001</v>
      </c>
      <c r="J41" s="117">
        <f t="shared" si="0"/>
        <v>40495104</v>
      </c>
    </row>
    <row r="42" spans="4:10" x14ac:dyDescent="0.25">
      <c r="D42" s="73">
        <v>38</v>
      </c>
      <c r="E42" s="88">
        <v>2061</v>
      </c>
      <c r="F42" s="88">
        <v>59</v>
      </c>
      <c r="G42" s="117">
        <f>'3.1. My Income Tax Calculation'!H39</f>
        <v>230645407.6817109</v>
      </c>
      <c r="H42" s="117">
        <f t="shared" si="1"/>
        <v>36000000</v>
      </c>
      <c r="I42" s="122">
        <f t="shared" si="2"/>
        <v>1.0816000000000001</v>
      </c>
      <c r="J42" s="117">
        <f t="shared" si="0"/>
        <v>38937600.000000007</v>
      </c>
    </row>
    <row r="43" spans="4:10" x14ac:dyDescent="0.25">
      <c r="D43" s="73">
        <v>39</v>
      </c>
      <c r="E43" s="88">
        <v>2062</v>
      </c>
      <c r="F43" s="88">
        <v>60</v>
      </c>
      <c r="G43" s="117">
        <f>'3.1. My Income Tax Calculation'!H40</f>
        <v>231866471.60473174</v>
      </c>
      <c r="H43" s="117">
        <f t="shared" si="1"/>
        <v>36000000</v>
      </c>
      <c r="I43" s="122">
        <f>I44*(1+$B$3)</f>
        <v>1.04</v>
      </c>
      <c r="J43" s="117">
        <f t="shared" si="0"/>
        <v>37440000</v>
      </c>
    </row>
    <row r="44" spans="4:10" x14ac:dyDescent="0.25">
      <c r="D44" s="73">
        <v>40</v>
      </c>
      <c r="E44" s="88">
        <v>2063</v>
      </c>
      <c r="F44" s="88">
        <v>61</v>
      </c>
      <c r="G44" s="117">
        <f>'3.1. My Income Tax Calculation'!H41</f>
        <v>0</v>
      </c>
      <c r="H44" s="117">
        <f t="shared" si="1"/>
        <v>0</v>
      </c>
      <c r="I44" s="122">
        <v>1</v>
      </c>
      <c r="J44" s="117">
        <f t="shared" si="0"/>
        <v>0</v>
      </c>
    </row>
  </sheetData>
  <mergeCells count="11">
    <mergeCell ref="L4:N5"/>
    <mergeCell ref="O4:P5"/>
    <mergeCell ref="L6:N7"/>
    <mergeCell ref="O6:P7"/>
    <mergeCell ref="L8:N9"/>
    <mergeCell ref="O8:P9"/>
    <mergeCell ref="L23:P26"/>
    <mergeCell ref="L10:N11"/>
    <mergeCell ref="O10:P11"/>
    <mergeCell ref="L12:N13"/>
    <mergeCell ref="O12:P13"/>
  </mergeCells>
  <hyperlinks>
    <hyperlink ref="A6" r:id="rId1" xr:uid="{B4D2C767-6971-431C-9811-60CF9456CFEC}"/>
    <hyperlink ref="A7" r:id="rId2" xr:uid="{D7A35410-D181-4605-B8C7-AA59F9F05CF8}"/>
    <hyperlink ref="A8" r:id="rId3" xr:uid="{CCB523A5-2406-4D6F-9B0C-4BAF08564342}"/>
    <hyperlink ref="A9" r:id="rId4" xr:uid="{5A5C8505-B0FC-4746-8210-53CCAF9AFF55}"/>
    <hyperlink ref="A10" r:id="rId5" xr:uid="{1F39BB6B-5A53-4446-A04B-51E8B137CB6C}"/>
    <hyperlink ref="A11" r:id="rId6" xr:uid="{F4713A32-59A7-4208-90C0-D100E37F6721}"/>
  </hyperlinks>
  <pageMargins left="0.7" right="0.7" top="0.75" bottom="0.75" header="0.3" footer="0.3"/>
  <drawing r:id="rId7"/>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340F1-947E-4FCB-9D8C-E8F410BFF271}">
  <dimension ref="A1:P44"/>
  <sheetViews>
    <sheetView showGridLines="0" workbookViewId="0">
      <selection activeCell="O8" sqref="O8:P9"/>
    </sheetView>
  </sheetViews>
  <sheetFormatPr defaultRowHeight="13.2" x14ac:dyDescent="0.25"/>
  <cols>
    <col min="1" max="1" width="15.88671875" style="86" bestFit="1" customWidth="1"/>
    <col min="2" max="2" width="12" style="86" bestFit="1" customWidth="1"/>
    <col min="3" max="3" width="12.21875" style="86" bestFit="1" customWidth="1"/>
    <col min="4" max="6" width="8.88671875" style="86"/>
    <col min="7" max="7" width="19.88671875" style="86" bestFit="1" customWidth="1"/>
    <col min="8" max="8" width="29" style="86" bestFit="1" customWidth="1"/>
    <col min="9" max="9" width="11.6640625" style="86" customWidth="1"/>
    <col min="10" max="10" width="18.21875" style="86" customWidth="1"/>
    <col min="11" max="16384" width="8.88671875" style="86"/>
  </cols>
  <sheetData>
    <row r="1" spans="1:16" x14ac:dyDescent="0.25">
      <c r="A1" s="79" t="s">
        <v>343</v>
      </c>
      <c r="B1" s="88">
        <f>'3.1. My Income Tax Calculation'!$B$12</f>
        <v>6.3529411764705876E-2</v>
      </c>
    </row>
    <row r="2" spans="1:16" x14ac:dyDescent="0.25">
      <c r="A2" s="79" t="s">
        <v>344</v>
      </c>
      <c r="B2" s="118">
        <f>'9.1. My human capital'!$G$2</f>
        <v>2.3900000000000001E-2</v>
      </c>
    </row>
    <row r="3" spans="1:16" x14ac:dyDescent="0.25">
      <c r="A3" s="79" t="s">
        <v>99</v>
      </c>
      <c r="B3" s="121">
        <f>'7.7. Stage 9&amp;10&amp;11'!$K$29</f>
        <v>0.04</v>
      </c>
    </row>
    <row r="4" spans="1:16" x14ac:dyDescent="0.25">
      <c r="D4" s="73" t="s">
        <v>322</v>
      </c>
      <c r="E4" s="73" t="s">
        <v>9</v>
      </c>
      <c r="F4" s="73" t="s">
        <v>6</v>
      </c>
      <c r="G4" s="73" t="s">
        <v>347</v>
      </c>
      <c r="H4" s="73" t="s">
        <v>349</v>
      </c>
      <c r="I4" s="73" t="s">
        <v>345</v>
      </c>
      <c r="J4" s="73" t="s">
        <v>346</v>
      </c>
      <c r="L4" s="305" t="s">
        <v>348</v>
      </c>
      <c r="M4" s="305"/>
      <c r="N4" s="305"/>
      <c r="O4" s="377">
        <f>SUM(J5:J43)</f>
        <v>2119627684.7916698</v>
      </c>
      <c r="P4" s="378"/>
    </row>
    <row r="5" spans="1:16" x14ac:dyDescent="0.25">
      <c r="D5" s="73">
        <v>1</v>
      </c>
      <c r="E5" s="88">
        <v>2029</v>
      </c>
      <c r="F5" s="88">
        <v>22</v>
      </c>
      <c r="G5" s="117">
        <f>'3.2. My wife''s Tax Calc'!H7</f>
        <v>15000000</v>
      </c>
      <c r="H5" s="117">
        <f>IF(G5*32% &gt; 36000000, 36000000, IF(G5*32% = 36000000, 36000000,  IF(G5*32% &lt; 36000000, G5*32%)))</f>
        <v>4800000</v>
      </c>
      <c r="I5" s="122">
        <f>I6*(1+$B$3)</f>
        <v>4.6163659884006325</v>
      </c>
      <c r="J5" s="117">
        <f>H5*I5</f>
        <v>22158556.744323038</v>
      </c>
      <c r="L5" s="305"/>
      <c r="M5" s="305"/>
      <c r="N5" s="305"/>
      <c r="O5" s="378"/>
      <c r="P5" s="378"/>
    </row>
    <row r="6" spans="1:16" x14ac:dyDescent="0.25">
      <c r="A6" s="124"/>
      <c r="D6" s="73">
        <v>2</v>
      </c>
      <c r="E6" s="88">
        <v>2030</v>
      </c>
      <c r="F6" s="88">
        <v>23</v>
      </c>
      <c r="G6" s="117">
        <f>'3.2. My wife''s Tax Calc'!H8</f>
        <v>15079411.764705883</v>
      </c>
      <c r="H6" s="117">
        <f t="shared" ref="H6:H44" si="0">IF(G6*32% &gt; 36000000, 36000000, IF(G6*32% = 36000000, 36000000,  IF(G6*32% &lt; 36000000, G6*32%)))</f>
        <v>4825411.7647058824</v>
      </c>
      <c r="I6" s="122">
        <f t="shared" ref="I6:I43" si="1">I7*(1+$B$3)</f>
        <v>4.438813450385223</v>
      </c>
      <c r="J6" s="117">
        <f t="shared" ref="J6:J44" si="2">H6*I6</f>
        <v>21419102.644823566</v>
      </c>
      <c r="L6" s="305" t="s">
        <v>350</v>
      </c>
      <c r="M6" s="305"/>
      <c r="N6" s="305"/>
      <c r="O6" s="388">
        <v>0.75</v>
      </c>
      <c r="P6" s="378"/>
    </row>
    <row r="7" spans="1:16" x14ac:dyDescent="0.25">
      <c r="A7" s="124"/>
      <c r="D7" s="73">
        <v>3</v>
      </c>
      <c r="E7" s="88">
        <v>2031</v>
      </c>
      <c r="F7" s="88">
        <v>24</v>
      </c>
      <c r="G7" s="117">
        <f>'3.2. My wife''s Tax Calc'!H9</f>
        <v>35000000</v>
      </c>
      <c r="H7" s="117">
        <f t="shared" si="0"/>
        <v>11200000</v>
      </c>
      <c r="I7" s="122">
        <f t="shared" si="1"/>
        <v>4.2680898561396372</v>
      </c>
      <c r="J7" s="117">
        <f t="shared" si="2"/>
        <v>47802606.388763934</v>
      </c>
      <c r="L7" s="305"/>
      <c r="M7" s="305"/>
      <c r="N7" s="305"/>
      <c r="O7" s="378"/>
      <c r="P7" s="378"/>
    </row>
    <row r="8" spans="1:16" x14ac:dyDescent="0.25">
      <c r="A8" s="124"/>
      <c r="D8" s="73">
        <v>4</v>
      </c>
      <c r="E8" s="88">
        <v>2032</v>
      </c>
      <c r="F8" s="88">
        <v>25</v>
      </c>
      <c r="G8" s="117">
        <f>'3.2. My wife''s Tax Calc'!H10</f>
        <v>35185294.117647059</v>
      </c>
      <c r="H8" s="117">
        <f t="shared" si="0"/>
        <v>11259294.117647059</v>
      </c>
      <c r="I8" s="122">
        <f t="shared" si="1"/>
        <v>4.1039325539804201</v>
      </c>
      <c r="J8" s="117">
        <f t="shared" si="2"/>
        <v>46207383.66425202</v>
      </c>
      <c r="L8" s="305" t="s">
        <v>352</v>
      </c>
      <c r="M8" s="305"/>
      <c r="N8" s="305"/>
      <c r="O8" s="377">
        <f>O4*O6/COUNT(J5:J43)</f>
        <v>40762070.861378267</v>
      </c>
      <c r="P8" s="377"/>
    </row>
    <row r="9" spans="1:16" x14ac:dyDescent="0.25">
      <c r="A9" s="124"/>
      <c r="D9" s="73">
        <v>5</v>
      </c>
      <c r="E9" s="88">
        <v>2033</v>
      </c>
      <c r="F9" s="88">
        <v>26</v>
      </c>
      <c r="G9" s="117">
        <f>'3.2. My wife''s Tax Calc'!H11</f>
        <v>35371569.204152249</v>
      </c>
      <c r="H9" s="117">
        <f t="shared" si="0"/>
        <v>11318902.145328719</v>
      </c>
      <c r="I9" s="122">
        <f t="shared" si="1"/>
        <v>3.9460889942119421</v>
      </c>
      <c r="J9" s="117">
        <f t="shared" si="2"/>
        <v>44665395.1822436</v>
      </c>
      <c r="L9" s="305"/>
      <c r="M9" s="305"/>
      <c r="N9" s="305"/>
      <c r="O9" s="377"/>
      <c r="P9" s="377"/>
    </row>
    <row r="10" spans="1:16" x14ac:dyDescent="0.25">
      <c r="A10" s="124"/>
      <c r="D10" s="73">
        <v>6</v>
      </c>
      <c r="E10" s="88">
        <v>2034</v>
      </c>
      <c r="F10" s="88">
        <v>27</v>
      </c>
      <c r="G10" s="117">
        <f>'3.2. My wife''s Tax Calc'!H12</f>
        <v>60000000</v>
      </c>
      <c r="H10" s="117">
        <f t="shared" si="0"/>
        <v>19200000</v>
      </c>
      <c r="I10" s="122">
        <f t="shared" si="1"/>
        <v>3.7943163405884057</v>
      </c>
      <c r="J10" s="117">
        <f t="shared" si="2"/>
        <v>72850873.73929739</v>
      </c>
      <c r="L10" s="305" t="s">
        <v>351</v>
      </c>
      <c r="M10" s="305"/>
      <c r="N10" s="305"/>
      <c r="O10" s="377">
        <f>O8*O6</f>
        <v>30571553.146033701</v>
      </c>
      <c r="P10" s="377"/>
    </row>
    <row r="11" spans="1:16" x14ac:dyDescent="0.25">
      <c r="D11" s="73">
        <v>7</v>
      </c>
      <c r="E11" s="88">
        <v>2035</v>
      </c>
      <c r="F11" s="88">
        <v>28</v>
      </c>
      <c r="G11" s="117">
        <f>'3.2. My wife''s Tax Calc'!H13</f>
        <v>70000000</v>
      </c>
      <c r="H11" s="117">
        <f t="shared" si="0"/>
        <v>22400000</v>
      </c>
      <c r="I11" s="122">
        <f t="shared" si="1"/>
        <v>3.6483810967196209</v>
      </c>
      <c r="J11" s="117">
        <f t="shared" si="2"/>
        <v>81723736.566519514</v>
      </c>
      <c r="L11" s="305"/>
      <c r="M11" s="305"/>
      <c r="N11" s="305"/>
      <c r="O11" s="377"/>
      <c r="P11" s="377"/>
    </row>
    <row r="12" spans="1:16" x14ac:dyDescent="0.25">
      <c r="D12" s="73">
        <v>8</v>
      </c>
      <c r="E12" s="88">
        <v>2036</v>
      </c>
      <c r="F12" s="88">
        <v>29</v>
      </c>
      <c r="G12" s="117">
        <f>'3.2. My wife''s Tax Calc'!H14</f>
        <v>80000000</v>
      </c>
      <c r="H12" s="117">
        <f t="shared" si="0"/>
        <v>25600000</v>
      </c>
      <c r="I12" s="122">
        <f t="shared" si="1"/>
        <v>3.5080587468457893</v>
      </c>
      <c r="J12" s="117">
        <f t="shared" si="2"/>
        <v>89806303.919252202</v>
      </c>
      <c r="L12" s="305" t="s">
        <v>353</v>
      </c>
      <c r="M12" s="305"/>
      <c r="N12" s="305"/>
      <c r="O12" s="377">
        <f>O10*12</f>
        <v>366858637.75240439</v>
      </c>
      <c r="P12" s="377"/>
    </row>
    <row r="13" spans="1:16" x14ac:dyDescent="0.25">
      <c r="D13" s="73">
        <v>9</v>
      </c>
      <c r="E13" s="88">
        <v>2037</v>
      </c>
      <c r="F13" s="88">
        <v>30</v>
      </c>
      <c r="G13" s="117">
        <f>'3.2. My wife''s Tax Calc'!H15</f>
        <v>80423529.411764711</v>
      </c>
      <c r="H13" s="117">
        <f t="shared" si="0"/>
        <v>25735529.411764707</v>
      </c>
      <c r="I13" s="122">
        <f t="shared" si="1"/>
        <v>3.3731334104286437</v>
      </c>
      <c r="J13" s="117">
        <f t="shared" si="2"/>
        <v>86809374.093892559</v>
      </c>
      <c r="L13" s="305"/>
      <c r="M13" s="305"/>
      <c r="N13" s="305"/>
      <c r="O13" s="377"/>
      <c r="P13" s="377"/>
    </row>
    <row r="14" spans="1:16" x14ac:dyDescent="0.25">
      <c r="D14" s="73">
        <v>10</v>
      </c>
      <c r="E14" s="88">
        <v>2038</v>
      </c>
      <c r="F14" s="88">
        <v>31</v>
      </c>
      <c r="G14" s="117">
        <f>'3.2. My wife''s Tax Calc'!H16</f>
        <v>80849301.038062289</v>
      </c>
      <c r="H14" s="117">
        <f t="shared" si="0"/>
        <v>25871776.332179934</v>
      </c>
      <c r="I14" s="122">
        <f t="shared" si="1"/>
        <v>3.2433975100275418</v>
      </c>
      <c r="J14" s="117">
        <f t="shared" si="2"/>
        <v>83912454.935781881</v>
      </c>
    </row>
    <row r="15" spans="1:16" x14ac:dyDescent="0.25">
      <c r="D15" s="73">
        <v>11</v>
      </c>
      <c r="E15" s="88">
        <v>2039</v>
      </c>
      <c r="F15" s="88">
        <v>32</v>
      </c>
      <c r="G15" s="117">
        <f>'3.2. My wife''s Tax Calc'!H17</f>
        <v>81277326.749440268</v>
      </c>
      <c r="H15" s="117">
        <f t="shared" si="0"/>
        <v>26008744.559820887</v>
      </c>
      <c r="I15" s="122">
        <f t="shared" si="1"/>
        <v>3.1186514519495594</v>
      </c>
      <c r="J15" s="117">
        <f t="shared" si="2"/>
        <v>81112208.984870613</v>
      </c>
    </row>
    <row r="16" spans="1:16" x14ac:dyDescent="0.25">
      <c r="D16" s="73">
        <v>12</v>
      </c>
      <c r="E16" s="88">
        <v>2040</v>
      </c>
      <c r="F16" s="88">
        <v>33</v>
      </c>
      <c r="G16" s="117">
        <f>'3.2. My wife''s Tax Calc'!H18</f>
        <v>81707618.479290247</v>
      </c>
      <c r="H16" s="117">
        <f t="shared" si="0"/>
        <v>26146437.913372878</v>
      </c>
      <c r="I16" s="122">
        <f t="shared" si="1"/>
        <v>2.9987033191822685</v>
      </c>
      <c r="J16" s="117">
        <f t="shared" si="2"/>
        <v>78405410.15562436</v>
      </c>
    </row>
    <row r="17" spans="4:10" x14ac:dyDescent="0.25">
      <c r="D17" s="73">
        <v>13</v>
      </c>
      <c r="E17" s="88">
        <v>2041</v>
      </c>
      <c r="F17" s="88">
        <v>34</v>
      </c>
      <c r="G17" s="117">
        <f>'3.2. My wife''s Tax Calc'!H19</f>
        <v>82140188.224180609</v>
      </c>
      <c r="H17" s="117">
        <f t="shared" si="0"/>
        <v>26284860.231737796</v>
      </c>
      <c r="I17" s="122">
        <f t="shared" si="1"/>
        <v>2.8833685761367964</v>
      </c>
      <c r="J17" s="117">
        <f t="shared" si="2"/>
        <v>75788940.020340517</v>
      </c>
    </row>
    <row r="18" spans="4:10" x14ac:dyDescent="0.25">
      <c r="D18" s="73">
        <v>14</v>
      </c>
      <c r="E18" s="88">
        <v>2042</v>
      </c>
      <c r="F18" s="88">
        <v>35</v>
      </c>
      <c r="G18" s="117">
        <f>'3.2. My wife''s Tax Calc'!H20</f>
        <v>82575048.044190988</v>
      </c>
      <c r="H18" s="117">
        <f t="shared" si="0"/>
        <v>26424015.374141116</v>
      </c>
      <c r="I18" s="122">
        <f t="shared" si="1"/>
        <v>2.7724697847469195</v>
      </c>
      <c r="J18" s="117">
        <f t="shared" si="2"/>
        <v>73259784.216494307</v>
      </c>
    </row>
    <row r="19" spans="4:10" x14ac:dyDescent="0.25">
      <c r="D19" s="73">
        <v>15</v>
      </c>
      <c r="E19" s="88">
        <v>2043</v>
      </c>
      <c r="F19" s="88">
        <v>36</v>
      </c>
      <c r="G19" s="117">
        <f>'3.2. My wife''s Tax Calc'!H21</f>
        <v>83012210.06324847</v>
      </c>
      <c r="H19" s="117">
        <f t="shared" si="0"/>
        <v>26563907.220239513</v>
      </c>
      <c r="I19" s="122">
        <f t="shared" si="1"/>
        <v>2.6658363314874225</v>
      </c>
      <c r="J19" s="117">
        <f t="shared" si="2"/>
        <v>70815028.973975554</v>
      </c>
    </row>
    <row r="20" spans="4:10" x14ac:dyDescent="0.25">
      <c r="D20" s="73">
        <v>16</v>
      </c>
      <c r="E20" s="88">
        <v>2044</v>
      </c>
      <c r="F20" s="88">
        <v>37</v>
      </c>
      <c r="G20" s="117">
        <f>'3.2. My wife''s Tax Calc'!H22</f>
        <v>83451686.469465673</v>
      </c>
      <c r="H20" s="117">
        <f t="shared" si="0"/>
        <v>26704539.670229018</v>
      </c>
      <c r="I20" s="122">
        <f t="shared" si="1"/>
        <v>2.5633041648917523</v>
      </c>
      <c r="J20" s="117">
        <f t="shared" si="2"/>
        <v>68451857.758215055</v>
      </c>
    </row>
    <row r="21" spans="4:10" x14ac:dyDescent="0.25">
      <c r="D21" s="73">
        <v>17</v>
      </c>
      <c r="E21" s="88">
        <v>2045</v>
      </c>
      <c r="F21" s="88">
        <v>38</v>
      </c>
      <c r="G21" s="117">
        <f>'3.2. My wife''s Tax Calc'!H23</f>
        <v>83893489.515480503</v>
      </c>
      <c r="H21" s="117">
        <f t="shared" si="0"/>
        <v>26845916.644953761</v>
      </c>
      <c r="I21" s="122">
        <f t="shared" si="1"/>
        <v>2.4647155431651462</v>
      </c>
      <c r="J21" s="117">
        <f t="shared" si="2"/>
        <v>66167548.025333449</v>
      </c>
    </row>
    <row r="22" spans="4:10" x14ac:dyDescent="0.25">
      <c r="D22" s="73">
        <v>18</v>
      </c>
      <c r="E22" s="88">
        <v>2046</v>
      </c>
      <c r="F22" s="88">
        <v>39</v>
      </c>
      <c r="G22" s="117">
        <f>'3.2. My wife''s Tax Calc'!H24</f>
        <v>84337631.518797755</v>
      </c>
      <c r="H22" s="117">
        <f t="shared" si="0"/>
        <v>26988042.086015284</v>
      </c>
      <c r="I22" s="122">
        <f t="shared" si="1"/>
        <v>2.369918791504948</v>
      </c>
      <c r="J22" s="117">
        <f t="shared" si="2"/>
        <v>63959468.085574016</v>
      </c>
    </row>
    <row r="23" spans="4:10" x14ac:dyDescent="0.25">
      <c r="D23" s="73">
        <v>19</v>
      </c>
      <c r="E23" s="88">
        <v>2047</v>
      </c>
      <c r="F23" s="88">
        <v>40</v>
      </c>
      <c r="G23" s="117">
        <f>'3.2. My wife''s Tax Calc'!H25</f>
        <v>84784124.862132579</v>
      </c>
      <c r="H23" s="117">
        <f t="shared" si="0"/>
        <v>27130919.955882426</v>
      </c>
      <c r="I23" s="122">
        <f t="shared" si="1"/>
        <v>2.2787680687547578</v>
      </c>
      <c r="J23" s="117">
        <f t="shared" si="2"/>
        <v>61825074.071406119</v>
      </c>
    </row>
    <row r="24" spans="4:10" x14ac:dyDescent="0.25">
      <c r="D24" s="73">
        <v>20</v>
      </c>
      <c r="E24" s="88">
        <v>2048</v>
      </c>
      <c r="F24" s="88">
        <v>41</v>
      </c>
      <c r="G24" s="117">
        <f>'3.2. My wife''s Tax Calc'!H26</f>
        <v>85232981.993755639</v>
      </c>
      <c r="H24" s="117">
        <f t="shared" si="0"/>
        <v>27274554.238001805</v>
      </c>
      <c r="I24" s="122">
        <f t="shared" si="1"/>
        <v>2.1911231430334208</v>
      </c>
      <c r="J24" s="117">
        <f t="shared" si="2"/>
        <v>59761907.006806023</v>
      </c>
    </row>
    <row r="25" spans="4:10" x14ac:dyDescent="0.25">
      <c r="D25" s="73">
        <v>21</v>
      </c>
      <c r="E25" s="88">
        <v>2049</v>
      </c>
      <c r="F25" s="88">
        <v>42</v>
      </c>
      <c r="G25" s="117">
        <f>'3.2. My wife''s Tax Calc'!H27</f>
        <v>85684215.427840233</v>
      </c>
      <c r="H25" s="117">
        <f t="shared" si="0"/>
        <v>27418948.936908875</v>
      </c>
      <c r="I25" s="122">
        <f t="shared" si="1"/>
        <v>2.1068491759936738</v>
      </c>
      <c r="J25" s="117">
        <f t="shared" si="2"/>
        <v>57767589.974339083</v>
      </c>
    </row>
    <row r="26" spans="4:10" x14ac:dyDescent="0.25">
      <c r="D26" s="73">
        <v>22</v>
      </c>
      <c r="E26" s="88">
        <v>2050</v>
      </c>
      <c r="F26" s="88">
        <v>43</v>
      </c>
      <c r="G26" s="117">
        <f>'3.2. My wife''s Tax Calc'!H28</f>
        <v>86137837.744811162</v>
      </c>
      <c r="H26" s="117">
        <f t="shared" si="0"/>
        <v>27564108.078339573</v>
      </c>
      <c r="I26" s="122">
        <f t="shared" si="1"/>
        <v>2.0258165153785326</v>
      </c>
      <c r="J26" s="117">
        <f t="shared" si="2"/>
        <v>55839825.376779132</v>
      </c>
    </row>
    <row r="27" spans="4:10" x14ac:dyDescent="0.25">
      <c r="D27" s="73">
        <v>23</v>
      </c>
      <c r="E27" s="88">
        <v>2051</v>
      </c>
      <c r="F27" s="88">
        <v>44</v>
      </c>
      <c r="G27" s="117">
        <f>'3.2. My wife''s Tax Calc'!H29</f>
        <v>86593861.591695458</v>
      </c>
      <c r="H27" s="117">
        <f t="shared" si="0"/>
        <v>27710035.709342547</v>
      </c>
      <c r="I27" s="122">
        <f t="shared" si="1"/>
        <v>1.9479004955562813</v>
      </c>
      <c r="J27" s="117">
        <f t="shared" si="2"/>
        <v>53976392.290110596</v>
      </c>
    </row>
    <row r="28" spans="4:10" x14ac:dyDescent="0.25">
      <c r="D28" s="73">
        <v>24</v>
      </c>
      <c r="E28" s="88">
        <v>2052</v>
      </c>
      <c r="F28" s="88">
        <v>45</v>
      </c>
      <c r="G28" s="117">
        <f>'3.2. My wife''s Tax Calc'!H30</f>
        <v>87052299.68247503</v>
      </c>
      <c r="H28" s="117">
        <f t="shared" si="0"/>
        <v>27856735.89839201</v>
      </c>
      <c r="I28" s="122">
        <f t="shared" si="1"/>
        <v>1.8729812457271935</v>
      </c>
      <c r="J28" s="117">
        <f t="shared" si="2"/>
        <v>52175143.9048637</v>
      </c>
    </row>
    <row r="29" spans="4:10" x14ac:dyDescent="0.25">
      <c r="D29" s="73">
        <v>25</v>
      </c>
      <c r="E29" s="88">
        <v>2053</v>
      </c>
      <c r="F29" s="88">
        <v>46</v>
      </c>
      <c r="G29" s="117">
        <f>'3.2. My wife''s Tax Calc'!H31</f>
        <v>87513164.798441082</v>
      </c>
      <c r="H29" s="117">
        <f t="shared" si="0"/>
        <v>28004212.735501148</v>
      </c>
      <c r="I29" s="122">
        <f t="shared" si="1"/>
        <v>1.8009435055069167</v>
      </c>
      <c r="J29" s="117">
        <f t="shared" si="2"/>
        <v>50434005.052834876</v>
      </c>
    </row>
    <row r="30" spans="4:10" x14ac:dyDescent="0.25">
      <c r="D30" s="73">
        <v>26</v>
      </c>
      <c r="E30" s="88">
        <v>2054</v>
      </c>
      <c r="F30" s="88">
        <v>47</v>
      </c>
      <c r="G30" s="117">
        <f>'3.2. My wife''s Tax Calc'!H32</f>
        <v>87976469.788550481</v>
      </c>
      <c r="H30" s="117">
        <f t="shared" si="0"/>
        <v>28152470.332336154</v>
      </c>
      <c r="I30" s="122">
        <f t="shared" si="1"/>
        <v>1.7316764476028046</v>
      </c>
      <c r="J30" s="117">
        <f t="shared" si="2"/>
        <v>48750969.816343218</v>
      </c>
    </row>
    <row r="31" spans="4:10" x14ac:dyDescent="0.25">
      <c r="D31" s="73">
        <v>27</v>
      </c>
      <c r="E31" s="88">
        <v>2055</v>
      </c>
      <c r="F31" s="88">
        <v>48</v>
      </c>
      <c r="G31" s="117">
        <f>'3.2. My wife''s Tax Calc'!H33</f>
        <v>88442227.569783986</v>
      </c>
      <c r="H31" s="117">
        <f t="shared" si="0"/>
        <v>28301512.822330877</v>
      </c>
      <c r="I31" s="122">
        <f t="shared" si="1"/>
        <v>1.6650735073103891</v>
      </c>
      <c r="J31" s="117">
        <f t="shared" si="2"/>
        <v>47124099.217268422</v>
      </c>
    </row>
    <row r="32" spans="4:10" x14ac:dyDescent="0.25">
      <c r="D32" s="73">
        <v>28</v>
      </c>
      <c r="E32" s="88">
        <v>2056</v>
      </c>
      <c r="F32" s="88">
        <v>49</v>
      </c>
      <c r="G32" s="117">
        <f>'3.2. My wife''s Tax Calc'!H34</f>
        <v>88910451.127506375</v>
      </c>
      <c r="H32" s="117">
        <f t="shared" si="0"/>
        <v>28451344.36080204</v>
      </c>
      <c r="I32" s="122">
        <f t="shared" si="1"/>
        <v>1.6010322185676817</v>
      </c>
      <c r="J32" s="117">
        <f t="shared" si="2"/>
        <v>45551518.983207993</v>
      </c>
    </row>
    <row r="33" spans="4:10" x14ac:dyDescent="0.25">
      <c r="D33" s="73">
        <v>29</v>
      </c>
      <c r="E33" s="88">
        <v>2057</v>
      </c>
      <c r="F33" s="88">
        <v>50</v>
      </c>
      <c r="G33" s="117">
        <f>'3.2. My wife''s Tax Calc'!H35</f>
        <v>89381153.515828475</v>
      </c>
      <c r="H33" s="117">
        <f t="shared" si="0"/>
        <v>28601969.125065114</v>
      </c>
      <c r="I33" s="122">
        <f t="shared" si="1"/>
        <v>1.5394540563150785</v>
      </c>
      <c r="J33" s="117">
        <f t="shared" si="2"/>
        <v>44031417.388180129</v>
      </c>
    </row>
    <row r="34" spans="4:10" x14ac:dyDescent="0.25">
      <c r="D34" s="73">
        <v>30</v>
      </c>
      <c r="E34" s="88">
        <v>2058</v>
      </c>
      <c r="F34" s="88">
        <v>51</v>
      </c>
      <c r="G34" s="117">
        <f>'3.2. My wife''s Tax Calc'!H36</f>
        <v>89854347.857971102</v>
      </c>
      <c r="H34" s="117">
        <f t="shared" si="0"/>
        <v>28753391.314550754</v>
      </c>
      <c r="I34" s="122">
        <f t="shared" si="1"/>
        <v>1.4802442849183446</v>
      </c>
      <c r="J34" s="117">
        <f t="shared" si="2"/>
        <v>42562043.165384524</v>
      </c>
    </row>
    <row r="35" spans="4:10" x14ac:dyDescent="0.25">
      <c r="D35" s="73">
        <v>31</v>
      </c>
      <c r="E35" s="88">
        <v>2059</v>
      </c>
      <c r="F35" s="88">
        <v>52</v>
      </c>
      <c r="G35" s="117">
        <f>'3.2. My wife''s Tax Calc'!H37</f>
        <v>90330047.346630961</v>
      </c>
      <c r="H35" s="117">
        <f t="shared" si="0"/>
        <v>28905615.150921907</v>
      </c>
      <c r="I35" s="122">
        <f t="shared" si="1"/>
        <v>1.4233118124214852</v>
      </c>
      <c r="J35" s="117">
        <f t="shared" si="2"/>
        <v>41141703.489616603</v>
      </c>
    </row>
    <row r="36" spans="4:10" x14ac:dyDescent="0.25">
      <c r="D36" s="73">
        <v>32</v>
      </c>
      <c r="E36" s="88">
        <v>2060</v>
      </c>
      <c r="F36" s="88">
        <v>53</v>
      </c>
      <c r="G36" s="117">
        <f>'3.2. My wife''s Tax Calc'!H38</f>
        <v>90808265.244348422</v>
      </c>
      <c r="H36" s="117">
        <f t="shared" si="0"/>
        <v>29058644.878191497</v>
      </c>
      <c r="I36" s="122">
        <f t="shared" si="1"/>
        <v>1.3685690504052741</v>
      </c>
      <c r="J36" s="117">
        <f t="shared" si="2"/>
        <v>39768762.02701062</v>
      </c>
    </row>
    <row r="37" spans="4:10" x14ac:dyDescent="0.25">
      <c r="D37" s="73">
        <v>33</v>
      </c>
      <c r="E37" s="88">
        <v>2061</v>
      </c>
      <c r="F37" s="88">
        <v>54</v>
      </c>
      <c r="G37" s="117">
        <f>'3.2. My wife''s Tax Calc'!H39</f>
        <v>91289014.883877337</v>
      </c>
      <c r="H37" s="117">
        <f t="shared" si="0"/>
        <v>29212484.762840748</v>
      </c>
      <c r="I37" s="122">
        <f t="shared" si="1"/>
        <v>1.3159317792358405</v>
      </c>
      <c r="J37" s="117">
        <f t="shared" si="2"/>
        <v>38441637.049864903</v>
      </c>
    </row>
    <row r="38" spans="4:10" x14ac:dyDescent="0.25">
      <c r="D38" s="73">
        <v>34</v>
      </c>
      <c r="E38" s="88">
        <v>2062</v>
      </c>
      <c r="F38" s="88">
        <v>55</v>
      </c>
      <c r="G38" s="117">
        <f>'3.2. My wife''s Tax Calc'!H40</f>
        <v>91772309.66855669</v>
      </c>
      <c r="H38" s="117">
        <f t="shared" si="0"/>
        <v>29367139.093938142</v>
      </c>
      <c r="I38" s="122">
        <f t="shared" si="1"/>
        <v>1.2653190184960004</v>
      </c>
      <c r="J38" s="117">
        <f t="shared" si="2"/>
        <v>37158799.614377335</v>
      </c>
    </row>
    <row r="39" spans="4:10" x14ac:dyDescent="0.25">
      <c r="D39" s="73">
        <v>35</v>
      </c>
      <c r="E39" s="88">
        <v>2063</v>
      </c>
      <c r="F39" s="88">
        <v>56</v>
      </c>
      <c r="G39" s="117">
        <f>'3.2. My wife''s Tax Calc'!H41</f>
        <v>92258163.072684348</v>
      </c>
      <c r="H39" s="117">
        <f t="shared" si="0"/>
        <v>29522612.183258992</v>
      </c>
      <c r="I39" s="122">
        <f t="shared" si="1"/>
        <v>1.2166529024000003</v>
      </c>
      <c r="J39" s="117">
        <f t="shared" si="2"/>
        <v>35918771.799191661</v>
      </c>
    </row>
    <row r="40" spans="4:10" x14ac:dyDescent="0.25">
      <c r="D40" s="73">
        <v>36</v>
      </c>
      <c r="E40" s="88">
        <v>2064</v>
      </c>
      <c r="F40" s="88">
        <v>57</v>
      </c>
      <c r="G40" s="117">
        <f>'3.2. My wife''s Tax Calc'!H42</f>
        <v>92746588.641892686</v>
      </c>
      <c r="H40" s="117">
        <f t="shared" si="0"/>
        <v>29678908.36540566</v>
      </c>
      <c r="I40" s="122">
        <f t="shared" si="1"/>
        <v>1.1698585600000002</v>
      </c>
      <c r="J40" s="117">
        <f t="shared" si="2"/>
        <v>34720125.002725422</v>
      </c>
    </row>
    <row r="41" spans="4:10" x14ac:dyDescent="0.25">
      <c r="D41" s="73">
        <v>37</v>
      </c>
      <c r="E41" s="88">
        <v>2065</v>
      </c>
      <c r="F41" s="88">
        <v>58</v>
      </c>
      <c r="G41" s="117">
        <f>'3.2. My wife''s Tax Calc'!H43</f>
        <v>93237599.993526235</v>
      </c>
      <c r="H41" s="117">
        <f t="shared" si="0"/>
        <v>29836031.997928396</v>
      </c>
      <c r="I41" s="122">
        <f t="shared" si="1"/>
        <v>1.1248640000000001</v>
      </c>
      <c r="J41" s="117">
        <f t="shared" si="2"/>
        <v>33561478.297317728</v>
      </c>
    </row>
    <row r="42" spans="4:10" x14ac:dyDescent="0.25">
      <c r="D42" s="73">
        <v>38</v>
      </c>
      <c r="E42" s="88">
        <v>2066</v>
      </c>
      <c r="F42" s="88">
        <v>59</v>
      </c>
      <c r="G42" s="117">
        <f>'3.2. My wife''s Tax Calc'!H44</f>
        <v>93731210.817021385</v>
      </c>
      <c r="H42" s="117">
        <f t="shared" si="0"/>
        <v>29993987.461446844</v>
      </c>
      <c r="I42" s="122">
        <f t="shared" si="1"/>
        <v>1.0816000000000001</v>
      </c>
      <c r="J42" s="117">
        <f t="shared" si="2"/>
        <v>32441496.83830091</v>
      </c>
    </row>
    <row r="43" spans="4:10" x14ac:dyDescent="0.25">
      <c r="D43" s="73">
        <v>39</v>
      </c>
      <c r="E43" s="88">
        <v>2067</v>
      </c>
      <c r="F43" s="88">
        <v>60</v>
      </c>
      <c r="G43" s="117">
        <f>'3.2. My wife''s Tax Calc'!H45</f>
        <v>94227434.874287978</v>
      </c>
      <c r="H43" s="117">
        <f t="shared" si="0"/>
        <v>30152779.159772154</v>
      </c>
      <c r="I43" s="122">
        <f t="shared" si="1"/>
        <v>1.04</v>
      </c>
      <c r="J43" s="117">
        <f t="shared" si="2"/>
        <v>31358890.326163042</v>
      </c>
    </row>
    <row r="44" spans="4:10" x14ac:dyDescent="0.25">
      <c r="D44" s="73">
        <v>40</v>
      </c>
      <c r="E44" s="88">
        <v>2068</v>
      </c>
      <c r="F44" s="88">
        <v>61</v>
      </c>
      <c r="G44" s="117">
        <f>'3.2. My wife''s Tax Calc'!H46</f>
        <v>0</v>
      </c>
      <c r="H44" s="117">
        <f t="shared" si="0"/>
        <v>0</v>
      </c>
      <c r="I44" s="122">
        <v>1</v>
      </c>
      <c r="J44" s="117">
        <f t="shared" si="2"/>
        <v>0</v>
      </c>
    </row>
  </sheetData>
  <mergeCells count="10">
    <mergeCell ref="L10:N11"/>
    <mergeCell ref="O10:P11"/>
    <mergeCell ref="L12:N13"/>
    <mergeCell ref="O12:P13"/>
    <mergeCell ref="L4:N5"/>
    <mergeCell ref="O4:P5"/>
    <mergeCell ref="L6:N7"/>
    <mergeCell ref="O6:P7"/>
    <mergeCell ref="L8:N9"/>
    <mergeCell ref="O8:P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D3E1E-B93F-40A7-BA9D-6264092BE8D0}">
  <dimension ref="A1:P24"/>
  <sheetViews>
    <sheetView showGridLines="0" workbookViewId="0">
      <selection activeCell="O2" sqref="O2"/>
    </sheetView>
  </sheetViews>
  <sheetFormatPr defaultRowHeight="13.2" x14ac:dyDescent="0.25"/>
  <cols>
    <col min="1" max="1" width="11.88671875" style="86" bestFit="1" customWidth="1"/>
    <col min="2" max="2" width="7.5546875" style="86" customWidth="1"/>
    <col min="3" max="3" width="8.88671875" style="86"/>
    <col min="4" max="4" width="22.33203125" style="86" bestFit="1" customWidth="1"/>
    <col min="5" max="5" width="12.88671875" style="86" bestFit="1" customWidth="1"/>
    <col min="6" max="6" width="11.6640625" style="86" bestFit="1" customWidth="1"/>
    <col min="7" max="7" width="16.33203125" style="86" bestFit="1" customWidth="1"/>
    <col min="8" max="15" width="8.88671875" style="86"/>
    <col min="16" max="16" width="12.6640625" style="86" bestFit="1" customWidth="1"/>
    <col min="17" max="16384" width="8.88671875" style="86"/>
  </cols>
  <sheetData>
    <row r="1" spans="1:16" x14ac:dyDescent="0.25">
      <c r="A1" s="73" t="s">
        <v>356</v>
      </c>
      <c r="B1" s="73" t="s">
        <v>9</v>
      </c>
      <c r="C1" s="73" t="s">
        <v>6</v>
      </c>
      <c r="D1" s="73" t="s">
        <v>353</v>
      </c>
      <c r="E1" s="73" t="s">
        <v>314</v>
      </c>
      <c r="F1" s="73" t="s">
        <v>354</v>
      </c>
      <c r="G1" s="73" t="s">
        <v>355</v>
      </c>
      <c r="I1" s="353" t="s">
        <v>94</v>
      </c>
      <c r="J1" s="389"/>
      <c r="K1" s="354"/>
      <c r="L1" s="393">
        <f>SUM(G2:G24)</f>
        <v>9187612073.6722927</v>
      </c>
      <c r="M1" s="394"/>
      <c r="N1" s="394"/>
      <c r="P1" s="124" t="s">
        <v>413</v>
      </c>
    </row>
    <row r="2" spans="1:16" x14ac:dyDescent="0.25">
      <c r="A2" s="73">
        <v>41</v>
      </c>
      <c r="B2" s="88">
        <v>2064</v>
      </c>
      <c r="C2" s="88">
        <v>62</v>
      </c>
      <c r="D2" s="117">
        <f>'10.1. My retirement salary'!$O$12</f>
        <v>427342719.96764064</v>
      </c>
      <c r="E2" s="88">
        <v>2.0119999999999999E-2</v>
      </c>
      <c r="F2" s="88">
        <f>1-E2</f>
        <v>0.97987999999999997</v>
      </c>
      <c r="G2" s="125">
        <f>D2*F2</f>
        <v>418744584.44189167</v>
      </c>
      <c r="I2" s="390"/>
      <c r="J2" s="391"/>
      <c r="K2" s="392"/>
      <c r="L2" s="394"/>
      <c r="M2" s="394"/>
      <c r="N2" s="394"/>
      <c r="O2" s="152" t="s">
        <v>483</v>
      </c>
    </row>
    <row r="3" spans="1:16" x14ac:dyDescent="0.25">
      <c r="A3" s="73">
        <v>42</v>
      </c>
      <c r="B3" s="88">
        <v>2065</v>
      </c>
      <c r="C3" s="88">
        <v>63</v>
      </c>
      <c r="D3" s="117">
        <f>'10.1. My retirement salary'!$O$12</f>
        <v>427342719.96764064</v>
      </c>
      <c r="E3" s="88">
        <v>2.2089999999999999E-2</v>
      </c>
      <c r="F3" s="88">
        <f t="shared" ref="F3:F24" si="0">1-E3</f>
        <v>0.97791000000000006</v>
      </c>
      <c r="G3" s="125">
        <f t="shared" ref="G3:G24" si="1">D3*F3</f>
        <v>417902719.28355551</v>
      </c>
      <c r="I3" s="320"/>
      <c r="J3" s="321"/>
      <c r="K3" s="355"/>
      <c r="L3" s="394"/>
      <c r="M3" s="394"/>
      <c r="N3" s="394"/>
    </row>
    <row r="4" spans="1:16" x14ac:dyDescent="0.25">
      <c r="A4" s="73">
        <v>43</v>
      </c>
      <c r="B4" s="88">
        <v>2066</v>
      </c>
      <c r="C4" s="88">
        <v>64</v>
      </c>
      <c r="D4" s="117">
        <f>'10.1. My retirement salary'!$O$12</f>
        <v>427342719.96764064</v>
      </c>
      <c r="E4" s="88">
        <v>2.427E-2</v>
      </c>
      <c r="F4" s="88">
        <f t="shared" si="0"/>
        <v>0.97572999999999999</v>
      </c>
      <c r="G4" s="125">
        <f t="shared" si="1"/>
        <v>416971112.15402597</v>
      </c>
    </row>
    <row r="5" spans="1:16" x14ac:dyDescent="0.25">
      <c r="A5" s="73">
        <v>44</v>
      </c>
      <c r="B5" s="88">
        <v>2067</v>
      </c>
      <c r="C5" s="88">
        <v>65</v>
      </c>
      <c r="D5" s="117">
        <f>'10.1. My retirement salary'!$O$12</f>
        <v>427342719.96764064</v>
      </c>
      <c r="E5" s="88">
        <v>2.6620000000000001E-2</v>
      </c>
      <c r="F5" s="88">
        <f t="shared" si="0"/>
        <v>0.97338000000000002</v>
      </c>
      <c r="G5" s="125">
        <f t="shared" si="1"/>
        <v>415966856.76210207</v>
      </c>
    </row>
    <row r="6" spans="1:16" x14ac:dyDescent="0.25">
      <c r="A6" s="73">
        <v>45</v>
      </c>
      <c r="B6" s="88">
        <v>2068</v>
      </c>
      <c r="C6" s="88">
        <v>66</v>
      </c>
      <c r="D6" s="117">
        <f>'10.1. My retirement salary'!$O$12</f>
        <v>427342719.96764064</v>
      </c>
      <c r="E6" s="88">
        <v>2.913E-2</v>
      </c>
      <c r="F6" s="88">
        <f t="shared" si="0"/>
        <v>0.97087000000000001</v>
      </c>
      <c r="G6" s="125">
        <f t="shared" si="1"/>
        <v>414894226.53498328</v>
      </c>
    </row>
    <row r="7" spans="1:16" x14ac:dyDescent="0.25">
      <c r="A7" s="73">
        <v>46</v>
      </c>
      <c r="B7" s="88">
        <v>2069</v>
      </c>
      <c r="C7" s="88">
        <v>67</v>
      </c>
      <c r="D7" s="117">
        <f>'10.1. My retirement salary'!$O$12</f>
        <v>427342719.96764064</v>
      </c>
      <c r="E7" s="88">
        <v>3.1789999999999999E-2</v>
      </c>
      <c r="F7" s="88">
        <f t="shared" si="0"/>
        <v>0.96821000000000002</v>
      </c>
      <c r="G7" s="125">
        <f t="shared" si="1"/>
        <v>413757494.89986932</v>
      </c>
    </row>
    <row r="8" spans="1:16" x14ac:dyDescent="0.25">
      <c r="A8" s="73">
        <v>47</v>
      </c>
      <c r="B8" s="88">
        <v>2070</v>
      </c>
      <c r="C8" s="88">
        <v>68</v>
      </c>
      <c r="D8" s="117">
        <f>'10.1. My retirement salary'!$O$12</f>
        <v>427342719.96764064</v>
      </c>
      <c r="E8" s="88">
        <v>3.465E-2</v>
      </c>
      <c r="F8" s="88">
        <f t="shared" si="0"/>
        <v>0.96535000000000004</v>
      </c>
      <c r="G8" s="125">
        <f t="shared" si="1"/>
        <v>412535294.7207619</v>
      </c>
    </row>
    <row r="9" spans="1:16" x14ac:dyDescent="0.25">
      <c r="A9" s="73">
        <v>48</v>
      </c>
      <c r="B9" s="88">
        <v>2071</v>
      </c>
      <c r="C9" s="88">
        <v>69</v>
      </c>
      <c r="D9" s="117">
        <f>'10.1. My retirement salary'!$O$12</f>
        <v>427342719.96764064</v>
      </c>
      <c r="E9" s="88">
        <v>3.7810000000000003E-2</v>
      </c>
      <c r="F9" s="88">
        <f t="shared" si="0"/>
        <v>0.96218999999999999</v>
      </c>
      <c r="G9" s="125">
        <f t="shared" si="1"/>
        <v>411184891.72566414</v>
      </c>
    </row>
    <row r="10" spans="1:16" x14ac:dyDescent="0.25">
      <c r="A10" s="73">
        <v>49</v>
      </c>
      <c r="B10" s="88">
        <v>2072</v>
      </c>
      <c r="C10" s="88">
        <v>70</v>
      </c>
      <c r="D10" s="117">
        <f>'10.1. My retirement salary'!$O$12</f>
        <v>427342719.96764064</v>
      </c>
      <c r="E10" s="88">
        <v>4.1369999999999997E-2</v>
      </c>
      <c r="F10" s="88">
        <f t="shared" si="0"/>
        <v>0.95862999999999998</v>
      </c>
      <c r="G10" s="125">
        <f t="shared" si="1"/>
        <v>409663551.64257932</v>
      </c>
    </row>
    <row r="11" spans="1:16" x14ac:dyDescent="0.25">
      <c r="A11" s="73">
        <v>50</v>
      </c>
      <c r="B11" s="88">
        <v>2073</v>
      </c>
      <c r="C11" s="88">
        <v>71</v>
      </c>
      <c r="D11" s="117">
        <f>'10.1. My retirement salary'!$O$12</f>
        <v>427342719.96764064</v>
      </c>
      <c r="E11" s="88">
        <v>4.5429999999999998E-2</v>
      </c>
      <c r="F11" s="88">
        <f t="shared" si="0"/>
        <v>0.95457000000000003</v>
      </c>
      <c r="G11" s="125">
        <f t="shared" si="1"/>
        <v>407928540.19951075</v>
      </c>
    </row>
    <row r="12" spans="1:16" x14ac:dyDescent="0.25">
      <c r="A12" s="73">
        <v>51</v>
      </c>
      <c r="B12" s="88">
        <v>2074</v>
      </c>
      <c r="C12" s="88">
        <v>72</v>
      </c>
      <c r="D12" s="117">
        <f>'10.1. My retirement salary'!$O$12</f>
        <v>427342719.96764064</v>
      </c>
      <c r="E12" s="88">
        <v>5.008E-2</v>
      </c>
      <c r="F12" s="88">
        <f t="shared" si="0"/>
        <v>0.94991999999999999</v>
      </c>
      <c r="G12" s="125">
        <f t="shared" si="1"/>
        <v>405941396.55166119</v>
      </c>
    </row>
    <row r="13" spans="1:16" x14ac:dyDescent="0.25">
      <c r="A13" s="73">
        <v>52</v>
      </c>
      <c r="B13" s="88">
        <v>2075</v>
      </c>
      <c r="C13" s="88">
        <v>73</v>
      </c>
      <c r="D13" s="117">
        <f>'10.1. My retirement salary'!$O$12</f>
        <v>427342719.96764064</v>
      </c>
      <c r="E13" s="88">
        <v>5.534E-2</v>
      </c>
      <c r="F13" s="88">
        <f t="shared" si="0"/>
        <v>0.94466000000000006</v>
      </c>
      <c r="G13" s="125">
        <f t="shared" si="1"/>
        <v>403693573.84463143</v>
      </c>
    </row>
    <row r="14" spans="1:16" x14ac:dyDescent="0.25">
      <c r="A14" s="73">
        <v>53</v>
      </c>
      <c r="B14" s="88">
        <v>2076</v>
      </c>
      <c r="C14" s="88">
        <v>74</v>
      </c>
      <c r="D14" s="117">
        <f>'10.1. My retirement salary'!$O$12</f>
        <v>427342719.96764064</v>
      </c>
      <c r="E14" s="88">
        <v>6.1100000000000002E-2</v>
      </c>
      <c r="F14" s="88">
        <f t="shared" si="0"/>
        <v>0.93889999999999996</v>
      </c>
      <c r="G14" s="125">
        <f t="shared" si="1"/>
        <v>401232079.77761775</v>
      </c>
    </row>
    <row r="15" spans="1:16" x14ac:dyDescent="0.25">
      <c r="A15" s="73">
        <v>54</v>
      </c>
      <c r="B15" s="88">
        <v>2077</v>
      </c>
      <c r="C15" s="88">
        <v>75</v>
      </c>
      <c r="D15" s="117">
        <f>'10.1. My retirement salary'!$O$12</f>
        <v>427342719.96764064</v>
      </c>
      <c r="E15" s="88">
        <v>6.7250000000000004E-2</v>
      </c>
      <c r="F15" s="88">
        <f t="shared" si="0"/>
        <v>0.93274999999999997</v>
      </c>
      <c r="G15" s="125">
        <f t="shared" si="1"/>
        <v>398603922.04981679</v>
      </c>
    </row>
    <row r="16" spans="1:16" x14ac:dyDescent="0.25">
      <c r="A16" s="73">
        <v>55</v>
      </c>
      <c r="B16" s="88">
        <v>2078</v>
      </c>
      <c r="C16" s="88">
        <v>76</v>
      </c>
      <c r="D16" s="117">
        <f>'10.1. My retirement salary'!$O$12</f>
        <v>427342719.96764064</v>
      </c>
      <c r="E16" s="88">
        <v>7.3700000000000002E-2</v>
      </c>
      <c r="F16" s="88">
        <f t="shared" si="0"/>
        <v>0.92630000000000001</v>
      </c>
      <c r="G16" s="125">
        <f t="shared" si="1"/>
        <v>395847561.50602555</v>
      </c>
    </row>
    <row r="17" spans="1:7" x14ac:dyDescent="0.25">
      <c r="A17" s="73">
        <v>56</v>
      </c>
      <c r="B17" s="88">
        <v>2079</v>
      </c>
      <c r="C17" s="88">
        <v>77</v>
      </c>
      <c r="D17" s="117">
        <f>'10.1. My retirement salary'!$O$12</f>
        <v>427342719.96764064</v>
      </c>
      <c r="E17" s="88">
        <v>8.0369999999999997E-2</v>
      </c>
      <c r="F17" s="88">
        <f t="shared" si="0"/>
        <v>0.91962999999999995</v>
      </c>
      <c r="G17" s="125">
        <f t="shared" si="1"/>
        <v>392997185.56384134</v>
      </c>
    </row>
    <row r="18" spans="1:7" x14ac:dyDescent="0.25">
      <c r="A18" s="73">
        <v>57</v>
      </c>
      <c r="B18" s="88">
        <v>2080</v>
      </c>
      <c r="C18" s="88">
        <v>78</v>
      </c>
      <c r="D18" s="117">
        <f>'10.1. My retirement salary'!$O$12</f>
        <v>427342719.96764064</v>
      </c>
      <c r="E18" s="88">
        <v>8.7319999999999995E-2</v>
      </c>
      <c r="F18" s="88">
        <f t="shared" si="0"/>
        <v>0.91268000000000005</v>
      </c>
      <c r="G18" s="125">
        <f t="shared" si="1"/>
        <v>390027153.66006631</v>
      </c>
    </row>
    <row r="19" spans="1:7" x14ac:dyDescent="0.25">
      <c r="A19" s="73">
        <v>58</v>
      </c>
      <c r="B19" s="88">
        <v>2081</v>
      </c>
      <c r="C19" s="88">
        <v>79</v>
      </c>
      <c r="D19" s="117">
        <f>'10.1. My retirement salary'!$O$12</f>
        <v>427342719.96764064</v>
      </c>
      <c r="E19" s="88">
        <v>9.4759999999999997E-2</v>
      </c>
      <c r="F19" s="88">
        <f t="shared" si="0"/>
        <v>0.90524000000000004</v>
      </c>
      <c r="G19" s="125">
        <f t="shared" si="1"/>
        <v>386847723.82350701</v>
      </c>
    </row>
    <row r="20" spans="1:7" x14ac:dyDescent="0.25">
      <c r="A20" s="73">
        <v>59</v>
      </c>
      <c r="B20" s="88">
        <v>2082</v>
      </c>
      <c r="C20" s="88">
        <v>80</v>
      </c>
      <c r="D20" s="117">
        <f>'10.1. My retirement salary'!$O$12</f>
        <v>427342719.96764064</v>
      </c>
      <c r="E20" s="88">
        <v>0.10294</v>
      </c>
      <c r="F20" s="88">
        <f t="shared" si="0"/>
        <v>0.89705999999999997</v>
      </c>
      <c r="G20" s="125">
        <f t="shared" si="1"/>
        <v>383352060.37417167</v>
      </c>
    </row>
    <row r="21" spans="1:7" x14ac:dyDescent="0.25">
      <c r="A21" s="73">
        <v>60</v>
      </c>
      <c r="B21" s="88">
        <v>2083</v>
      </c>
      <c r="C21" s="88">
        <v>81</v>
      </c>
      <c r="D21" s="117">
        <f>'10.1. My retirement salary'!$O$12</f>
        <v>427342719.96764064</v>
      </c>
      <c r="E21" s="88">
        <v>0.11209</v>
      </c>
      <c r="F21" s="88">
        <f t="shared" si="0"/>
        <v>0.88790999999999998</v>
      </c>
      <c r="G21" s="125">
        <f t="shared" si="1"/>
        <v>379441874.48646778</v>
      </c>
    </row>
    <row r="22" spans="1:7" x14ac:dyDescent="0.25">
      <c r="A22" s="73">
        <v>61</v>
      </c>
      <c r="B22" s="88">
        <v>2084</v>
      </c>
      <c r="C22" s="88">
        <v>82</v>
      </c>
      <c r="D22" s="117">
        <f>'10.1. My retirement salary'!$O$12</f>
        <v>427342719.96764064</v>
      </c>
      <c r="E22" s="88">
        <v>0.12241</v>
      </c>
      <c r="F22" s="88">
        <f t="shared" si="0"/>
        <v>0.87758999999999998</v>
      </c>
      <c r="G22" s="125">
        <f t="shared" si="1"/>
        <v>375031697.61640173</v>
      </c>
    </row>
    <row r="23" spans="1:7" x14ac:dyDescent="0.25">
      <c r="A23" s="73">
        <v>62</v>
      </c>
      <c r="B23" s="88">
        <v>2085</v>
      </c>
      <c r="C23" s="88">
        <v>83</v>
      </c>
      <c r="D23" s="117">
        <f>'10.1. My retirement salary'!$O$12</f>
        <v>427342719.96764064</v>
      </c>
      <c r="E23" s="88">
        <v>0.13383999999999999</v>
      </c>
      <c r="F23" s="88">
        <f t="shared" si="0"/>
        <v>0.86616000000000004</v>
      </c>
      <c r="G23" s="125">
        <f>D23*F23</f>
        <v>370147170.32717162</v>
      </c>
    </row>
    <row r="24" spans="1:7" x14ac:dyDescent="0.25">
      <c r="A24" s="73">
        <v>63</v>
      </c>
      <c r="B24" s="88">
        <v>2086</v>
      </c>
      <c r="C24" s="88">
        <v>84</v>
      </c>
      <c r="D24" s="117">
        <f>'10.1. My retirement salary'!$O$12</f>
        <v>427342719.96764064</v>
      </c>
      <c r="E24" s="88">
        <v>0.14612</v>
      </c>
      <c r="F24" s="88">
        <f t="shared" si="0"/>
        <v>0.85387999999999997</v>
      </c>
      <c r="G24" s="125">
        <f t="shared" si="1"/>
        <v>364899401.72596896</v>
      </c>
    </row>
  </sheetData>
  <mergeCells count="2">
    <mergeCell ref="I1:K3"/>
    <mergeCell ref="L1:N3"/>
  </mergeCells>
  <hyperlinks>
    <hyperlink ref="P1" r:id="rId1" xr:uid="{46BE9726-047D-4B45-9727-102D5A00FE9C}"/>
    <hyperlink ref="O2" r:id="rId2" xr:uid="{B7CEA471-C16D-4A2D-82A1-602C916ADF11}"/>
  </hyperlinks>
  <pageMargins left="0.7" right="0.7" top="0.75" bottom="0.75" header="0.3" footer="0.3"/>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outlinePr summaryBelow="0" summaryRight="0"/>
  </sheetPr>
  <dimension ref="A1:M999"/>
  <sheetViews>
    <sheetView showGridLines="0" zoomScale="85" zoomScaleNormal="85" workbookViewId="0">
      <selection activeCell="H11" sqref="H11"/>
    </sheetView>
  </sheetViews>
  <sheetFormatPr defaultColWidth="12.6640625" defaultRowHeight="15.75" customHeight="1" x14ac:dyDescent="0.25"/>
  <cols>
    <col min="1" max="1" width="27.5546875" style="11" customWidth="1"/>
    <col min="2" max="2" width="24" style="11" customWidth="1"/>
    <col min="3" max="3" width="26.44140625" style="99" customWidth="1"/>
    <col min="4" max="4" width="20.88671875" style="86" customWidth="1"/>
    <col min="5" max="5" width="12.6640625" style="86"/>
    <col min="6" max="6" width="14.6640625" style="86" customWidth="1"/>
    <col min="7" max="7" width="23.33203125" style="11" bestFit="1" customWidth="1"/>
    <col min="8" max="8" width="18.21875" style="11" customWidth="1"/>
    <col min="9" max="9" width="19.5546875" style="99" customWidth="1"/>
    <col min="10" max="10" width="12.6640625" style="11"/>
    <col min="11" max="11" width="17.6640625" style="11" customWidth="1"/>
    <col min="12" max="12" width="15.109375" style="11" customWidth="1"/>
    <col min="13" max="13" width="23.88671875" style="11" customWidth="1"/>
    <col min="14" max="16384" width="12.6640625" style="11"/>
  </cols>
  <sheetData>
    <row r="1" spans="1:13" ht="49.2" customHeight="1" thickBot="1" x14ac:dyDescent="0.3">
      <c r="A1" s="395" t="s">
        <v>311</v>
      </c>
      <c r="B1" s="395"/>
      <c r="C1" s="395"/>
      <c r="D1" s="310" t="s">
        <v>313</v>
      </c>
      <c r="E1" s="310"/>
      <c r="F1" s="310"/>
      <c r="G1" s="395" t="s">
        <v>358</v>
      </c>
      <c r="H1" s="395"/>
      <c r="I1" s="395"/>
      <c r="J1" s="395"/>
      <c r="K1" s="395"/>
      <c r="L1" s="395"/>
      <c r="M1" s="395"/>
    </row>
    <row r="2" spans="1:13" ht="24" customHeight="1" thickBot="1" x14ac:dyDescent="0.35">
      <c r="A2" s="417" t="s">
        <v>108</v>
      </c>
      <c r="B2" s="418"/>
      <c r="C2" s="419"/>
      <c r="G2" s="126" t="s">
        <v>108</v>
      </c>
      <c r="H2" s="127"/>
      <c r="I2" s="128"/>
      <c r="J2" s="6"/>
      <c r="K2" s="106" t="s">
        <v>121</v>
      </c>
      <c r="L2" s="107"/>
      <c r="M2" s="107"/>
    </row>
    <row r="3" spans="1:13" ht="16.8" customHeight="1" thickBot="1" x14ac:dyDescent="0.4">
      <c r="A3" s="412" t="s">
        <v>109</v>
      </c>
      <c r="B3" s="413"/>
      <c r="C3" s="414"/>
      <c r="D3" s="405" t="s">
        <v>633</v>
      </c>
      <c r="E3" s="406"/>
      <c r="F3" s="407"/>
      <c r="G3" s="396" t="s">
        <v>122</v>
      </c>
      <c r="H3" s="396"/>
      <c r="I3" s="129">
        <f>I4+I5+I6</f>
        <v>37000000</v>
      </c>
      <c r="J3" s="6"/>
      <c r="K3" s="404" t="s">
        <v>88</v>
      </c>
      <c r="L3" s="404"/>
      <c r="M3" s="139">
        <v>0</v>
      </c>
    </row>
    <row r="4" spans="1:13" ht="31.8" customHeight="1" thickBot="1" x14ac:dyDescent="0.35">
      <c r="A4" s="415" t="s">
        <v>303</v>
      </c>
      <c r="B4" s="416"/>
      <c r="C4" s="97">
        <v>3000000</v>
      </c>
      <c r="D4" s="405"/>
      <c r="E4" s="406"/>
      <c r="F4" s="407"/>
      <c r="G4" s="400" t="s">
        <v>303</v>
      </c>
      <c r="H4" s="401"/>
      <c r="I4" s="130">
        <f>C4</f>
        <v>3000000</v>
      </c>
      <c r="J4" s="6"/>
      <c r="K4" s="404" t="s">
        <v>394</v>
      </c>
      <c r="L4" s="404"/>
      <c r="M4" s="289">
        <f>'7.7. Stage 9&amp;10&amp;11'!N862+'13. Insurance package'!G2</f>
        <v>4434935090.7330799</v>
      </c>
    </row>
    <row r="5" spans="1:13" ht="31.8" customHeight="1" thickBot="1" x14ac:dyDescent="0.35">
      <c r="A5" s="415" t="s">
        <v>304</v>
      </c>
      <c r="B5" s="416"/>
      <c r="C5" s="97">
        <v>4000000</v>
      </c>
      <c r="G5" s="400" t="s">
        <v>324</v>
      </c>
      <c r="H5" s="401"/>
      <c r="I5" s="130">
        <f>C5</f>
        <v>4000000</v>
      </c>
      <c r="J5" s="6"/>
      <c r="K5" s="404" t="s">
        <v>123</v>
      </c>
      <c r="L5" s="404"/>
      <c r="M5" s="289">
        <f>'8. Lifetime consumption'!N1</f>
        <v>11755517677.554171</v>
      </c>
    </row>
    <row r="6" spans="1:13" ht="31.8" customHeight="1" thickBot="1" x14ac:dyDescent="0.35">
      <c r="A6" s="415" t="s">
        <v>312</v>
      </c>
      <c r="B6" s="416"/>
      <c r="C6" s="97">
        <f>1000000*12*2.5</f>
        <v>30000000</v>
      </c>
      <c r="G6" s="402" t="s">
        <v>325</v>
      </c>
      <c r="H6" s="403"/>
      <c r="I6" s="131">
        <f>C6</f>
        <v>30000000</v>
      </c>
      <c r="J6" s="6"/>
      <c r="K6" s="398" t="s">
        <v>89</v>
      </c>
      <c r="L6" s="398"/>
      <c r="M6" s="289">
        <f>M3+M4+M5</f>
        <v>16190452768.287251</v>
      </c>
    </row>
    <row r="7" spans="1:13" ht="32.4" customHeight="1" thickBot="1" x14ac:dyDescent="0.4">
      <c r="A7" s="410" t="s">
        <v>110</v>
      </c>
      <c r="B7" s="411"/>
      <c r="C7" s="136">
        <f>SUM(C4:C6)</f>
        <v>37000000</v>
      </c>
      <c r="G7" s="423" t="s">
        <v>326</v>
      </c>
      <c r="H7" s="423"/>
      <c r="I7" s="132">
        <f>'9.1. My human capital'!J41</f>
        <v>20051721073.78616</v>
      </c>
      <c r="J7" s="6"/>
      <c r="K7" s="398" t="s">
        <v>124</v>
      </c>
      <c r="L7" s="398"/>
      <c r="M7" s="289">
        <f>I9-M6</f>
        <v>13085880379.1712</v>
      </c>
    </row>
    <row r="8" spans="1:13" ht="16.8" customHeight="1" thickBot="1" x14ac:dyDescent="0.4">
      <c r="A8" s="412" t="s">
        <v>307</v>
      </c>
      <c r="B8" s="413"/>
      <c r="C8" s="414"/>
      <c r="G8" s="423" t="s">
        <v>357</v>
      </c>
      <c r="H8" s="423"/>
      <c r="I8" s="132">
        <f>'11.My pension value'!$L$1</f>
        <v>9187612073.6722927</v>
      </c>
      <c r="J8" s="6"/>
      <c r="K8" s="99"/>
      <c r="L8" s="99"/>
      <c r="M8" s="99"/>
    </row>
    <row r="9" spans="1:13" ht="22.8" customHeight="1" thickBot="1" x14ac:dyDescent="0.35">
      <c r="A9" s="415" t="s">
        <v>308</v>
      </c>
      <c r="B9" s="416"/>
      <c r="C9" s="97">
        <v>5000000</v>
      </c>
      <c r="G9" s="399" t="s">
        <v>113</v>
      </c>
      <c r="H9" s="399"/>
      <c r="I9" s="129">
        <f>I3+I7+I8</f>
        <v>29276333147.45845</v>
      </c>
      <c r="J9" s="6"/>
      <c r="K9" s="99"/>
      <c r="L9" s="99"/>
      <c r="M9" s="99"/>
    </row>
    <row r="10" spans="1:13" ht="32.4" customHeight="1" thickBot="1" x14ac:dyDescent="0.4">
      <c r="A10" s="410" t="s">
        <v>309</v>
      </c>
      <c r="B10" s="411"/>
      <c r="C10" s="136">
        <f>SUM(C9)</f>
        <v>5000000</v>
      </c>
      <c r="J10" s="6"/>
      <c r="K10" s="99"/>
      <c r="L10" s="99"/>
      <c r="M10" s="99"/>
    </row>
    <row r="11" spans="1:13" ht="16.8" customHeight="1" thickBot="1" x14ac:dyDescent="0.4">
      <c r="A11" s="412" t="s">
        <v>111</v>
      </c>
      <c r="B11" s="413"/>
      <c r="C11" s="414"/>
      <c r="J11" s="6"/>
      <c r="K11" s="99"/>
      <c r="L11" s="99"/>
      <c r="M11" s="99"/>
    </row>
    <row r="12" spans="1:13" ht="22.8" customHeight="1" thickBot="1" x14ac:dyDescent="0.35">
      <c r="A12" s="415" t="s">
        <v>305</v>
      </c>
      <c r="B12" s="416"/>
      <c r="C12" s="97">
        <v>20000000</v>
      </c>
      <c r="J12" s="6"/>
      <c r="K12" s="99"/>
      <c r="L12" s="99"/>
      <c r="M12" s="99"/>
    </row>
    <row r="13" spans="1:13" ht="36.6" customHeight="1" thickBot="1" x14ac:dyDescent="0.35">
      <c r="A13" s="415" t="s">
        <v>306</v>
      </c>
      <c r="B13" s="416"/>
      <c r="C13" s="97">
        <v>4000000</v>
      </c>
      <c r="J13" s="6"/>
    </row>
    <row r="14" spans="1:13" ht="31.8" customHeight="1" thickBot="1" x14ac:dyDescent="0.35">
      <c r="A14" s="415" t="s">
        <v>310</v>
      </c>
      <c r="B14" s="416"/>
      <c r="C14" s="97">
        <v>15000000</v>
      </c>
      <c r="J14" s="6"/>
      <c r="K14" s="6"/>
      <c r="L14" s="6"/>
      <c r="M14" s="6"/>
    </row>
    <row r="15" spans="1:13" ht="32.4" customHeight="1" thickBot="1" x14ac:dyDescent="0.4">
      <c r="A15" s="410" t="s">
        <v>112</v>
      </c>
      <c r="B15" s="411"/>
      <c r="C15" s="136">
        <f>SUM(C12:C14)</f>
        <v>39000000</v>
      </c>
      <c r="J15" s="6"/>
      <c r="K15" s="6"/>
      <c r="L15" s="6"/>
      <c r="M15" s="298"/>
    </row>
    <row r="16" spans="1:13" ht="27" customHeight="1" thickBot="1" x14ac:dyDescent="0.35">
      <c r="A16" s="408" t="s">
        <v>113</v>
      </c>
      <c r="B16" s="409"/>
      <c r="C16" s="98">
        <f>C7+C10+C15</f>
        <v>81000000</v>
      </c>
      <c r="J16" s="6"/>
    </row>
    <row r="17" spans="1:10" ht="16.2" customHeight="1" thickBot="1" x14ac:dyDescent="0.35">
      <c r="A17" s="420" t="s">
        <v>114</v>
      </c>
      <c r="B17" s="421"/>
      <c r="C17" s="422"/>
      <c r="G17" s="397"/>
      <c r="H17" s="397"/>
      <c r="I17" s="105"/>
      <c r="J17" s="6"/>
    </row>
    <row r="18" spans="1:10" ht="16.8" customHeight="1" thickBot="1" x14ac:dyDescent="0.4">
      <c r="A18" s="412" t="s">
        <v>115</v>
      </c>
      <c r="B18" s="413"/>
      <c r="C18" s="414"/>
    </row>
    <row r="19" spans="1:10" ht="31.8" customHeight="1" thickBot="1" x14ac:dyDescent="0.35">
      <c r="A19" s="415" t="s">
        <v>116</v>
      </c>
      <c r="B19" s="416"/>
      <c r="C19" s="97">
        <v>0</v>
      </c>
    </row>
    <row r="20" spans="1:10" ht="32.4" customHeight="1" thickBot="1" x14ac:dyDescent="0.4">
      <c r="A20" s="410" t="s">
        <v>117</v>
      </c>
      <c r="B20" s="411"/>
      <c r="C20" s="136">
        <f>SUM(C19)</f>
        <v>0</v>
      </c>
    </row>
    <row r="21" spans="1:10" ht="20.25" customHeight="1" thickBot="1" x14ac:dyDescent="0.4">
      <c r="A21" s="412" t="s">
        <v>118</v>
      </c>
      <c r="B21" s="413"/>
      <c r="C21" s="414"/>
    </row>
    <row r="22" spans="1:10" ht="15.6" customHeight="1" thickBot="1" x14ac:dyDescent="0.35">
      <c r="A22" s="415" t="s">
        <v>119</v>
      </c>
      <c r="B22" s="416"/>
      <c r="C22" s="97">
        <v>0</v>
      </c>
    </row>
    <row r="23" spans="1:10" ht="32.4" customHeight="1" thickBot="1" x14ac:dyDescent="0.4">
      <c r="A23" s="410" t="s">
        <v>120</v>
      </c>
      <c r="B23" s="411"/>
      <c r="C23" s="136">
        <f>SUM(C22)</f>
        <v>0</v>
      </c>
    </row>
    <row r="24" spans="1:10" ht="27" customHeight="1" thickBot="1" x14ac:dyDescent="0.35">
      <c r="A24" s="408" t="s">
        <v>89</v>
      </c>
      <c r="B24" s="409"/>
      <c r="C24" s="98">
        <f>C20+C23</f>
        <v>0</v>
      </c>
    </row>
    <row r="25" spans="1:10" ht="25.2" customHeight="1" thickBot="1" x14ac:dyDescent="0.35">
      <c r="A25" s="408" t="s">
        <v>90</v>
      </c>
      <c r="B25" s="409"/>
      <c r="C25" s="98">
        <f>C16-C24</f>
        <v>81000000</v>
      </c>
    </row>
    <row r="26" spans="1:10" ht="13.2" x14ac:dyDescent="0.25"/>
    <row r="27" spans="1:10" ht="13.2" x14ac:dyDescent="0.25"/>
    <row r="28" spans="1:10" ht="13.2" x14ac:dyDescent="0.25"/>
    <row r="29" spans="1:10" ht="13.2" x14ac:dyDescent="0.25"/>
    <row r="30" spans="1:10" ht="13.2" x14ac:dyDescent="0.25"/>
    <row r="31" spans="1:10" ht="13.2" x14ac:dyDescent="0.25"/>
    <row r="32" spans="1:10"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sheetData>
  <mergeCells count="41">
    <mergeCell ref="A16:B16"/>
    <mergeCell ref="A17:C17"/>
    <mergeCell ref="A18:C18"/>
    <mergeCell ref="K3:L3"/>
    <mergeCell ref="A19:B19"/>
    <mergeCell ref="K6:L6"/>
    <mergeCell ref="K5:L5"/>
    <mergeCell ref="A5:B5"/>
    <mergeCell ref="A8:C8"/>
    <mergeCell ref="A9:B9"/>
    <mergeCell ref="A10:B10"/>
    <mergeCell ref="A6:B6"/>
    <mergeCell ref="G7:H7"/>
    <mergeCell ref="G8:H8"/>
    <mergeCell ref="A11:C11"/>
    <mergeCell ref="A12:B12"/>
    <mergeCell ref="A13:B13"/>
    <mergeCell ref="A14:B14"/>
    <mergeCell ref="A15:B15"/>
    <mergeCell ref="A1:C1"/>
    <mergeCell ref="A2:C2"/>
    <mergeCell ref="A3:C3"/>
    <mergeCell ref="A4:B4"/>
    <mergeCell ref="A7:B7"/>
    <mergeCell ref="A25:B25"/>
    <mergeCell ref="A20:B20"/>
    <mergeCell ref="A21:C21"/>
    <mergeCell ref="A22:B22"/>
    <mergeCell ref="A23:B23"/>
    <mergeCell ref="A24:B24"/>
    <mergeCell ref="D1:F1"/>
    <mergeCell ref="G1:M1"/>
    <mergeCell ref="G3:H3"/>
    <mergeCell ref="G17:H17"/>
    <mergeCell ref="K7:L7"/>
    <mergeCell ref="G9:H9"/>
    <mergeCell ref="G4:H4"/>
    <mergeCell ref="G5:H5"/>
    <mergeCell ref="G6:H6"/>
    <mergeCell ref="K4:L4"/>
    <mergeCell ref="D3:F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BB61D-3E0B-4C6D-9504-0C27988E46CC}">
  <dimension ref="A1:J7"/>
  <sheetViews>
    <sheetView showGridLines="0" topLeftCell="A2" workbookViewId="0">
      <selection activeCell="A2" sqref="A2:B2"/>
    </sheetView>
  </sheetViews>
  <sheetFormatPr defaultRowHeight="13.2" x14ac:dyDescent="0.25"/>
  <cols>
    <col min="1" max="1" width="17.21875" style="86" customWidth="1"/>
    <col min="2" max="2" width="8.88671875" style="86" customWidth="1"/>
    <col min="3" max="3" width="22.33203125" style="86" customWidth="1"/>
    <col min="4" max="5" width="8.88671875" style="86"/>
    <col min="6" max="6" width="13.88671875" style="86" bestFit="1" customWidth="1"/>
    <col min="7" max="7" width="27.77734375" style="86" bestFit="1" customWidth="1"/>
    <col min="8" max="8" width="33.77734375" style="86" bestFit="1" customWidth="1"/>
    <col min="9" max="9" width="27" style="86" bestFit="1" customWidth="1"/>
    <col min="10" max="10" width="17.5546875" style="86" bestFit="1" customWidth="1"/>
    <col min="11" max="16384" width="8.88671875" style="86"/>
  </cols>
  <sheetData>
    <row r="1" spans="1:10" ht="28.8" customHeight="1" x14ac:dyDescent="0.25">
      <c r="C1" s="305" t="s">
        <v>559</v>
      </c>
      <c r="D1" s="305"/>
      <c r="E1" s="305"/>
      <c r="F1" s="79" t="s">
        <v>105</v>
      </c>
      <c r="G1" s="79" t="s">
        <v>414</v>
      </c>
      <c r="H1" s="79" t="s">
        <v>415</v>
      </c>
      <c r="I1" s="79" t="s">
        <v>416</v>
      </c>
      <c r="J1" s="79" t="s">
        <v>106</v>
      </c>
    </row>
    <row r="2" spans="1:10" ht="56.4" customHeight="1" x14ac:dyDescent="0.25">
      <c r="A2" s="424" t="s">
        <v>418</v>
      </c>
      <c r="B2" s="425"/>
      <c r="C2" s="305" t="s">
        <v>560</v>
      </c>
      <c r="D2" s="305"/>
      <c r="E2" s="305"/>
      <c r="F2" s="123">
        <v>1350000000</v>
      </c>
      <c r="G2" s="123">
        <v>2700000000</v>
      </c>
      <c r="H2" s="123">
        <v>44995000</v>
      </c>
      <c r="I2" s="137">
        <v>10</v>
      </c>
      <c r="J2" s="123">
        <f t="shared" ref="J2" si="0">H2*I2</f>
        <v>449950000</v>
      </c>
    </row>
    <row r="5" spans="1:10" x14ac:dyDescent="0.25">
      <c r="H5" s="79" t="s">
        <v>561</v>
      </c>
      <c r="I5" s="88" t="s">
        <v>562</v>
      </c>
    </row>
    <row r="6" spans="1:10" x14ac:dyDescent="0.25">
      <c r="H6" s="79" t="s">
        <v>563</v>
      </c>
      <c r="I6" s="88" t="s">
        <v>564</v>
      </c>
    </row>
    <row r="7" spans="1:10" x14ac:dyDescent="0.25">
      <c r="H7" s="79" t="s">
        <v>647</v>
      </c>
      <c r="I7" s="117">
        <f>H2*2/12</f>
        <v>7499166.666666667</v>
      </c>
    </row>
  </sheetData>
  <mergeCells count="3">
    <mergeCell ref="C2:E2"/>
    <mergeCell ref="C1:E1"/>
    <mergeCell ref="A2:B2"/>
  </mergeCells>
  <hyperlinks>
    <hyperlink ref="A2" r:id="rId1" xr:uid="{453CE7C2-A90B-4E9F-9C81-9CEB369770F5}"/>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17B5A-A2E9-4AC9-BAE5-120EA82F9E73}">
  <dimension ref="A1:M30"/>
  <sheetViews>
    <sheetView showGridLines="0" workbookViewId="0">
      <selection activeCell="O14" sqref="O14"/>
    </sheetView>
  </sheetViews>
  <sheetFormatPr defaultRowHeight="13.2" x14ac:dyDescent="0.25"/>
  <cols>
    <col min="1" max="1" width="14.33203125" style="86" bestFit="1" customWidth="1"/>
    <col min="2" max="7" width="8.88671875" style="86"/>
    <col min="8" max="8" width="16.21875" style="86" bestFit="1" customWidth="1"/>
    <col min="9" max="13" width="18.77734375" style="86" bestFit="1" customWidth="1"/>
    <col min="14" max="16384" width="8.88671875" style="86"/>
  </cols>
  <sheetData>
    <row r="1" spans="1:13" x14ac:dyDescent="0.25">
      <c r="A1" s="426" t="s">
        <v>636</v>
      </c>
      <c r="B1" s="426"/>
      <c r="C1" s="426"/>
      <c r="D1" s="426"/>
      <c r="E1" s="426"/>
      <c r="F1" s="426"/>
      <c r="G1" s="426"/>
      <c r="H1" s="426"/>
      <c r="I1" s="426"/>
      <c r="J1" s="426"/>
      <c r="K1" s="426"/>
      <c r="L1" s="426"/>
      <c r="M1" s="426"/>
    </row>
    <row r="2" spans="1:13" x14ac:dyDescent="0.25">
      <c r="A2" s="319" t="s">
        <v>451</v>
      </c>
      <c r="B2" s="319"/>
      <c r="C2" s="319"/>
      <c r="D2" s="319"/>
      <c r="E2" s="319"/>
      <c r="F2" s="319"/>
      <c r="H2" s="305" t="s">
        <v>445</v>
      </c>
      <c r="I2" s="305"/>
      <c r="J2" s="305"/>
      <c r="K2" s="305"/>
      <c r="L2" s="305"/>
      <c r="M2" s="305"/>
    </row>
    <row r="3" spans="1:13" x14ac:dyDescent="0.25">
      <c r="A3" s="73" t="s">
        <v>437</v>
      </c>
      <c r="B3" s="73" t="s">
        <v>104</v>
      </c>
      <c r="C3" s="73" t="s">
        <v>438</v>
      </c>
      <c r="D3" s="73" t="s">
        <v>439</v>
      </c>
      <c r="E3" s="73" t="s">
        <v>440</v>
      </c>
      <c r="F3" s="73" t="s">
        <v>441</v>
      </c>
      <c r="H3" s="79" t="s">
        <v>96</v>
      </c>
      <c r="I3" s="79" t="s">
        <v>432</v>
      </c>
      <c r="J3" s="79" t="s">
        <v>433</v>
      </c>
      <c r="K3" s="79" t="s">
        <v>434</v>
      </c>
      <c r="L3" s="79" t="s">
        <v>435</v>
      </c>
      <c r="M3" s="79" t="s">
        <v>436</v>
      </c>
    </row>
    <row r="4" spans="1:13" x14ac:dyDescent="0.25">
      <c r="A4" s="73" t="s">
        <v>442</v>
      </c>
      <c r="B4" s="73" t="s">
        <v>107</v>
      </c>
      <c r="C4" s="73" t="s">
        <v>107</v>
      </c>
      <c r="D4" s="88"/>
      <c r="E4" s="88"/>
      <c r="F4" s="88"/>
      <c r="H4" s="79" t="s">
        <v>431</v>
      </c>
      <c r="I4" s="121">
        <v>0.05</v>
      </c>
      <c r="J4" s="121">
        <v>0.05</v>
      </c>
      <c r="K4" s="121">
        <v>0.1</v>
      </c>
      <c r="L4" s="121">
        <v>0.15</v>
      </c>
      <c r="M4" s="121">
        <v>0.5</v>
      </c>
    </row>
    <row r="5" spans="1:13" x14ac:dyDescent="0.25">
      <c r="A5" s="73" t="s">
        <v>443</v>
      </c>
      <c r="B5" s="88"/>
      <c r="C5" s="88"/>
      <c r="D5" s="73" t="s">
        <v>107</v>
      </c>
      <c r="E5" s="73" t="s">
        <v>107</v>
      </c>
      <c r="F5" s="88"/>
      <c r="H5" s="79" t="s">
        <v>100</v>
      </c>
      <c r="I5" s="121">
        <v>0.1</v>
      </c>
      <c r="J5" s="121">
        <v>0.1</v>
      </c>
      <c r="K5" s="121">
        <v>0.25</v>
      </c>
      <c r="L5" s="121">
        <v>0.25</v>
      </c>
      <c r="M5" s="121">
        <v>0.1</v>
      </c>
    </row>
    <row r="6" spans="1:13" x14ac:dyDescent="0.25">
      <c r="A6" s="73" t="s">
        <v>444</v>
      </c>
      <c r="B6" s="88"/>
      <c r="C6" s="88"/>
      <c r="D6" s="88"/>
      <c r="E6" s="88"/>
      <c r="F6" s="73" t="s">
        <v>107</v>
      </c>
      <c r="H6" s="79" t="s">
        <v>420</v>
      </c>
      <c r="I6" s="121">
        <v>0.2</v>
      </c>
      <c r="J6" s="121">
        <v>0.15</v>
      </c>
      <c r="K6" s="121">
        <v>0.3</v>
      </c>
      <c r="L6" s="121">
        <v>0.35</v>
      </c>
      <c r="M6" s="121">
        <v>0.2</v>
      </c>
    </row>
    <row r="7" spans="1:13" x14ac:dyDescent="0.25">
      <c r="H7" s="79" t="s">
        <v>452</v>
      </c>
      <c r="I7" s="121">
        <f>1-I8-I4-I5-I6</f>
        <v>0.34999999999999992</v>
      </c>
      <c r="J7" s="121">
        <f t="shared" ref="J7:M7" si="0">1-J8-J4-J5-J6</f>
        <v>0.39999999999999991</v>
      </c>
      <c r="K7" s="121">
        <f t="shared" si="0"/>
        <v>0.15000000000000008</v>
      </c>
      <c r="L7" s="121">
        <f t="shared" si="0"/>
        <v>9.9999999999999978E-2</v>
      </c>
      <c r="M7" s="121">
        <f t="shared" si="0"/>
        <v>0.10000000000000003</v>
      </c>
    </row>
    <row r="8" spans="1:13" x14ac:dyDescent="0.25">
      <c r="H8" s="79" t="s">
        <v>457</v>
      </c>
      <c r="I8" s="121">
        <v>0.3</v>
      </c>
      <c r="J8" s="121">
        <v>0.3</v>
      </c>
      <c r="K8" s="121">
        <v>0.2</v>
      </c>
      <c r="L8" s="121">
        <v>0.15</v>
      </c>
      <c r="M8" s="121">
        <v>0.1</v>
      </c>
    </row>
    <row r="9" spans="1:13" x14ac:dyDescent="0.25">
      <c r="I9" s="133">
        <f>SUM(I4:I8)</f>
        <v>1</v>
      </c>
      <c r="J9" s="133">
        <f>SUM(J4:J8)</f>
        <v>1</v>
      </c>
      <c r="K9" s="133">
        <f>SUM(K4:K8)</f>
        <v>1</v>
      </c>
      <c r="L9" s="133">
        <f>SUM(L4:L8)</f>
        <v>1</v>
      </c>
      <c r="M9" s="133">
        <f>SUM(M4:M8)</f>
        <v>1.0000000000000002</v>
      </c>
    </row>
    <row r="11" spans="1:13" x14ac:dyDescent="0.25">
      <c r="A11" s="427" t="s">
        <v>637</v>
      </c>
      <c r="B11" s="427"/>
      <c r="C11" s="427"/>
      <c r="D11" s="427"/>
      <c r="E11" s="427"/>
      <c r="F11" s="427"/>
      <c r="G11" s="427"/>
      <c r="H11" s="427"/>
      <c r="I11" s="427"/>
      <c r="J11" s="427"/>
      <c r="K11" s="427"/>
      <c r="L11" s="427"/>
      <c r="M11" s="427"/>
    </row>
    <row r="12" spans="1:13" x14ac:dyDescent="0.25">
      <c r="A12" s="319" t="s">
        <v>451</v>
      </c>
      <c r="B12" s="319"/>
      <c r="C12" s="319"/>
      <c r="D12" s="319"/>
      <c r="E12" s="319"/>
      <c r="F12" s="319"/>
      <c r="H12" s="305" t="s">
        <v>445</v>
      </c>
      <c r="I12" s="305"/>
      <c r="J12" s="305"/>
      <c r="K12" s="305"/>
      <c r="L12" s="305"/>
      <c r="M12" s="305"/>
    </row>
    <row r="13" spans="1:13" x14ac:dyDescent="0.25">
      <c r="A13" s="73" t="s">
        <v>437</v>
      </c>
      <c r="B13" s="73" t="s">
        <v>104</v>
      </c>
      <c r="C13" s="73" t="s">
        <v>438</v>
      </c>
      <c r="D13" s="73" t="s">
        <v>439</v>
      </c>
      <c r="E13" s="73" t="s">
        <v>440</v>
      </c>
      <c r="F13" s="73" t="s">
        <v>441</v>
      </c>
      <c r="H13" s="79" t="s">
        <v>96</v>
      </c>
      <c r="I13" s="79" t="s">
        <v>432</v>
      </c>
      <c r="J13" s="79" t="s">
        <v>433</v>
      </c>
      <c r="K13" s="79" t="s">
        <v>434</v>
      </c>
      <c r="L13" s="79" t="s">
        <v>435</v>
      </c>
      <c r="M13" s="79" t="s">
        <v>436</v>
      </c>
    </row>
    <row r="14" spans="1:13" x14ac:dyDescent="0.25">
      <c r="A14" s="73" t="s">
        <v>442</v>
      </c>
      <c r="B14" s="73" t="s">
        <v>107</v>
      </c>
      <c r="C14" s="73" t="s">
        <v>107</v>
      </c>
      <c r="D14" s="73" t="s">
        <v>107</v>
      </c>
      <c r="E14" s="300"/>
      <c r="F14" s="300"/>
      <c r="H14" s="79" t="s">
        <v>431</v>
      </c>
      <c r="I14" s="121">
        <v>0</v>
      </c>
      <c r="J14" s="121">
        <v>0</v>
      </c>
      <c r="K14" s="121">
        <v>0.1</v>
      </c>
      <c r="L14" s="121">
        <v>0.15</v>
      </c>
      <c r="M14" s="121">
        <v>0.6</v>
      </c>
    </row>
    <row r="15" spans="1:13" x14ac:dyDescent="0.25">
      <c r="A15" s="73" t="s">
        <v>443</v>
      </c>
      <c r="B15" s="300"/>
      <c r="C15" s="300"/>
      <c r="D15" s="299"/>
      <c r="E15" s="73" t="s">
        <v>107</v>
      </c>
      <c r="F15" s="300"/>
      <c r="H15" s="79" t="s">
        <v>100</v>
      </c>
      <c r="I15" s="121">
        <v>0.05</v>
      </c>
      <c r="J15" s="121">
        <v>0</v>
      </c>
      <c r="K15" s="121">
        <v>0.05</v>
      </c>
      <c r="L15" s="121">
        <v>0.1</v>
      </c>
      <c r="M15" s="121">
        <v>0.15</v>
      </c>
    </row>
    <row r="16" spans="1:13" x14ac:dyDescent="0.25">
      <c r="A16" s="73" t="s">
        <v>444</v>
      </c>
      <c r="B16" s="300"/>
      <c r="C16" s="300"/>
      <c r="D16" s="300"/>
      <c r="E16" s="300"/>
      <c r="F16" s="73" t="s">
        <v>107</v>
      </c>
      <c r="H16" s="79" t="s">
        <v>420</v>
      </c>
      <c r="I16" s="121">
        <v>0.1</v>
      </c>
      <c r="J16" s="121">
        <v>0.05</v>
      </c>
      <c r="K16" s="121">
        <v>0.05</v>
      </c>
      <c r="L16" s="121">
        <v>0.4</v>
      </c>
      <c r="M16" s="121">
        <v>0.15</v>
      </c>
    </row>
    <row r="17" spans="1:13" x14ac:dyDescent="0.25">
      <c r="H17" s="79" t="s">
        <v>452</v>
      </c>
      <c r="I17" s="121">
        <f>1-I18-I14-I15-I16</f>
        <v>0.44999999999999996</v>
      </c>
      <c r="J17" s="121">
        <f t="shared" ref="J17:L17" si="1">1-J18-J14-J15-J16</f>
        <v>0.5</v>
      </c>
      <c r="K17" s="121">
        <f t="shared" si="1"/>
        <v>0.4</v>
      </c>
      <c r="L17" s="121">
        <f t="shared" si="1"/>
        <v>0.19999999999999996</v>
      </c>
      <c r="M17" s="121">
        <v>0.05</v>
      </c>
    </row>
    <row r="18" spans="1:13" x14ac:dyDescent="0.25">
      <c r="H18" s="79" t="s">
        <v>457</v>
      </c>
      <c r="I18" s="121">
        <v>0.4</v>
      </c>
      <c r="J18" s="121">
        <v>0.45</v>
      </c>
      <c r="K18" s="121">
        <v>0.4</v>
      </c>
      <c r="L18" s="121">
        <v>0.15</v>
      </c>
      <c r="M18" s="121">
        <v>0.05</v>
      </c>
    </row>
    <row r="19" spans="1:13" x14ac:dyDescent="0.25">
      <c r="I19" s="133">
        <f>SUM(I14:I18)</f>
        <v>1</v>
      </c>
      <c r="J19" s="133">
        <f>SUM(J14:J18)</f>
        <v>1</v>
      </c>
      <c r="K19" s="133">
        <f>SUM(K14:K18)</f>
        <v>1</v>
      </c>
      <c r="L19" s="133">
        <f>SUM(L14:L18)</f>
        <v>1</v>
      </c>
      <c r="M19" s="133">
        <f>SUM(M14:M18)</f>
        <v>1</v>
      </c>
    </row>
    <row r="22" spans="1:13" x14ac:dyDescent="0.25">
      <c r="A22" s="428" t="s">
        <v>638</v>
      </c>
      <c r="B22" s="428"/>
      <c r="C22" s="428"/>
      <c r="D22" s="428"/>
      <c r="E22" s="428"/>
      <c r="F22" s="428"/>
      <c r="G22" s="428"/>
      <c r="H22" s="428"/>
      <c r="I22" s="428"/>
      <c r="J22" s="428"/>
      <c r="K22" s="428"/>
      <c r="L22" s="428"/>
      <c r="M22" s="428"/>
    </row>
    <row r="23" spans="1:13" x14ac:dyDescent="0.25">
      <c r="A23" s="319" t="s">
        <v>451</v>
      </c>
      <c r="B23" s="319"/>
      <c r="C23" s="319"/>
      <c r="D23" s="319"/>
      <c r="E23" s="319"/>
      <c r="F23" s="319"/>
      <c r="H23" s="305" t="s">
        <v>445</v>
      </c>
      <c r="I23" s="305"/>
      <c r="J23" s="305"/>
      <c r="K23" s="305"/>
      <c r="L23" s="305"/>
      <c r="M23" s="305"/>
    </row>
    <row r="24" spans="1:13" x14ac:dyDescent="0.25">
      <c r="A24" s="73" t="s">
        <v>437</v>
      </c>
      <c r="B24" s="73" t="s">
        <v>104</v>
      </c>
      <c r="C24" s="73" t="s">
        <v>438</v>
      </c>
      <c r="D24" s="73" t="s">
        <v>439</v>
      </c>
      <c r="E24" s="73" t="s">
        <v>440</v>
      </c>
      <c r="F24" s="73" t="s">
        <v>441</v>
      </c>
      <c r="H24" s="79" t="s">
        <v>96</v>
      </c>
      <c r="I24" s="79" t="s">
        <v>432</v>
      </c>
      <c r="J24" s="79" t="s">
        <v>433</v>
      </c>
      <c r="K24" s="79" t="s">
        <v>434</v>
      </c>
      <c r="L24" s="79" t="s">
        <v>435</v>
      </c>
      <c r="M24" s="79" t="s">
        <v>436</v>
      </c>
    </row>
    <row r="25" spans="1:13" x14ac:dyDescent="0.25">
      <c r="A25" s="73" t="s">
        <v>442</v>
      </c>
      <c r="B25" s="299"/>
      <c r="C25" s="299"/>
      <c r="D25" s="300"/>
      <c r="E25" s="300"/>
      <c r="F25" s="300"/>
      <c r="H25" s="79" t="s">
        <v>431</v>
      </c>
      <c r="I25" s="121">
        <v>0.15</v>
      </c>
      <c r="J25" s="121">
        <v>0.1</v>
      </c>
      <c r="K25" s="121">
        <v>0.15</v>
      </c>
      <c r="L25" s="121">
        <v>0.15</v>
      </c>
      <c r="M25" s="121">
        <v>0.4</v>
      </c>
    </row>
    <row r="26" spans="1:13" x14ac:dyDescent="0.25">
      <c r="A26" s="73" t="s">
        <v>443</v>
      </c>
      <c r="B26" s="73" t="s">
        <v>107</v>
      </c>
      <c r="C26" s="73" t="s">
        <v>107</v>
      </c>
      <c r="D26" s="299"/>
      <c r="E26" s="299"/>
      <c r="F26" s="300"/>
      <c r="H26" s="79" t="s">
        <v>100</v>
      </c>
      <c r="I26" s="121">
        <v>0.15</v>
      </c>
      <c r="J26" s="121">
        <v>0.2</v>
      </c>
      <c r="K26" s="121">
        <v>0.3</v>
      </c>
      <c r="L26" s="121">
        <v>0.05</v>
      </c>
      <c r="M26" s="121">
        <v>0.1</v>
      </c>
    </row>
    <row r="27" spans="1:13" x14ac:dyDescent="0.25">
      <c r="A27" s="73" t="s">
        <v>444</v>
      </c>
      <c r="B27" s="300"/>
      <c r="C27" s="300"/>
      <c r="D27" s="73" t="s">
        <v>107</v>
      </c>
      <c r="E27" s="73" t="s">
        <v>107</v>
      </c>
      <c r="F27" s="73" t="s">
        <v>107</v>
      </c>
      <c r="H27" s="79" t="s">
        <v>420</v>
      </c>
      <c r="I27" s="121">
        <v>0.4</v>
      </c>
      <c r="J27" s="121">
        <v>0.5</v>
      </c>
      <c r="K27" s="121">
        <v>0.45</v>
      </c>
      <c r="L27" s="121">
        <v>0.7</v>
      </c>
      <c r="M27" s="121">
        <v>0.4</v>
      </c>
    </row>
    <row r="28" spans="1:13" x14ac:dyDescent="0.25">
      <c r="H28" s="79" t="s">
        <v>452</v>
      </c>
      <c r="I28" s="121">
        <f>1-I29-I25-I26-I27</f>
        <v>0.14999999999999991</v>
      </c>
      <c r="J28" s="121">
        <v>0.1</v>
      </c>
      <c r="K28" s="121">
        <v>0.05</v>
      </c>
      <c r="L28" s="121">
        <v>0.05</v>
      </c>
      <c r="M28" s="121">
        <v>0.05</v>
      </c>
    </row>
    <row r="29" spans="1:13" x14ac:dyDescent="0.25">
      <c r="H29" s="79" t="s">
        <v>457</v>
      </c>
      <c r="I29" s="121">
        <v>0.15</v>
      </c>
      <c r="J29" s="121">
        <v>0.1</v>
      </c>
      <c r="K29" s="121">
        <v>0.05</v>
      </c>
      <c r="L29" s="121">
        <v>0.05</v>
      </c>
      <c r="M29" s="121">
        <v>0.05</v>
      </c>
    </row>
    <row r="30" spans="1:13" x14ac:dyDescent="0.25">
      <c r="I30" s="133">
        <f>SUM(I25:I29)</f>
        <v>0.99999999999999989</v>
      </c>
      <c r="J30" s="133">
        <f>SUM(J25:J29)</f>
        <v>1</v>
      </c>
      <c r="K30" s="133">
        <f>SUM(K25:K29)</f>
        <v>1</v>
      </c>
      <c r="L30" s="133">
        <f>SUM(L25:L29)</f>
        <v>1</v>
      </c>
      <c r="M30" s="133">
        <f>SUM(M25:M29)</f>
        <v>1</v>
      </c>
    </row>
  </sheetData>
  <mergeCells count="9">
    <mergeCell ref="A23:F23"/>
    <mergeCell ref="H23:M23"/>
    <mergeCell ref="A1:M1"/>
    <mergeCell ref="A11:M11"/>
    <mergeCell ref="A22:M22"/>
    <mergeCell ref="A2:F2"/>
    <mergeCell ref="H2:M2"/>
    <mergeCell ref="A12:F12"/>
    <mergeCell ref="H12:M1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1D96-905C-4298-A3BA-B881C40DF59A}">
  <dimension ref="A1:Z87"/>
  <sheetViews>
    <sheetView showGridLines="0" topLeftCell="H1" workbookViewId="0">
      <selection activeCell="S3" sqref="S3"/>
    </sheetView>
  </sheetViews>
  <sheetFormatPr defaultRowHeight="13.2" x14ac:dyDescent="0.25"/>
  <cols>
    <col min="1" max="1" width="23.5546875" style="86" bestFit="1" customWidth="1"/>
    <col min="2" max="4" width="8.88671875" style="86"/>
    <col min="5" max="5" width="10.33203125" style="86" bestFit="1" customWidth="1"/>
    <col min="6" max="6" width="11.109375" style="86" bestFit="1" customWidth="1"/>
    <col min="7" max="7" width="14.77734375" style="86" bestFit="1" customWidth="1"/>
    <col min="8" max="8" width="24.5546875" style="86" bestFit="1" customWidth="1"/>
    <col min="9" max="9" width="8.88671875" style="86"/>
    <col min="10" max="10" width="6.33203125" style="86" customWidth="1"/>
    <col min="11" max="11" width="9.109375" style="86" customWidth="1"/>
    <col min="12" max="12" width="10.5546875" style="86" customWidth="1"/>
    <col min="13" max="13" width="12.44140625" style="86" bestFit="1" customWidth="1"/>
    <col min="14" max="14" width="8.88671875" style="86"/>
    <col min="15" max="15" width="7.6640625" style="86" bestFit="1" customWidth="1"/>
    <col min="16" max="16" width="11.33203125" style="86" bestFit="1" customWidth="1"/>
    <col min="17" max="17" width="24.5546875" style="86" bestFit="1" customWidth="1"/>
    <col min="18" max="19" width="5" style="86" bestFit="1" customWidth="1"/>
    <col min="20" max="20" width="10.109375" style="86" bestFit="1" customWidth="1"/>
    <col min="21" max="21" width="9.44140625" style="86" bestFit="1" customWidth="1"/>
    <col min="22" max="23" width="5" style="86" bestFit="1" customWidth="1"/>
    <col min="24" max="24" width="8.88671875" style="86"/>
    <col min="25" max="25" width="11.33203125" style="86" bestFit="1" customWidth="1"/>
    <col min="26" max="26" width="24.5546875" style="86" bestFit="1" customWidth="1"/>
    <col min="27" max="16384" width="8.88671875" style="86"/>
  </cols>
  <sheetData>
    <row r="1" spans="1:26" x14ac:dyDescent="0.25">
      <c r="A1" s="305" t="s">
        <v>448</v>
      </c>
      <c r="B1" s="305"/>
      <c r="D1" s="391" t="s">
        <v>449</v>
      </c>
      <c r="E1" s="391"/>
      <c r="F1" s="391"/>
      <c r="G1" s="391"/>
      <c r="H1" s="391"/>
      <c r="J1" s="305" t="s">
        <v>454</v>
      </c>
      <c r="K1" s="305"/>
      <c r="L1" s="305"/>
      <c r="M1" s="305"/>
      <c r="N1" s="305"/>
      <c r="O1" s="305"/>
      <c r="P1" s="305"/>
      <c r="Q1" s="305"/>
      <c r="S1" s="305" t="s">
        <v>457</v>
      </c>
      <c r="T1" s="305"/>
      <c r="U1" s="305"/>
      <c r="V1" s="305"/>
      <c r="W1" s="305"/>
      <c r="X1" s="305"/>
      <c r="Y1" s="305"/>
      <c r="Z1" s="305"/>
    </row>
    <row r="2" spans="1:26" x14ac:dyDescent="0.25">
      <c r="A2" s="88" t="s">
        <v>446</v>
      </c>
      <c r="B2" s="157">
        <v>2.3179999999999999E-2</v>
      </c>
      <c r="D2" s="79" t="s">
        <v>93</v>
      </c>
      <c r="E2" s="79" t="s">
        <v>450</v>
      </c>
      <c r="F2" s="154" t="s">
        <v>447</v>
      </c>
      <c r="G2" s="79" t="s">
        <v>95</v>
      </c>
      <c r="H2" s="79" t="s">
        <v>103</v>
      </c>
      <c r="J2" s="73" t="s">
        <v>80</v>
      </c>
      <c r="K2" s="73" t="s">
        <v>450</v>
      </c>
      <c r="L2" s="73" t="s">
        <v>455</v>
      </c>
      <c r="N2" s="73" t="s">
        <v>9</v>
      </c>
      <c r="O2" s="73" t="s">
        <v>421</v>
      </c>
      <c r="P2" s="73" t="s">
        <v>453</v>
      </c>
      <c r="Q2" s="73" t="s">
        <v>103</v>
      </c>
      <c r="S2" s="165" t="s">
        <v>80</v>
      </c>
      <c r="T2" s="73" t="s">
        <v>450</v>
      </c>
      <c r="U2" s="73" t="s">
        <v>455</v>
      </c>
      <c r="V2" s="79"/>
      <c r="W2" s="73" t="s">
        <v>9</v>
      </c>
      <c r="X2" s="73" t="s">
        <v>421</v>
      </c>
      <c r="Y2" s="73" t="s">
        <v>453</v>
      </c>
      <c r="Z2" s="73" t="s">
        <v>103</v>
      </c>
    </row>
    <row r="3" spans="1:26" x14ac:dyDescent="0.25">
      <c r="A3" s="88" t="s">
        <v>80</v>
      </c>
      <c r="B3" s="155" t="s">
        <v>80</v>
      </c>
      <c r="D3" s="156" t="s">
        <v>80</v>
      </c>
      <c r="E3" s="120">
        <v>45261</v>
      </c>
      <c r="F3" s="118">
        <v>4.8000000000000001E-2</v>
      </c>
      <c r="G3" s="157">
        <f>AVERAGE(F3:F13)</f>
        <v>6.1999999999999993E-2</v>
      </c>
      <c r="H3" s="161">
        <f>_xlfn.STDEV.S(F3:F13)</f>
        <v>7.1554175279993281E-3</v>
      </c>
      <c r="J3" s="156" t="s">
        <v>80</v>
      </c>
      <c r="K3" s="158">
        <v>45292</v>
      </c>
      <c r="L3" s="159">
        <v>19530</v>
      </c>
      <c r="M3" s="150"/>
      <c r="N3" s="88">
        <v>2023</v>
      </c>
      <c r="O3" s="160">
        <f t="shared" ref="O3:O11" si="0">(L3-L4)/L4</f>
        <v>1.7187500000000001E-2</v>
      </c>
      <c r="P3" s="157">
        <f>AVERAGE(O3:O11)</f>
        <v>0.12096780994737265</v>
      </c>
      <c r="Q3" s="161">
        <f>_xlfn.STDEV.S(O3:O11)</f>
        <v>0.31828625710822772</v>
      </c>
      <c r="S3" s="177" t="s">
        <v>80</v>
      </c>
      <c r="T3" s="88" t="s">
        <v>456</v>
      </c>
      <c r="U3" s="163">
        <v>13464.82</v>
      </c>
      <c r="W3" s="162">
        <v>2023</v>
      </c>
      <c r="X3" s="160">
        <f>(U3-U4)/U4</f>
        <v>9.9690547108465255E-2</v>
      </c>
      <c r="Y3" s="157">
        <f>AVERAGE(X3:X6)</f>
        <v>7.2781116971925436E-2</v>
      </c>
      <c r="Z3" s="161">
        <f>_xlfn.STDEV.S(X3:X6)</f>
        <v>1.9082744993773267E-2</v>
      </c>
    </row>
    <row r="4" spans="1:26" x14ac:dyDescent="0.25">
      <c r="D4" s="156" t="s">
        <v>80</v>
      </c>
      <c r="E4" s="120">
        <v>44866</v>
      </c>
      <c r="F4" s="118">
        <v>7.3999999999999996E-2</v>
      </c>
      <c r="J4" s="88"/>
      <c r="K4" s="158">
        <v>44927</v>
      </c>
      <c r="L4" s="159">
        <v>19200</v>
      </c>
      <c r="M4" s="150"/>
      <c r="N4" s="88">
        <v>2022</v>
      </c>
      <c r="O4" s="160">
        <f t="shared" si="0"/>
        <v>-0.25407925407925408</v>
      </c>
      <c r="P4" s="101"/>
      <c r="S4" s="88"/>
      <c r="T4" s="158">
        <v>44986</v>
      </c>
      <c r="U4" s="163">
        <v>12244.19</v>
      </c>
      <c r="W4" s="88">
        <v>2022</v>
      </c>
      <c r="X4" s="160">
        <f>(U4-U5)/U5</f>
        <v>7.0346852036722141E-2</v>
      </c>
    </row>
    <row r="5" spans="1:26" x14ac:dyDescent="0.25">
      <c r="D5" s="156" t="s">
        <v>80</v>
      </c>
      <c r="E5" s="120">
        <v>44531</v>
      </c>
      <c r="F5" s="118">
        <v>5.2999999999999999E-2</v>
      </c>
      <c r="J5" s="88"/>
      <c r="K5" s="158">
        <v>44562</v>
      </c>
      <c r="L5" s="159">
        <v>25740</v>
      </c>
      <c r="M5" s="150"/>
      <c r="N5" s="88">
        <v>2021</v>
      </c>
      <c r="O5" s="160">
        <f t="shared" si="0"/>
        <v>0.47085714285714286</v>
      </c>
      <c r="S5" s="88"/>
      <c r="T5" s="158">
        <v>44682</v>
      </c>
      <c r="U5" s="163">
        <v>11439.46</v>
      </c>
      <c r="W5" s="88">
        <v>2021</v>
      </c>
      <c r="X5" s="160">
        <f t="shared" ref="X5:X6" si="1">(U5-U6)/U6</f>
        <v>5.4935792507204532E-2</v>
      </c>
    </row>
    <row r="6" spans="1:26" x14ac:dyDescent="0.25">
      <c r="D6" s="156" t="s">
        <v>80</v>
      </c>
      <c r="E6" s="120">
        <v>44166</v>
      </c>
      <c r="F6" s="118">
        <v>5.8000000000000003E-2</v>
      </c>
      <c r="J6" s="88"/>
      <c r="K6" s="158">
        <v>44197</v>
      </c>
      <c r="L6" s="159">
        <v>17500</v>
      </c>
      <c r="M6" s="150"/>
      <c r="N6" s="88">
        <v>2020</v>
      </c>
      <c r="O6" s="160">
        <f t="shared" si="0"/>
        <v>0.23674911660777384</v>
      </c>
      <c r="S6" s="88"/>
      <c r="T6" s="158">
        <v>44348</v>
      </c>
      <c r="U6" s="163">
        <v>10843.75</v>
      </c>
      <c r="W6" s="88">
        <v>2020</v>
      </c>
      <c r="X6" s="160">
        <f t="shared" si="1"/>
        <v>6.6151276235309822E-2</v>
      </c>
    </row>
    <row r="7" spans="1:26" x14ac:dyDescent="0.25">
      <c r="D7" s="156" t="s">
        <v>80</v>
      </c>
      <c r="E7" s="120">
        <v>43800</v>
      </c>
      <c r="F7" s="118">
        <v>6.8000000000000005E-2</v>
      </c>
      <c r="J7" s="88"/>
      <c r="K7" s="158">
        <v>43831</v>
      </c>
      <c r="L7" s="159">
        <v>14150</v>
      </c>
      <c r="M7" s="150"/>
      <c r="N7" s="88">
        <v>2019</v>
      </c>
      <c r="O7" s="160">
        <f t="shared" si="0"/>
        <v>-7.7138849929873771E-3</v>
      </c>
      <c r="S7" s="88"/>
      <c r="T7" s="158">
        <v>43862</v>
      </c>
      <c r="U7" s="164">
        <v>10170.93</v>
      </c>
    </row>
    <row r="8" spans="1:26" x14ac:dyDescent="0.25">
      <c r="D8" s="156" t="s">
        <v>80</v>
      </c>
      <c r="E8" s="120">
        <v>43374</v>
      </c>
      <c r="F8" s="118">
        <v>6.6000000000000003E-2</v>
      </c>
      <c r="J8" s="88"/>
      <c r="K8" s="158">
        <v>43466</v>
      </c>
      <c r="L8" s="159">
        <v>14260</v>
      </c>
      <c r="M8" s="150"/>
      <c r="N8" s="88">
        <v>2018</v>
      </c>
      <c r="O8" s="160">
        <f t="shared" si="0"/>
        <v>-0.20777777777777778</v>
      </c>
      <c r="Y8" s="101"/>
      <c r="Z8" s="150"/>
    </row>
    <row r="9" spans="1:26" x14ac:dyDescent="0.25">
      <c r="D9" s="156" t="s">
        <v>80</v>
      </c>
      <c r="E9" s="120">
        <v>43070</v>
      </c>
      <c r="F9" s="118">
        <v>6.5000000000000002E-2</v>
      </c>
      <c r="J9" s="88"/>
      <c r="K9" s="158">
        <v>43101</v>
      </c>
      <c r="L9" s="159">
        <v>18000</v>
      </c>
      <c r="M9" s="150"/>
      <c r="N9" s="88">
        <v>2017</v>
      </c>
      <c r="O9" s="160">
        <f t="shared" si="0"/>
        <v>0.72248803827751196</v>
      </c>
      <c r="Y9" s="101"/>
    </row>
    <row r="10" spans="1:26" x14ac:dyDescent="0.25">
      <c r="D10" s="156" t="s">
        <v>80</v>
      </c>
      <c r="E10" s="120">
        <v>42614</v>
      </c>
      <c r="F10" s="118">
        <v>6.5000000000000002E-2</v>
      </c>
      <c r="J10" s="88"/>
      <c r="K10" s="158">
        <v>42736</v>
      </c>
      <c r="L10" s="159">
        <v>10450</v>
      </c>
      <c r="M10" s="150"/>
      <c r="N10" s="88">
        <v>2016</v>
      </c>
      <c r="O10" s="160">
        <f t="shared" si="0"/>
        <v>0.17415730337078653</v>
      </c>
      <c r="Y10" s="101"/>
    </row>
    <row r="11" spans="1:26" x14ac:dyDescent="0.25">
      <c r="D11" s="156" t="s">
        <v>80</v>
      </c>
      <c r="E11" s="120">
        <v>42278</v>
      </c>
      <c r="F11" s="121">
        <v>0.06</v>
      </c>
      <c r="J11" s="88"/>
      <c r="K11" s="158">
        <v>42370</v>
      </c>
      <c r="L11" s="159">
        <v>8900</v>
      </c>
      <c r="M11" s="150"/>
      <c r="N11" s="88">
        <v>2015</v>
      </c>
      <c r="O11" s="160">
        <f t="shared" si="0"/>
        <v>-6.3157894736842107E-2</v>
      </c>
      <c r="Y11" s="101"/>
    </row>
    <row r="12" spans="1:26" x14ac:dyDescent="0.25">
      <c r="D12" s="156" t="s">
        <v>80</v>
      </c>
      <c r="E12" s="120">
        <v>41974</v>
      </c>
      <c r="F12" s="118">
        <v>6.2E-2</v>
      </c>
      <c r="J12" s="88"/>
      <c r="K12" s="158">
        <v>42005</v>
      </c>
      <c r="L12" s="159">
        <v>9500</v>
      </c>
      <c r="M12" s="150"/>
      <c r="O12" s="150"/>
    </row>
    <row r="13" spans="1:26" x14ac:dyDescent="0.25">
      <c r="D13" s="156" t="s">
        <v>80</v>
      </c>
      <c r="E13" s="120">
        <v>41609</v>
      </c>
      <c r="F13" s="118">
        <v>6.3E-2</v>
      </c>
      <c r="K13" s="151"/>
      <c r="L13" s="153"/>
      <c r="M13" s="150"/>
      <c r="O13" s="150"/>
    </row>
    <row r="14" spans="1:26" x14ac:dyDescent="0.25">
      <c r="K14" s="151"/>
      <c r="L14" s="153"/>
      <c r="M14" s="150"/>
      <c r="O14" s="150"/>
    </row>
    <row r="15" spans="1:26" x14ac:dyDescent="0.25">
      <c r="K15" s="151"/>
      <c r="M15" s="150"/>
      <c r="O15" s="150"/>
    </row>
    <row r="16" spans="1:26" x14ac:dyDescent="0.25">
      <c r="K16" s="151"/>
      <c r="M16" s="150"/>
      <c r="O16" s="150"/>
    </row>
    <row r="17" spans="7:15" x14ac:dyDescent="0.25">
      <c r="G17" s="133"/>
      <c r="H17" s="133"/>
      <c r="I17" s="133"/>
      <c r="J17" s="133"/>
      <c r="K17" s="151"/>
      <c r="M17" s="150"/>
      <c r="O17" s="150"/>
    </row>
    <row r="18" spans="7:15" x14ac:dyDescent="0.25">
      <c r="K18" s="151"/>
      <c r="M18" s="150"/>
      <c r="O18" s="150"/>
    </row>
    <row r="19" spans="7:15" x14ac:dyDescent="0.25">
      <c r="K19" s="151"/>
      <c r="M19" s="150"/>
      <c r="O19" s="150"/>
    </row>
    <row r="20" spans="7:15" x14ac:dyDescent="0.25">
      <c r="K20" s="151"/>
      <c r="M20" s="150"/>
      <c r="O20" s="150"/>
    </row>
    <row r="21" spans="7:15" x14ac:dyDescent="0.25">
      <c r="K21" s="151"/>
      <c r="M21" s="150"/>
      <c r="O21" s="150"/>
    </row>
    <row r="22" spans="7:15" x14ac:dyDescent="0.25">
      <c r="K22" s="151"/>
      <c r="M22" s="150"/>
      <c r="O22" s="150"/>
    </row>
    <row r="23" spans="7:15" x14ac:dyDescent="0.25">
      <c r="K23" s="151"/>
      <c r="M23" s="150"/>
      <c r="O23" s="150"/>
    </row>
    <row r="24" spans="7:15" x14ac:dyDescent="0.25">
      <c r="K24" s="151"/>
      <c r="M24" s="150"/>
      <c r="O24" s="150"/>
    </row>
    <row r="25" spans="7:15" x14ac:dyDescent="0.25">
      <c r="K25" s="151"/>
      <c r="M25" s="150"/>
      <c r="O25" s="150"/>
    </row>
    <row r="26" spans="7:15" x14ac:dyDescent="0.25">
      <c r="K26" s="151"/>
      <c r="M26" s="150"/>
      <c r="O26" s="150"/>
    </row>
    <row r="27" spans="7:15" x14ac:dyDescent="0.25">
      <c r="K27" s="151"/>
      <c r="M27" s="150"/>
      <c r="O27" s="150"/>
    </row>
    <row r="28" spans="7:15" x14ac:dyDescent="0.25">
      <c r="K28" s="151"/>
      <c r="M28" s="150"/>
      <c r="O28" s="150"/>
    </row>
    <row r="29" spans="7:15" x14ac:dyDescent="0.25">
      <c r="K29" s="151"/>
      <c r="M29" s="150"/>
      <c r="O29" s="150"/>
    </row>
    <row r="30" spans="7:15" x14ac:dyDescent="0.25">
      <c r="K30" s="151"/>
      <c r="M30" s="150"/>
      <c r="O30" s="150"/>
    </row>
    <row r="31" spans="7:15" x14ac:dyDescent="0.25">
      <c r="K31" s="151"/>
      <c r="M31" s="150"/>
      <c r="O31" s="150"/>
    </row>
    <row r="32" spans="7:15" x14ac:dyDescent="0.25">
      <c r="K32" s="151"/>
      <c r="M32" s="150"/>
      <c r="O32" s="150"/>
    </row>
    <row r="33" spans="11:15" x14ac:dyDescent="0.25">
      <c r="K33" s="151"/>
      <c r="M33" s="150"/>
      <c r="O33" s="150"/>
    </row>
    <row r="34" spans="11:15" x14ac:dyDescent="0.25">
      <c r="K34" s="151"/>
      <c r="M34" s="150"/>
      <c r="O34" s="150"/>
    </row>
    <row r="35" spans="11:15" x14ac:dyDescent="0.25">
      <c r="K35" s="151"/>
      <c r="M35" s="150"/>
      <c r="O35" s="150"/>
    </row>
    <row r="36" spans="11:15" x14ac:dyDescent="0.25">
      <c r="K36" s="151"/>
      <c r="M36" s="150"/>
      <c r="O36" s="150"/>
    </row>
    <row r="37" spans="11:15" x14ac:dyDescent="0.25">
      <c r="K37" s="151"/>
      <c r="M37" s="150"/>
      <c r="O37" s="150"/>
    </row>
    <row r="38" spans="11:15" x14ac:dyDescent="0.25">
      <c r="K38" s="151"/>
      <c r="M38" s="150"/>
      <c r="O38" s="150"/>
    </row>
    <row r="39" spans="11:15" x14ac:dyDescent="0.25">
      <c r="K39" s="151"/>
      <c r="M39" s="150"/>
    </row>
    <row r="40" spans="11:15" x14ac:dyDescent="0.25">
      <c r="K40" s="151"/>
      <c r="M40" s="150"/>
    </row>
    <row r="41" spans="11:15" x14ac:dyDescent="0.25">
      <c r="K41" s="151"/>
      <c r="M41" s="150"/>
    </row>
    <row r="42" spans="11:15" x14ac:dyDescent="0.25">
      <c r="K42" s="151"/>
      <c r="M42" s="150"/>
    </row>
    <row r="43" spans="11:15" x14ac:dyDescent="0.25">
      <c r="K43" s="151"/>
      <c r="M43" s="150"/>
    </row>
    <row r="44" spans="11:15" x14ac:dyDescent="0.25">
      <c r="K44" s="151"/>
      <c r="M44" s="150"/>
    </row>
    <row r="45" spans="11:15" x14ac:dyDescent="0.25">
      <c r="K45" s="151"/>
      <c r="M45" s="150"/>
    </row>
    <row r="46" spans="11:15" x14ac:dyDescent="0.25">
      <c r="K46" s="151"/>
      <c r="M46" s="150"/>
    </row>
    <row r="47" spans="11:15" x14ac:dyDescent="0.25">
      <c r="K47" s="151"/>
      <c r="M47" s="150"/>
    </row>
    <row r="48" spans="11:15" x14ac:dyDescent="0.25">
      <c r="K48" s="151"/>
      <c r="M48" s="150"/>
    </row>
    <row r="49" spans="11:13" x14ac:dyDescent="0.25">
      <c r="K49" s="151"/>
      <c r="M49" s="150"/>
    </row>
    <row r="50" spans="11:13" x14ac:dyDescent="0.25">
      <c r="K50" s="151"/>
      <c r="M50" s="150"/>
    </row>
    <row r="51" spans="11:13" x14ac:dyDescent="0.25">
      <c r="K51" s="151"/>
      <c r="M51" s="150"/>
    </row>
    <row r="52" spans="11:13" x14ac:dyDescent="0.25">
      <c r="K52" s="151"/>
      <c r="M52" s="150"/>
    </row>
    <row r="53" spans="11:13" x14ac:dyDescent="0.25">
      <c r="K53" s="151"/>
      <c r="M53" s="150"/>
    </row>
    <row r="54" spans="11:13" x14ac:dyDescent="0.25">
      <c r="K54" s="151"/>
      <c r="M54" s="150"/>
    </row>
    <row r="55" spans="11:13" x14ac:dyDescent="0.25">
      <c r="K55" s="151"/>
      <c r="M55" s="150"/>
    </row>
    <row r="56" spans="11:13" x14ac:dyDescent="0.25">
      <c r="K56" s="151"/>
      <c r="M56" s="150"/>
    </row>
    <row r="57" spans="11:13" x14ac:dyDescent="0.25">
      <c r="K57" s="151"/>
      <c r="M57" s="150"/>
    </row>
    <row r="58" spans="11:13" x14ac:dyDescent="0.25">
      <c r="K58" s="151"/>
      <c r="M58" s="150"/>
    </row>
    <row r="59" spans="11:13" x14ac:dyDescent="0.25">
      <c r="K59" s="151"/>
      <c r="M59" s="150"/>
    </row>
    <row r="60" spans="11:13" x14ac:dyDescent="0.25">
      <c r="K60" s="151"/>
      <c r="M60" s="150"/>
    </row>
    <row r="61" spans="11:13" x14ac:dyDescent="0.25">
      <c r="K61" s="151"/>
      <c r="M61" s="150"/>
    </row>
    <row r="62" spans="11:13" x14ac:dyDescent="0.25">
      <c r="K62" s="151"/>
      <c r="M62" s="150"/>
    </row>
    <row r="63" spans="11:13" x14ac:dyDescent="0.25">
      <c r="K63" s="151"/>
      <c r="M63" s="150"/>
    </row>
    <row r="64" spans="11:13" x14ac:dyDescent="0.25">
      <c r="K64" s="151"/>
      <c r="M64" s="150"/>
    </row>
    <row r="65" spans="11:13" x14ac:dyDescent="0.25">
      <c r="K65" s="151"/>
      <c r="M65" s="150"/>
    </row>
    <row r="66" spans="11:13" x14ac:dyDescent="0.25">
      <c r="K66" s="151"/>
      <c r="M66" s="150"/>
    </row>
    <row r="67" spans="11:13" x14ac:dyDescent="0.25">
      <c r="K67" s="151"/>
      <c r="M67" s="150"/>
    </row>
    <row r="68" spans="11:13" x14ac:dyDescent="0.25">
      <c r="K68" s="151"/>
      <c r="M68" s="150"/>
    </row>
    <row r="69" spans="11:13" x14ac:dyDescent="0.25">
      <c r="K69" s="151"/>
      <c r="M69" s="150"/>
    </row>
    <row r="70" spans="11:13" x14ac:dyDescent="0.25">
      <c r="K70" s="151"/>
      <c r="M70" s="150"/>
    </row>
    <row r="71" spans="11:13" x14ac:dyDescent="0.25">
      <c r="K71" s="151"/>
      <c r="M71" s="150"/>
    </row>
    <row r="72" spans="11:13" x14ac:dyDescent="0.25">
      <c r="K72" s="151"/>
      <c r="M72" s="150"/>
    </row>
    <row r="73" spans="11:13" x14ac:dyDescent="0.25">
      <c r="K73" s="151"/>
      <c r="M73" s="150"/>
    </row>
    <row r="74" spans="11:13" x14ac:dyDescent="0.25">
      <c r="K74" s="151"/>
      <c r="M74" s="150"/>
    </row>
    <row r="75" spans="11:13" x14ac:dyDescent="0.25">
      <c r="K75" s="151"/>
      <c r="M75" s="150"/>
    </row>
    <row r="76" spans="11:13" x14ac:dyDescent="0.25">
      <c r="K76" s="151"/>
      <c r="M76" s="150"/>
    </row>
    <row r="77" spans="11:13" x14ac:dyDescent="0.25">
      <c r="K77" s="151"/>
      <c r="M77" s="150"/>
    </row>
    <row r="78" spans="11:13" x14ac:dyDescent="0.25">
      <c r="M78" s="150"/>
    </row>
    <row r="79" spans="11:13" x14ac:dyDescent="0.25">
      <c r="M79" s="150"/>
    </row>
    <row r="80" spans="11:13" x14ac:dyDescent="0.25">
      <c r="M80" s="150"/>
    </row>
    <row r="81" spans="13:13" x14ac:dyDescent="0.25">
      <c r="M81" s="150"/>
    </row>
    <row r="82" spans="13:13" x14ac:dyDescent="0.25">
      <c r="M82" s="150"/>
    </row>
    <row r="83" spans="13:13" x14ac:dyDescent="0.25">
      <c r="M83" s="150"/>
    </row>
    <row r="84" spans="13:13" x14ac:dyDescent="0.25">
      <c r="M84" s="150"/>
    </row>
    <row r="85" spans="13:13" x14ac:dyDescent="0.25">
      <c r="M85" s="150"/>
    </row>
    <row r="86" spans="13:13" x14ac:dyDescent="0.25">
      <c r="M86" s="150"/>
    </row>
    <row r="87" spans="13:13" x14ac:dyDescent="0.25">
      <c r="M87" s="150"/>
    </row>
  </sheetData>
  <mergeCells count="4">
    <mergeCell ref="S1:Z1"/>
    <mergeCell ref="J1:Q1"/>
    <mergeCell ref="A1:B1"/>
    <mergeCell ref="D1:H1"/>
  </mergeCells>
  <hyperlinks>
    <hyperlink ref="D3" r:id="rId1" xr:uid="{FC168EE8-E4B2-401A-9724-CD0E479E4C5B}"/>
    <hyperlink ref="D4" r:id="rId2" xr:uid="{5A0EDAEF-6504-4D79-BCBF-05A5410F049D}"/>
    <hyperlink ref="D5" r:id="rId3" xr:uid="{D2DB3AB2-971B-4EEF-8A4B-ECB0BEEA1B3A}"/>
    <hyperlink ref="D6" r:id="rId4" xr:uid="{6C2DB4B4-E9F8-46DA-BBB3-6A78A73F5039}"/>
    <hyperlink ref="D7" r:id="rId5" xr:uid="{137E6356-2F20-4343-A3C5-299B1FFB4987}"/>
    <hyperlink ref="D8" r:id="rId6" location=":~:text=L%C3%A3i%20su%E1%BA%A5t%20ng%C3%A2n%20h%C3%A0ng%20Vietcombank%20cao%20nh%E1%BA%A5t%20l%C3%A0%206%2C6,l%C3%A0%205%2C5%25%2Fn%C4%83m." xr:uid="{95508C16-839B-4491-91E1-0D7726F61AE9}"/>
    <hyperlink ref="D9" r:id="rId7" xr:uid="{C9047BE4-83BF-4490-BC2D-B5AF3D8D345A}"/>
    <hyperlink ref="D10" r:id="rId8" xr:uid="{1F9F2D2D-ACD9-4B20-B905-5F009ADC9DD3}"/>
    <hyperlink ref="D11" r:id="rId9" xr:uid="{1CF1D033-8F43-4921-90F4-91580F971E95}"/>
    <hyperlink ref="D12" r:id="rId10" xr:uid="{15E637F0-DA67-4F5D-9AB4-2B7398074076}"/>
    <hyperlink ref="D13" r:id="rId11" xr:uid="{25448221-CE70-487A-A612-69A3CEAB2172}"/>
    <hyperlink ref="J3" r:id="rId12" xr:uid="{469A725C-DBF3-4013-9EE5-195CE245CCB5}"/>
    <hyperlink ref="S2" r:id="rId13" location="?tabid=158" xr:uid="{2B91571B-EDAC-46D8-8625-A4B339857266}"/>
    <hyperlink ref="B3" r:id="rId14" xr:uid="{762EC883-9167-4306-8B3C-0F0E3C971C8C}"/>
    <hyperlink ref="S3" r:id="rId15" xr:uid="{007042C4-2D40-4B90-B90E-F6862B062FB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3B23-0737-4A44-A06B-5CB0F9002055}">
  <dimension ref="A1:L64"/>
  <sheetViews>
    <sheetView showGridLines="0" workbookViewId="0">
      <selection activeCell="I1" sqref="I1:L3"/>
    </sheetView>
  </sheetViews>
  <sheetFormatPr defaultRowHeight="13.2" x14ac:dyDescent="0.25"/>
  <cols>
    <col min="1" max="1" width="8.88671875" style="175"/>
    <col min="2" max="2" width="8.88671875" style="86"/>
    <col min="3" max="3" width="22" style="86" bestFit="1" customWidth="1"/>
    <col min="4" max="4" width="30.109375" style="86" bestFit="1" customWidth="1"/>
    <col min="5" max="5" width="16.77734375" style="86" bestFit="1" customWidth="1"/>
    <col min="6" max="6" width="23.33203125" style="86" bestFit="1" customWidth="1"/>
    <col min="7" max="7" width="24.109375" style="86" bestFit="1" customWidth="1"/>
    <col min="8" max="11" width="8.88671875" style="86"/>
    <col min="12" max="12" width="29.33203125" style="86" customWidth="1"/>
    <col min="13" max="16384" width="8.88671875" style="86"/>
  </cols>
  <sheetData>
    <row r="1" spans="1:12" x14ac:dyDescent="0.25">
      <c r="A1" s="79" t="s">
        <v>322</v>
      </c>
      <c r="B1" s="79" t="s">
        <v>9</v>
      </c>
      <c r="C1" s="79" t="s">
        <v>468</v>
      </c>
      <c r="D1" s="79" t="s">
        <v>469</v>
      </c>
      <c r="E1" s="79" t="s">
        <v>470</v>
      </c>
      <c r="F1" s="79" t="s">
        <v>472</v>
      </c>
      <c r="G1" s="79" t="s">
        <v>471</v>
      </c>
      <c r="I1" s="379" t="s">
        <v>648</v>
      </c>
      <c r="J1" s="380"/>
      <c r="K1" s="380"/>
      <c r="L1" s="381"/>
    </row>
    <row r="2" spans="1:12" x14ac:dyDescent="0.25">
      <c r="A2" s="79">
        <v>1</v>
      </c>
      <c r="B2" s="283">
        <v>2024</v>
      </c>
      <c r="C2" s="286">
        <f>'7.1. Stage 1 budget'!$O$22</f>
        <v>28980999.999999996</v>
      </c>
      <c r="D2" s="286">
        <f>80%*C2</f>
        <v>23184800</v>
      </c>
      <c r="E2" s="286">
        <f>C2-D2</f>
        <v>5796199.9999999963</v>
      </c>
      <c r="F2" s="286">
        <f>50%*E2</f>
        <v>2898099.9999999981</v>
      </c>
      <c r="G2" s="286">
        <f>E2-F2</f>
        <v>2898099.9999999981</v>
      </c>
      <c r="I2" s="382"/>
      <c r="J2" s="383"/>
      <c r="K2" s="383"/>
      <c r="L2" s="384"/>
    </row>
    <row r="3" spans="1:12" x14ac:dyDescent="0.25">
      <c r="A3" s="79">
        <v>2</v>
      </c>
      <c r="B3" s="284">
        <v>2025</v>
      </c>
      <c r="C3" s="287">
        <f>'7.1. Stage 1 budget'!$O$52</f>
        <v>30140240.000000004</v>
      </c>
      <c r="D3" s="287">
        <f t="shared" ref="D3:D64" si="0">80%*C3</f>
        <v>24112192.000000004</v>
      </c>
      <c r="E3" s="287">
        <f t="shared" ref="E3:E64" si="1">C3-D3</f>
        <v>6028048</v>
      </c>
      <c r="F3" s="287">
        <f>50%*E3</f>
        <v>3014024</v>
      </c>
      <c r="G3" s="287">
        <f t="shared" ref="G3:G64" si="2">E3-F3</f>
        <v>3014024</v>
      </c>
      <c r="I3" s="385"/>
      <c r="J3" s="386"/>
      <c r="K3" s="386"/>
      <c r="L3" s="387"/>
    </row>
    <row r="4" spans="1:12" x14ac:dyDescent="0.25">
      <c r="A4" s="79">
        <v>3</v>
      </c>
      <c r="B4" s="284">
        <v>2026</v>
      </c>
      <c r="C4" s="287">
        <f>'7.1. Stage 1 budget'!O82</f>
        <v>31345849.599999998</v>
      </c>
      <c r="D4" s="287">
        <f t="shared" si="0"/>
        <v>25076679.68</v>
      </c>
      <c r="E4" s="287">
        <f t="shared" si="1"/>
        <v>6269169.9199999981</v>
      </c>
      <c r="F4" s="287">
        <f t="shared" ref="F4:F64" si="3">50%*E4</f>
        <v>3134584.959999999</v>
      </c>
      <c r="G4" s="287">
        <f t="shared" si="2"/>
        <v>3134584.959999999</v>
      </c>
    </row>
    <row r="5" spans="1:12" x14ac:dyDescent="0.25">
      <c r="A5" s="79">
        <v>4</v>
      </c>
      <c r="B5" s="284">
        <v>2027</v>
      </c>
      <c r="C5" s="287">
        <f>'7.1. Stage 1 budget'!O113</f>
        <v>32599683.584000003</v>
      </c>
      <c r="D5" s="287">
        <f t="shared" si="0"/>
        <v>26079746.867200002</v>
      </c>
      <c r="E5" s="287">
        <f t="shared" si="1"/>
        <v>6519936.7168000005</v>
      </c>
      <c r="F5" s="287">
        <f t="shared" si="3"/>
        <v>3259968.3584000003</v>
      </c>
      <c r="G5" s="287">
        <f t="shared" si="2"/>
        <v>3259968.3584000003</v>
      </c>
    </row>
    <row r="6" spans="1:12" x14ac:dyDescent="0.25">
      <c r="A6" s="79">
        <v>5</v>
      </c>
      <c r="B6" s="284">
        <v>2028</v>
      </c>
      <c r="C6" s="287">
        <f>'7.1. Stage 1 budget'!O144</f>
        <v>33903670.927359991</v>
      </c>
      <c r="D6" s="287">
        <f t="shared" si="0"/>
        <v>27122936.741887994</v>
      </c>
      <c r="E6" s="287">
        <f t="shared" si="1"/>
        <v>6780734.1854719967</v>
      </c>
      <c r="F6" s="287">
        <f t="shared" si="3"/>
        <v>3390367.0927359983</v>
      </c>
      <c r="G6" s="287">
        <f>E6-F6</f>
        <v>3390367.0927359983</v>
      </c>
    </row>
    <row r="7" spans="1:12" x14ac:dyDescent="0.25">
      <c r="A7" s="79">
        <v>6</v>
      </c>
      <c r="B7" s="284">
        <v>2029</v>
      </c>
      <c r="C7" s="287">
        <f>'7.1. Stage 1 budget'!O175</f>
        <v>35259817.764454402</v>
      </c>
      <c r="D7" s="287">
        <f t="shared" si="0"/>
        <v>28207854.211563524</v>
      </c>
      <c r="E7" s="287">
        <f t="shared" si="1"/>
        <v>7051963.5528908782</v>
      </c>
      <c r="F7" s="287">
        <f t="shared" si="3"/>
        <v>3525981.7764454391</v>
      </c>
      <c r="G7" s="287">
        <f t="shared" si="2"/>
        <v>3525981.7764454391</v>
      </c>
    </row>
    <row r="8" spans="1:12" x14ac:dyDescent="0.25">
      <c r="A8" s="79">
        <v>7</v>
      </c>
      <c r="B8" s="284">
        <v>2030</v>
      </c>
      <c r="C8" s="287">
        <f>'7.2. Stage 2 budget'!O23</f>
        <v>36670210.475032575</v>
      </c>
      <c r="D8" s="287">
        <f t="shared" si="0"/>
        <v>29336168.380026061</v>
      </c>
      <c r="E8" s="287">
        <f t="shared" si="1"/>
        <v>7334042.0950065143</v>
      </c>
      <c r="F8" s="287">
        <f t="shared" si="3"/>
        <v>3667021.0475032572</v>
      </c>
      <c r="G8" s="287">
        <f t="shared" si="2"/>
        <v>3667021.0475032572</v>
      </c>
    </row>
    <row r="9" spans="1:12" x14ac:dyDescent="0.25">
      <c r="A9" s="79">
        <v>8</v>
      </c>
      <c r="B9" s="284">
        <v>2031</v>
      </c>
      <c r="C9" s="287">
        <f>'7.2. Stage 2 budget'!O55</f>
        <v>38137018.894033886</v>
      </c>
      <c r="D9" s="287">
        <f t="shared" si="0"/>
        <v>30509615.115227111</v>
      </c>
      <c r="E9" s="287">
        <f t="shared" si="1"/>
        <v>7627403.7788067758</v>
      </c>
      <c r="F9" s="287">
        <f t="shared" si="3"/>
        <v>3813701.8894033879</v>
      </c>
      <c r="G9" s="287">
        <f t="shared" si="2"/>
        <v>3813701.8894033879</v>
      </c>
    </row>
    <row r="10" spans="1:12" x14ac:dyDescent="0.25">
      <c r="A10" s="79">
        <v>9</v>
      </c>
      <c r="B10" s="284">
        <v>2032</v>
      </c>
      <c r="C10" s="287">
        <f>'7.2. Stage 2 budget'!O87</f>
        <v>39662499.649795234</v>
      </c>
      <c r="D10" s="287">
        <f t="shared" si="0"/>
        <v>31729999.71983619</v>
      </c>
      <c r="E10" s="287">
        <f t="shared" si="1"/>
        <v>7932499.9299590439</v>
      </c>
      <c r="F10" s="287">
        <f t="shared" si="3"/>
        <v>3966249.9649795219</v>
      </c>
      <c r="G10" s="287">
        <f t="shared" si="2"/>
        <v>3966249.9649795219</v>
      </c>
    </row>
    <row r="11" spans="1:12" x14ac:dyDescent="0.25">
      <c r="A11" s="79">
        <v>10</v>
      </c>
      <c r="B11" s="284">
        <v>2033</v>
      </c>
      <c r="C11" s="287">
        <f>'7.2. Stage 2 budget'!O118</f>
        <v>80669103.61777781</v>
      </c>
      <c r="D11" s="287">
        <f t="shared" si="0"/>
        <v>64535282.894222252</v>
      </c>
      <c r="E11" s="287">
        <f t="shared" si="1"/>
        <v>16133820.723555557</v>
      </c>
      <c r="F11" s="287">
        <f t="shared" si="3"/>
        <v>8066910.3617777787</v>
      </c>
      <c r="G11" s="287">
        <f t="shared" si="2"/>
        <v>8066910.3617777787</v>
      </c>
    </row>
    <row r="12" spans="1:12" x14ac:dyDescent="0.25">
      <c r="A12" s="79">
        <v>11</v>
      </c>
      <c r="B12" s="284">
        <v>2034</v>
      </c>
      <c r="C12" s="287">
        <f>'7.3. Stage 3 budget'!O23</f>
        <v>119328898.02362891</v>
      </c>
      <c r="D12" s="287">
        <f t="shared" si="0"/>
        <v>95463118.418903127</v>
      </c>
      <c r="E12" s="287">
        <f t="shared" si="1"/>
        <v>23865779.604725778</v>
      </c>
      <c r="F12" s="287">
        <f t="shared" si="3"/>
        <v>11932889.802362889</v>
      </c>
      <c r="G12" s="287">
        <f t="shared" si="2"/>
        <v>11932889.802362889</v>
      </c>
    </row>
    <row r="13" spans="1:12" x14ac:dyDescent="0.25">
      <c r="A13" s="79">
        <v>12</v>
      </c>
      <c r="B13" s="284">
        <v>2035</v>
      </c>
      <c r="C13" s="287">
        <f>'7.3. Stage 3 budget'!O58</f>
        <v>124143374.53280932</v>
      </c>
      <c r="D13" s="287">
        <f t="shared" si="0"/>
        <v>99314699.626247466</v>
      </c>
      <c r="E13" s="287">
        <f t="shared" si="1"/>
        <v>24828674.906561852</v>
      </c>
      <c r="F13" s="287">
        <f t="shared" si="3"/>
        <v>12414337.453280926</v>
      </c>
      <c r="G13" s="287">
        <f t="shared" si="2"/>
        <v>12414337.453280926</v>
      </c>
    </row>
    <row r="14" spans="1:12" x14ac:dyDescent="0.25">
      <c r="A14" s="79">
        <v>13</v>
      </c>
      <c r="B14" s="284">
        <v>2036</v>
      </c>
      <c r="C14" s="287">
        <f>'7.3. Stage 3 budget'!O93</f>
        <v>200139779.53921664</v>
      </c>
      <c r="D14" s="287">
        <f t="shared" si="0"/>
        <v>160111823.63137332</v>
      </c>
      <c r="E14" s="287">
        <f t="shared" si="1"/>
        <v>40027955.907843322</v>
      </c>
      <c r="F14" s="287">
        <f t="shared" si="3"/>
        <v>20013977.953921661</v>
      </c>
      <c r="G14" s="287">
        <f t="shared" si="2"/>
        <v>20013977.953921661</v>
      </c>
    </row>
    <row r="15" spans="1:12" x14ac:dyDescent="0.25">
      <c r="A15" s="79">
        <v>14</v>
      </c>
      <c r="B15" s="284">
        <v>2037</v>
      </c>
      <c r="C15" s="287">
        <f>'7.3. Stage 3 budget'!O128</f>
        <v>204291323.92387936</v>
      </c>
      <c r="D15" s="287">
        <f t="shared" si="0"/>
        <v>163433059.1391035</v>
      </c>
      <c r="E15" s="287">
        <f t="shared" si="1"/>
        <v>40858264.784775853</v>
      </c>
      <c r="F15" s="287">
        <f t="shared" si="3"/>
        <v>20429132.392387927</v>
      </c>
      <c r="G15" s="287">
        <f t="shared" si="2"/>
        <v>20429132.392387927</v>
      </c>
    </row>
    <row r="16" spans="1:12" x14ac:dyDescent="0.25">
      <c r="A16" s="79">
        <v>15</v>
      </c>
      <c r="B16" s="284">
        <v>2038</v>
      </c>
      <c r="C16" s="287">
        <f>'7.3. Stage 3 budget'!O163</f>
        <v>208604308.03570887</v>
      </c>
      <c r="D16" s="287">
        <f t="shared" si="0"/>
        <v>166883446.42856711</v>
      </c>
      <c r="E16" s="287">
        <f t="shared" si="1"/>
        <v>41720861.607141763</v>
      </c>
      <c r="F16" s="287">
        <f t="shared" si="3"/>
        <v>20860430.803570881</v>
      </c>
      <c r="G16" s="287">
        <f t="shared" si="2"/>
        <v>20860430.803570881</v>
      </c>
    </row>
    <row r="17" spans="1:7" x14ac:dyDescent="0.25">
      <c r="A17" s="79">
        <v>16</v>
      </c>
      <c r="B17" s="284">
        <v>2039</v>
      </c>
      <c r="C17" s="287">
        <f>'7.3. Stage 3 budget'!O198</f>
        <v>213085164.99412468</v>
      </c>
      <c r="D17" s="287">
        <f t="shared" si="0"/>
        <v>170468131.99529976</v>
      </c>
      <c r="E17" s="287">
        <f t="shared" si="1"/>
        <v>42617032.998824924</v>
      </c>
      <c r="F17" s="287">
        <f t="shared" si="3"/>
        <v>21308516.499412462</v>
      </c>
      <c r="G17" s="287">
        <f t="shared" si="2"/>
        <v>21308516.499412462</v>
      </c>
    </row>
    <row r="18" spans="1:7" x14ac:dyDescent="0.25">
      <c r="A18" s="79">
        <v>17</v>
      </c>
      <c r="B18" s="284">
        <v>2040</v>
      </c>
      <c r="C18" s="287">
        <f>'7.4. Stage 4 budget'!O24</f>
        <v>206196751.46259281</v>
      </c>
      <c r="D18" s="287">
        <f t="shared" si="0"/>
        <v>164957401.17007425</v>
      </c>
      <c r="E18" s="287">
        <f t="shared" si="1"/>
        <v>41239350.292518556</v>
      </c>
      <c r="F18" s="287">
        <f t="shared" si="3"/>
        <v>20619675.146259278</v>
      </c>
      <c r="G18" s="287">
        <f t="shared" si="2"/>
        <v>20619675.146259278</v>
      </c>
    </row>
    <row r="19" spans="1:7" x14ac:dyDescent="0.25">
      <c r="A19" s="79">
        <v>18</v>
      </c>
      <c r="B19" s="284">
        <v>2041</v>
      </c>
      <c r="C19" s="287">
        <f>'7.4. Stage 4 budget'!O59</f>
        <v>212515932.43873325</v>
      </c>
      <c r="D19" s="287">
        <f t="shared" si="0"/>
        <v>170012745.95098662</v>
      </c>
      <c r="E19" s="287">
        <f t="shared" si="1"/>
        <v>42503186.487746626</v>
      </c>
      <c r="F19" s="287">
        <f t="shared" si="3"/>
        <v>21251593.243873313</v>
      </c>
      <c r="G19" s="287">
        <f t="shared" si="2"/>
        <v>21251593.243873313</v>
      </c>
    </row>
    <row r="20" spans="1:7" x14ac:dyDescent="0.25">
      <c r="A20" s="79">
        <v>19</v>
      </c>
      <c r="B20" s="284">
        <v>2042</v>
      </c>
      <c r="C20" s="287">
        <f>'7.5. Stage 5&amp;6 budget'!O25</f>
        <v>220906394.81085351</v>
      </c>
      <c r="D20" s="287">
        <f t="shared" si="0"/>
        <v>176725115.84868282</v>
      </c>
      <c r="E20" s="287">
        <f t="shared" si="1"/>
        <v>44181278.96217069</v>
      </c>
      <c r="F20" s="287">
        <f t="shared" si="3"/>
        <v>22090639.481085345</v>
      </c>
      <c r="G20" s="287">
        <f t="shared" si="2"/>
        <v>22090639.481085345</v>
      </c>
    </row>
    <row r="21" spans="1:7" x14ac:dyDescent="0.25">
      <c r="A21" s="79">
        <v>20</v>
      </c>
      <c r="B21" s="284">
        <v>2043</v>
      </c>
      <c r="C21" s="287">
        <f>'7.5. Stage 5&amp;6 budget'!O61</f>
        <v>227804495.11513352</v>
      </c>
      <c r="D21" s="287">
        <f t="shared" si="0"/>
        <v>182243596.09210682</v>
      </c>
      <c r="E21" s="287">
        <f t="shared" si="1"/>
        <v>45560899.023026705</v>
      </c>
      <c r="F21" s="287">
        <f t="shared" si="3"/>
        <v>22780449.511513352</v>
      </c>
      <c r="G21" s="287">
        <f t="shared" si="2"/>
        <v>22780449.511513352</v>
      </c>
    </row>
    <row r="22" spans="1:7" x14ac:dyDescent="0.25">
      <c r="A22" s="79">
        <v>21</v>
      </c>
      <c r="B22" s="284">
        <v>2044</v>
      </c>
      <c r="C22" s="287">
        <f>'7.5. Stage 5&amp;6 budget'!O97</f>
        <v>234973748.60841212</v>
      </c>
      <c r="D22" s="287">
        <f t="shared" si="0"/>
        <v>187978998.88672972</v>
      </c>
      <c r="E22" s="287">
        <f t="shared" si="1"/>
        <v>46994749.7216824</v>
      </c>
      <c r="F22" s="287">
        <f t="shared" si="3"/>
        <v>23497374.8608412</v>
      </c>
      <c r="G22" s="287">
        <f t="shared" si="2"/>
        <v>23497374.8608412</v>
      </c>
    </row>
    <row r="23" spans="1:7" x14ac:dyDescent="0.25">
      <c r="A23" s="79">
        <v>22</v>
      </c>
      <c r="B23" s="284">
        <v>2045</v>
      </c>
      <c r="C23" s="287">
        <f>'7.5. Stage 5&amp;6 budget'!O133</f>
        <v>242424976.16095009</v>
      </c>
      <c r="D23" s="287">
        <f t="shared" si="0"/>
        <v>193939980.92876008</v>
      </c>
      <c r="E23" s="287">
        <f t="shared" si="1"/>
        <v>48484995.232190013</v>
      </c>
      <c r="F23" s="287">
        <f t="shared" si="3"/>
        <v>24242497.616095006</v>
      </c>
      <c r="G23" s="287">
        <f t="shared" si="2"/>
        <v>24242497.616095006</v>
      </c>
    </row>
    <row r="24" spans="1:7" x14ac:dyDescent="0.25">
      <c r="A24" s="79">
        <v>23</v>
      </c>
      <c r="B24" s="284">
        <v>2046</v>
      </c>
      <c r="C24" s="287">
        <f>'7.5. Stage 5&amp;6 budget'!O169</f>
        <v>250169431.34410357</v>
      </c>
      <c r="D24" s="287">
        <f t="shared" si="0"/>
        <v>200135545.07528287</v>
      </c>
      <c r="E24" s="287">
        <f t="shared" si="1"/>
        <v>50033886.268820703</v>
      </c>
      <c r="F24" s="287">
        <f t="shared" si="3"/>
        <v>25016943.134410352</v>
      </c>
      <c r="G24" s="287">
        <f t="shared" si="2"/>
        <v>25016943.134410352</v>
      </c>
    </row>
    <row r="25" spans="1:7" x14ac:dyDescent="0.25">
      <c r="A25" s="79">
        <v>24</v>
      </c>
      <c r="B25" s="284">
        <v>2047</v>
      </c>
      <c r="C25" s="287">
        <f>'7.5. Stage 5&amp;6 budget'!O205</f>
        <v>258218817.73766002</v>
      </c>
      <c r="D25" s="287">
        <f t="shared" si="0"/>
        <v>206575054.19012803</v>
      </c>
      <c r="E25" s="287">
        <f t="shared" si="1"/>
        <v>51643763.547531992</v>
      </c>
      <c r="F25" s="287">
        <f t="shared" si="3"/>
        <v>25821881.773765996</v>
      </c>
      <c r="G25" s="287">
        <f t="shared" si="2"/>
        <v>25821881.773765996</v>
      </c>
    </row>
    <row r="26" spans="1:7" x14ac:dyDescent="0.25">
      <c r="A26" s="79">
        <v>25</v>
      </c>
      <c r="B26" s="284">
        <v>2048</v>
      </c>
      <c r="C26" s="287">
        <f>'7.5. Stage 5&amp;6 budget'!O241</f>
        <v>268892280.67786604</v>
      </c>
      <c r="D26" s="287">
        <f t="shared" si="0"/>
        <v>215113824.54229283</v>
      </c>
      <c r="E26" s="287">
        <f t="shared" si="1"/>
        <v>53778456.135573208</v>
      </c>
      <c r="F26" s="287">
        <f t="shared" si="3"/>
        <v>26889228.067786604</v>
      </c>
      <c r="G26" s="287">
        <f t="shared" si="2"/>
        <v>26889228.067786604</v>
      </c>
    </row>
    <row r="27" spans="1:7" x14ac:dyDescent="0.25">
      <c r="A27" s="79">
        <v>26</v>
      </c>
      <c r="B27" s="284">
        <v>2049</v>
      </c>
      <c r="C27" s="287">
        <f>'7.5. Stage 5&amp;6 budget'!O277</f>
        <v>277680809.9333604</v>
      </c>
      <c r="D27" s="287">
        <f t="shared" si="0"/>
        <v>222144647.94668832</v>
      </c>
      <c r="E27" s="287">
        <f t="shared" si="1"/>
        <v>55536161.986672074</v>
      </c>
      <c r="F27" s="287">
        <f t="shared" si="3"/>
        <v>27768080.993336037</v>
      </c>
      <c r="G27" s="287">
        <f t="shared" si="2"/>
        <v>27768080.993336037</v>
      </c>
    </row>
    <row r="28" spans="1:7" x14ac:dyDescent="0.25">
      <c r="A28" s="79">
        <v>27</v>
      </c>
      <c r="B28" s="284">
        <v>2050</v>
      </c>
      <c r="C28" s="287">
        <f>'7.5. Stage 5&amp;6 budget'!O313</f>
        <v>286815955.972166</v>
      </c>
      <c r="D28" s="287">
        <f t="shared" si="0"/>
        <v>229452764.77773282</v>
      </c>
      <c r="E28" s="287">
        <f t="shared" si="1"/>
        <v>57363191.194433182</v>
      </c>
      <c r="F28" s="287">
        <f t="shared" si="3"/>
        <v>28681595.597216591</v>
      </c>
      <c r="G28" s="287">
        <f t="shared" si="2"/>
        <v>28681595.597216591</v>
      </c>
    </row>
    <row r="29" spans="1:7" x14ac:dyDescent="0.25">
      <c r="A29" s="79">
        <v>28</v>
      </c>
      <c r="B29" s="284">
        <v>2051</v>
      </c>
      <c r="C29" s="287">
        <f>'7.5. Stage 5&amp;6 budget'!O348</f>
        <v>273814057.39533162</v>
      </c>
      <c r="D29" s="287">
        <f t="shared" si="0"/>
        <v>219051245.91626531</v>
      </c>
      <c r="E29" s="287">
        <f t="shared" si="1"/>
        <v>54762811.479066312</v>
      </c>
      <c r="F29" s="287">
        <f t="shared" si="3"/>
        <v>27381405.739533156</v>
      </c>
      <c r="G29" s="287">
        <f t="shared" si="2"/>
        <v>27381405.739533156</v>
      </c>
    </row>
    <row r="30" spans="1:7" x14ac:dyDescent="0.25">
      <c r="A30" s="79">
        <v>29</v>
      </c>
      <c r="B30" s="284">
        <v>2052</v>
      </c>
      <c r="C30" s="287">
        <f>'7.5. Stage 5&amp;6 budget'!O383</f>
        <v>283684506.20992893</v>
      </c>
      <c r="D30" s="287">
        <f t="shared" si="0"/>
        <v>226947604.96794316</v>
      </c>
      <c r="E30" s="287">
        <f t="shared" si="1"/>
        <v>56736901.241985768</v>
      </c>
      <c r="F30" s="287">
        <f t="shared" si="3"/>
        <v>28368450.620992884</v>
      </c>
      <c r="G30" s="287">
        <f t="shared" si="2"/>
        <v>28368450.620992884</v>
      </c>
    </row>
    <row r="31" spans="1:7" x14ac:dyDescent="0.25">
      <c r="A31" s="79">
        <v>30</v>
      </c>
      <c r="B31" s="284">
        <v>2053</v>
      </c>
      <c r="C31" s="287">
        <f>'7.5. Stage 5&amp;6 budget'!O418</f>
        <v>293944769.96456242</v>
      </c>
      <c r="D31" s="287">
        <f t="shared" si="0"/>
        <v>235155815.97164994</v>
      </c>
      <c r="E31" s="287">
        <f t="shared" si="1"/>
        <v>58788953.992912471</v>
      </c>
      <c r="F31" s="287">
        <f t="shared" si="3"/>
        <v>29394476.996456236</v>
      </c>
      <c r="G31" s="287">
        <f t="shared" si="2"/>
        <v>29394476.996456236</v>
      </c>
    </row>
    <row r="32" spans="1:7" x14ac:dyDescent="0.25">
      <c r="A32" s="79">
        <v>31</v>
      </c>
      <c r="B32" s="284">
        <v>2054</v>
      </c>
      <c r="C32" s="287">
        <f>'7.6. Stage 7&amp;8 budget'!O24</f>
        <v>261199971.64671054</v>
      </c>
      <c r="D32" s="287">
        <f t="shared" si="0"/>
        <v>208959977.31736845</v>
      </c>
      <c r="E32" s="287">
        <f t="shared" si="1"/>
        <v>52239994.329342097</v>
      </c>
      <c r="F32" s="287">
        <f t="shared" si="3"/>
        <v>26119997.164671049</v>
      </c>
      <c r="G32" s="287">
        <f t="shared" si="2"/>
        <v>26119997.164671049</v>
      </c>
    </row>
    <row r="33" spans="1:7" x14ac:dyDescent="0.25">
      <c r="A33" s="79">
        <v>32</v>
      </c>
      <c r="B33" s="284">
        <v>2055</v>
      </c>
      <c r="C33" s="287">
        <f>'7.6. Stage 7&amp;8 budget'!O58</f>
        <v>233574002.46415076</v>
      </c>
      <c r="D33" s="287">
        <f t="shared" si="0"/>
        <v>186859201.97132063</v>
      </c>
      <c r="E33" s="287">
        <f t="shared" si="1"/>
        <v>46714800.492830127</v>
      </c>
      <c r="F33" s="287">
        <f t="shared" si="3"/>
        <v>23357400.246415064</v>
      </c>
      <c r="G33" s="287">
        <f t="shared" si="2"/>
        <v>23357400.246415064</v>
      </c>
    </row>
    <row r="34" spans="1:7" x14ac:dyDescent="0.25">
      <c r="A34" s="79">
        <v>33</v>
      </c>
      <c r="B34" s="284">
        <v>2056</v>
      </c>
      <c r="C34" s="287">
        <f>'7.6. Stage 7&amp;8 budget'!O92</f>
        <v>242794109.59539029</v>
      </c>
      <c r="D34" s="287">
        <f t="shared" si="0"/>
        <v>194235287.67631224</v>
      </c>
      <c r="E34" s="287">
        <f t="shared" si="1"/>
        <v>48558821.919078052</v>
      </c>
      <c r="F34" s="287">
        <f t="shared" si="3"/>
        <v>24279410.959539026</v>
      </c>
      <c r="G34" s="287">
        <f t="shared" si="2"/>
        <v>24279410.959539026</v>
      </c>
    </row>
    <row r="35" spans="1:7" x14ac:dyDescent="0.25">
      <c r="A35" s="79">
        <v>34</v>
      </c>
      <c r="B35" s="284">
        <v>2057</v>
      </c>
      <c r="C35" s="287">
        <f>'7.6. Stage 7&amp;8 budget'!O126</f>
        <v>288634187.62153286</v>
      </c>
      <c r="D35" s="287">
        <f t="shared" si="0"/>
        <v>230907350.09722629</v>
      </c>
      <c r="E35" s="287">
        <f t="shared" si="1"/>
        <v>57726837.524306566</v>
      </c>
      <c r="F35" s="287">
        <f t="shared" si="3"/>
        <v>28863418.762153283</v>
      </c>
      <c r="G35" s="287">
        <f t="shared" si="2"/>
        <v>28863418.762153283</v>
      </c>
    </row>
    <row r="36" spans="1:7" x14ac:dyDescent="0.25">
      <c r="A36" s="79">
        <v>35</v>
      </c>
      <c r="B36" s="284">
        <v>2058</v>
      </c>
      <c r="C36" s="287">
        <f>'7.6. Stage 7&amp;8 budget'!O160</f>
        <v>253168030.64393163</v>
      </c>
      <c r="D36" s="287">
        <f t="shared" si="0"/>
        <v>202534424.5151453</v>
      </c>
      <c r="E36" s="287">
        <f t="shared" si="1"/>
        <v>50633606.128786325</v>
      </c>
      <c r="F36" s="287">
        <f t="shared" si="3"/>
        <v>25316803.064393163</v>
      </c>
      <c r="G36" s="287">
        <f t="shared" si="2"/>
        <v>25316803.064393163</v>
      </c>
    </row>
    <row r="37" spans="1:7" x14ac:dyDescent="0.25">
      <c r="A37" s="79">
        <v>36</v>
      </c>
      <c r="B37" s="284">
        <v>2059</v>
      </c>
      <c r="C37" s="287">
        <f>'7.6. Stage 7&amp;8 budget'!O193</f>
        <v>260320348.37001899</v>
      </c>
      <c r="D37" s="287">
        <f t="shared" si="0"/>
        <v>208256278.69601521</v>
      </c>
      <c r="E37" s="287">
        <f t="shared" si="1"/>
        <v>52064069.67400378</v>
      </c>
      <c r="F37" s="287">
        <f t="shared" si="3"/>
        <v>26032034.83700189</v>
      </c>
      <c r="G37" s="287">
        <f t="shared" si="2"/>
        <v>26032034.83700189</v>
      </c>
    </row>
    <row r="38" spans="1:7" x14ac:dyDescent="0.25">
      <c r="A38" s="79">
        <v>37</v>
      </c>
      <c r="B38" s="284">
        <v>2060</v>
      </c>
      <c r="C38" s="287">
        <f>'7.7. Stage 9&amp;10&amp;11'!O23</f>
        <v>195042367.73472238</v>
      </c>
      <c r="D38" s="287">
        <f t="shared" si="0"/>
        <v>156033894.18777791</v>
      </c>
      <c r="E38" s="287">
        <f t="shared" si="1"/>
        <v>39008473.546944469</v>
      </c>
      <c r="F38" s="287">
        <f t="shared" si="3"/>
        <v>19504236.773472235</v>
      </c>
      <c r="G38" s="287">
        <f t="shared" si="2"/>
        <v>19504236.773472235</v>
      </c>
    </row>
    <row r="39" spans="1:7" x14ac:dyDescent="0.25">
      <c r="A39" s="79">
        <v>38</v>
      </c>
      <c r="B39" s="284">
        <v>2061</v>
      </c>
      <c r="C39" s="287">
        <f>'7.7. Stage 9&amp;10&amp;11'!O56</f>
        <v>201618797.1682452</v>
      </c>
      <c r="D39" s="287">
        <f t="shared" si="0"/>
        <v>161295037.73459616</v>
      </c>
      <c r="E39" s="287">
        <f t="shared" si="1"/>
        <v>40323759.433649033</v>
      </c>
      <c r="F39" s="287">
        <f t="shared" si="3"/>
        <v>20161879.716824517</v>
      </c>
      <c r="G39" s="287">
        <f t="shared" si="2"/>
        <v>20161879.716824517</v>
      </c>
    </row>
    <row r="40" spans="1:7" x14ac:dyDescent="0.25">
      <c r="A40" s="79">
        <v>39</v>
      </c>
      <c r="B40" s="284">
        <v>2062</v>
      </c>
      <c r="C40" s="287">
        <f>'7.7. Stage 9&amp;10&amp;11'!O89</f>
        <v>208651242.23586813</v>
      </c>
      <c r="D40" s="287">
        <f t="shared" si="0"/>
        <v>166920993.7886945</v>
      </c>
      <c r="E40" s="287">
        <f t="shared" si="1"/>
        <v>41730248.447173625</v>
      </c>
      <c r="F40" s="287">
        <f t="shared" si="3"/>
        <v>20865124.223586813</v>
      </c>
      <c r="G40" s="287">
        <f t="shared" si="2"/>
        <v>20865124.223586813</v>
      </c>
    </row>
    <row r="41" spans="1:7" x14ac:dyDescent="0.25">
      <c r="A41" s="79">
        <v>40</v>
      </c>
      <c r="B41" s="284">
        <v>2063</v>
      </c>
      <c r="C41" s="287">
        <f>'7.7. Stage 9&amp;10&amp;11'!O122</f>
        <v>213420839.11461198</v>
      </c>
      <c r="D41" s="287">
        <f t="shared" si="0"/>
        <v>170736671.2916896</v>
      </c>
      <c r="E41" s="287">
        <f t="shared" si="1"/>
        <v>42684167.822922379</v>
      </c>
      <c r="F41" s="287">
        <f t="shared" si="3"/>
        <v>21342083.911461189</v>
      </c>
      <c r="G41" s="287">
        <f t="shared" si="2"/>
        <v>21342083.911461189</v>
      </c>
    </row>
    <row r="42" spans="1:7" x14ac:dyDescent="0.25">
      <c r="A42" s="79">
        <v>41</v>
      </c>
      <c r="B42" s="284">
        <v>2064</v>
      </c>
      <c r="C42" s="287">
        <f>'7.7. Stage 9&amp;10&amp;11'!O155</f>
        <v>220757672.67919639</v>
      </c>
      <c r="D42" s="287">
        <f t="shared" si="0"/>
        <v>176606138.14335713</v>
      </c>
      <c r="E42" s="287">
        <f t="shared" si="1"/>
        <v>44151534.53583926</v>
      </c>
      <c r="F42" s="287">
        <f t="shared" si="3"/>
        <v>22075767.26791963</v>
      </c>
      <c r="G42" s="287">
        <f t="shared" si="2"/>
        <v>22075767.26791963</v>
      </c>
    </row>
    <row r="43" spans="1:7" x14ac:dyDescent="0.25">
      <c r="A43" s="79">
        <v>42</v>
      </c>
      <c r="B43" s="284">
        <v>2065</v>
      </c>
      <c r="C43" s="287">
        <f>'7.7. Stage 9&amp;10&amp;11'!O187</f>
        <v>228387979.5863643</v>
      </c>
      <c r="D43" s="287">
        <f t="shared" si="0"/>
        <v>182710383.66909146</v>
      </c>
      <c r="E43" s="287">
        <f t="shared" si="1"/>
        <v>45677595.917272836</v>
      </c>
      <c r="F43" s="287">
        <f t="shared" si="3"/>
        <v>22838797.958636418</v>
      </c>
      <c r="G43" s="287">
        <f t="shared" si="2"/>
        <v>22838797.958636418</v>
      </c>
    </row>
    <row r="44" spans="1:7" x14ac:dyDescent="0.25">
      <c r="A44" s="79">
        <v>43</v>
      </c>
      <c r="B44" s="284">
        <v>2066</v>
      </c>
      <c r="C44" s="287">
        <f>'7.7. Stage 9&amp;10&amp;11'!O219</f>
        <v>236323498.76981881</v>
      </c>
      <c r="D44" s="287">
        <f t="shared" si="0"/>
        <v>189058799.01585507</v>
      </c>
      <c r="E44" s="287">
        <f t="shared" si="1"/>
        <v>47264699.753963739</v>
      </c>
      <c r="F44" s="287">
        <f t="shared" si="3"/>
        <v>23632349.876981869</v>
      </c>
      <c r="G44" s="287">
        <f t="shared" si="2"/>
        <v>23632349.876981869</v>
      </c>
    </row>
    <row r="45" spans="1:7" x14ac:dyDescent="0.25">
      <c r="A45" s="79">
        <v>44</v>
      </c>
      <c r="B45" s="284">
        <v>2067</v>
      </c>
      <c r="C45" s="287">
        <f>'7.7. Stage 9&amp;10&amp;11'!O251</f>
        <v>244576438.72061166</v>
      </c>
      <c r="D45" s="287">
        <f t="shared" si="0"/>
        <v>195661150.97648934</v>
      </c>
      <c r="E45" s="287">
        <f t="shared" si="1"/>
        <v>48915287.744122326</v>
      </c>
      <c r="F45" s="287">
        <f t="shared" si="3"/>
        <v>24457643.872061163</v>
      </c>
      <c r="G45" s="287">
        <f t="shared" si="2"/>
        <v>24457643.872061163</v>
      </c>
    </row>
    <row r="46" spans="1:7" x14ac:dyDescent="0.25">
      <c r="A46" s="79">
        <v>45</v>
      </c>
      <c r="B46" s="284">
        <v>2068</v>
      </c>
      <c r="C46" s="287">
        <f>'7.7. Stage 9&amp;10&amp;11'!O283</f>
        <v>253159496.26943603</v>
      </c>
      <c r="D46" s="287">
        <f t="shared" si="0"/>
        <v>202527597.01554883</v>
      </c>
      <c r="E46" s="287">
        <f t="shared" si="1"/>
        <v>50631899.253887206</v>
      </c>
      <c r="F46" s="287">
        <f t="shared" si="3"/>
        <v>25315949.626943603</v>
      </c>
      <c r="G46" s="287">
        <f t="shared" si="2"/>
        <v>25315949.626943603</v>
      </c>
    </row>
    <row r="47" spans="1:7" x14ac:dyDescent="0.25">
      <c r="A47" s="79">
        <v>46</v>
      </c>
      <c r="B47" s="284">
        <v>2069</v>
      </c>
      <c r="C47" s="287">
        <f>'7.7. Stage 9&amp;10&amp;11'!O315</f>
        <v>262085876.1202136</v>
      </c>
      <c r="D47" s="287">
        <f t="shared" si="0"/>
        <v>209668700.89617088</v>
      </c>
      <c r="E47" s="287">
        <f t="shared" si="1"/>
        <v>52417175.224042714</v>
      </c>
      <c r="F47" s="287">
        <f t="shared" si="3"/>
        <v>26208587.612021357</v>
      </c>
      <c r="G47" s="287">
        <f t="shared" si="2"/>
        <v>26208587.612021357</v>
      </c>
    </row>
    <row r="48" spans="1:7" x14ac:dyDescent="0.25">
      <c r="A48" s="79">
        <v>47</v>
      </c>
      <c r="B48" s="284">
        <v>2070</v>
      </c>
      <c r="C48" s="287">
        <f>'7.7. Stage 9&amp;10&amp;11'!O347</f>
        <v>271369311.16502208</v>
      </c>
      <c r="D48" s="287">
        <f t="shared" si="0"/>
        <v>217095448.93201768</v>
      </c>
      <c r="E48" s="287">
        <f t="shared" si="1"/>
        <v>54273862.233004391</v>
      </c>
      <c r="F48" s="287">
        <f t="shared" si="3"/>
        <v>27136931.116502196</v>
      </c>
      <c r="G48" s="287">
        <f t="shared" si="2"/>
        <v>27136931.116502196</v>
      </c>
    </row>
    <row r="49" spans="1:7" x14ac:dyDescent="0.25">
      <c r="A49" s="79">
        <v>48</v>
      </c>
      <c r="B49" s="284">
        <v>2071</v>
      </c>
      <c r="C49" s="287">
        <f>'7.7. Stage 9&amp;10&amp;11'!O379</f>
        <v>281024083.61162293</v>
      </c>
      <c r="D49" s="287">
        <f t="shared" si="0"/>
        <v>224819266.88929835</v>
      </c>
      <c r="E49" s="287">
        <f t="shared" si="1"/>
        <v>56204816.72232458</v>
      </c>
      <c r="F49" s="287">
        <f t="shared" si="3"/>
        <v>28102408.36116229</v>
      </c>
      <c r="G49" s="287">
        <f t="shared" si="2"/>
        <v>28102408.36116229</v>
      </c>
    </row>
    <row r="50" spans="1:7" x14ac:dyDescent="0.25">
      <c r="A50" s="79">
        <v>49</v>
      </c>
      <c r="B50" s="284">
        <v>2072</v>
      </c>
      <c r="C50" s="287">
        <f>'7.7. Stage 9&amp;10&amp;11'!O411</f>
        <v>291065046.95608795</v>
      </c>
      <c r="D50" s="287">
        <f t="shared" si="0"/>
        <v>232852037.56487036</v>
      </c>
      <c r="E50" s="287">
        <f t="shared" si="1"/>
        <v>58213009.391217589</v>
      </c>
      <c r="F50" s="287">
        <f t="shared" si="3"/>
        <v>29106504.695608795</v>
      </c>
      <c r="G50" s="287">
        <f t="shared" si="2"/>
        <v>29106504.695608795</v>
      </c>
    </row>
    <row r="51" spans="1:7" x14ac:dyDescent="0.25">
      <c r="A51" s="79">
        <v>50</v>
      </c>
      <c r="B51" s="284">
        <v>2073</v>
      </c>
      <c r="C51" s="287">
        <f>'7.7. Stage 9&amp;10&amp;11'!O443</f>
        <v>301507648.83433139</v>
      </c>
      <c r="D51" s="287">
        <f t="shared" si="0"/>
        <v>241206119.06746513</v>
      </c>
      <c r="E51" s="287">
        <f t="shared" si="1"/>
        <v>60301529.766866267</v>
      </c>
      <c r="F51" s="287">
        <f t="shared" si="3"/>
        <v>30150764.883433133</v>
      </c>
      <c r="G51" s="287">
        <f t="shared" si="2"/>
        <v>30150764.883433133</v>
      </c>
    </row>
    <row r="52" spans="1:7" x14ac:dyDescent="0.25">
      <c r="A52" s="79">
        <v>51</v>
      </c>
      <c r="B52" s="284">
        <v>2074</v>
      </c>
      <c r="C52" s="287">
        <f>'7.7. Stage 9&amp;10&amp;11'!O475</f>
        <v>312367954.78770471</v>
      </c>
      <c r="D52" s="287">
        <f t="shared" si="0"/>
        <v>249894363.83016378</v>
      </c>
      <c r="E52" s="287">
        <f t="shared" si="1"/>
        <v>62473590.957540929</v>
      </c>
      <c r="F52" s="287">
        <f t="shared" si="3"/>
        <v>31236795.478770465</v>
      </c>
      <c r="G52" s="287">
        <f t="shared" si="2"/>
        <v>31236795.478770465</v>
      </c>
    </row>
    <row r="53" spans="1:7" x14ac:dyDescent="0.25">
      <c r="A53" s="79">
        <v>52</v>
      </c>
      <c r="B53" s="284">
        <v>2075</v>
      </c>
      <c r="C53" s="287">
        <f>'7.7. Stage 9&amp;10&amp;11'!O507</f>
        <v>323662672.97921282</v>
      </c>
      <c r="D53" s="287">
        <f t="shared" si="0"/>
        <v>258930138.38337028</v>
      </c>
      <c r="E53" s="287">
        <f t="shared" si="1"/>
        <v>64732534.59584254</v>
      </c>
      <c r="F53" s="287">
        <f t="shared" si="3"/>
        <v>32366267.29792127</v>
      </c>
      <c r="G53" s="287">
        <f t="shared" si="2"/>
        <v>32366267.29792127</v>
      </c>
    </row>
    <row r="54" spans="1:7" x14ac:dyDescent="0.25">
      <c r="A54" s="79">
        <v>53</v>
      </c>
      <c r="B54" s="284">
        <v>2076</v>
      </c>
      <c r="C54" s="287">
        <f>'7.7. Stage 9&amp;10&amp;11'!O539</f>
        <v>335409179.89838147</v>
      </c>
      <c r="D54" s="287">
        <f t="shared" si="0"/>
        <v>268327343.9187052</v>
      </c>
      <c r="E54" s="287">
        <f t="shared" si="1"/>
        <v>67081835.979676276</v>
      </c>
      <c r="F54" s="287">
        <f t="shared" si="3"/>
        <v>33540917.989838138</v>
      </c>
      <c r="G54" s="287">
        <f t="shared" si="2"/>
        <v>33540917.989838138</v>
      </c>
    </row>
    <row r="55" spans="1:7" x14ac:dyDescent="0.25">
      <c r="A55" s="79">
        <v>54</v>
      </c>
      <c r="B55" s="284">
        <v>2077</v>
      </c>
      <c r="C55" s="287">
        <f>'7.7. Stage 9&amp;10&amp;11'!O571</f>
        <v>347625547.09431672</v>
      </c>
      <c r="D55" s="287">
        <f t="shared" si="0"/>
        <v>278100437.67545336</v>
      </c>
      <c r="E55" s="287">
        <f t="shared" si="1"/>
        <v>69525109.418863356</v>
      </c>
      <c r="F55" s="287">
        <f t="shared" si="3"/>
        <v>34762554.709431678</v>
      </c>
      <c r="G55" s="287">
        <f t="shared" si="2"/>
        <v>34762554.709431678</v>
      </c>
    </row>
    <row r="56" spans="1:7" x14ac:dyDescent="0.25">
      <c r="A56" s="79">
        <v>55</v>
      </c>
      <c r="B56" s="284">
        <v>2078</v>
      </c>
      <c r="C56" s="287">
        <f>'7.7. Stage 9&amp;10&amp;11'!O603</f>
        <v>360330568.97808957</v>
      </c>
      <c r="D56" s="287">
        <f t="shared" si="0"/>
        <v>288264455.18247169</v>
      </c>
      <c r="E56" s="287">
        <f t="shared" si="1"/>
        <v>72066113.795617878</v>
      </c>
      <c r="F56" s="287">
        <f t="shared" si="3"/>
        <v>36033056.897808939</v>
      </c>
      <c r="G56" s="287">
        <f t="shared" si="2"/>
        <v>36033056.897808939</v>
      </c>
    </row>
    <row r="57" spans="1:7" x14ac:dyDescent="0.25">
      <c r="A57" s="79">
        <v>56</v>
      </c>
      <c r="B57" s="284">
        <v>2079</v>
      </c>
      <c r="C57" s="287">
        <f>'7.7. Stage 9&amp;10&amp;11'!O635</f>
        <v>373543791.7372129</v>
      </c>
      <c r="D57" s="287">
        <f t="shared" si="0"/>
        <v>298835033.38977033</v>
      </c>
      <c r="E57" s="287">
        <f t="shared" si="1"/>
        <v>74708758.347442567</v>
      </c>
      <c r="F57" s="287">
        <f t="shared" si="3"/>
        <v>37354379.173721284</v>
      </c>
      <c r="G57" s="287">
        <f t="shared" si="2"/>
        <v>37354379.173721284</v>
      </c>
    </row>
    <row r="58" spans="1:7" x14ac:dyDescent="0.25">
      <c r="A58" s="79">
        <v>57</v>
      </c>
      <c r="B58" s="284">
        <v>2080</v>
      </c>
      <c r="C58" s="287">
        <f>'7.7. Stage 9&amp;10&amp;11'!O667</f>
        <v>387285543.40670156</v>
      </c>
      <c r="D58" s="287">
        <f t="shared" si="0"/>
        <v>309828434.72536129</v>
      </c>
      <c r="E58" s="287">
        <f t="shared" si="1"/>
        <v>77457108.681340277</v>
      </c>
      <c r="F58" s="287">
        <f t="shared" si="3"/>
        <v>38728554.340670139</v>
      </c>
      <c r="G58" s="287">
        <f t="shared" si="2"/>
        <v>38728554.340670139</v>
      </c>
    </row>
    <row r="59" spans="1:7" x14ac:dyDescent="0.25">
      <c r="A59" s="79">
        <v>58</v>
      </c>
      <c r="B59" s="284">
        <v>2081</v>
      </c>
      <c r="C59" s="287">
        <f>'7.7. Stage 9&amp;10&amp;11'!O699</f>
        <v>401576965.14296943</v>
      </c>
      <c r="D59" s="287">
        <f t="shared" si="0"/>
        <v>321261572.11437553</v>
      </c>
      <c r="E59" s="287">
        <f t="shared" si="1"/>
        <v>80315393.028593898</v>
      </c>
      <c r="F59" s="287">
        <f t="shared" si="3"/>
        <v>40157696.514296949</v>
      </c>
      <c r="G59" s="287">
        <f t="shared" si="2"/>
        <v>40157696.514296949</v>
      </c>
    </row>
    <row r="60" spans="1:7" x14ac:dyDescent="0.25">
      <c r="A60" s="79">
        <v>59</v>
      </c>
      <c r="B60" s="284">
        <v>2082</v>
      </c>
      <c r="C60" s="287">
        <f>'7.7. Stage 9&amp;10&amp;11'!O731</f>
        <v>416440043.7486884</v>
      </c>
      <c r="D60" s="287">
        <f t="shared" si="0"/>
        <v>333152034.99895072</v>
      </c>
      <c r="E60" s="287">
        <f t="shared" si="1"/>
        <v>83288008.74973768</v>
      </c>
      <c r="F60" s="287">
        <f t="shared" si="3"/>
        <v>41644004.37486884</v>
      </c>
      <c r="G60" s="287">
        <f t="shared" si="2"/>
        <v>41644004.37486884</v>
      </c>
    </row>
    <row r="61" spans="1:7" x14ac:dyDescent="0.25">
      <c r="A61" s="79">
        <v>60</v>
      </c>
      <c r="B61" s="284">
        <v>2083</v>
      </c>
      <c r="C61" s="287">
        <f>'7.7. Stage 9&amp;10&amp;11'!O763</f>
        <v>431897645.49863583</v>
      </c>
      <c r="D61" s="287">
        <f t="shared" si="0"/>
        <v>345518116.39890867</v>
      </c>
      <c r="E61" s="287">
        <f t="shared" si="1"/>
        <v>86379529.099727154</v>
      </c>
      <c r="F61" s="287">
        <f t="shared" si="3"/>
        <v>43189764.549863577</v>
      </c>
      <c r="G61" s="287">
        <f t="shared" si="2"/>
        <v>43189764.549863577</v>
      </c>
    </row>
    <row r="62" spans="1:7" x14ac:dyDescent="0.25">
      <c r="A62" s="79">
        <v>61</v>
      </c>
      <c r="B62" s="284">
        <v>2084</v>
      </c>
      <c r="C62" s="287">
        <f>'7.7. Stage 9&amp;10&amp;11'!O795</f>
        <v>447973551.3185814</v>
      </c>
      <c r="D62" s="287">
        <f t="shared" si="0"/>
        <v>358378841.05486512</v>
      </c>
      <c r="E62" s="287">
        <f t="shared" si="1"/>
        <v>89594710.26371628</v>
      </c>
      <c r="F62" s="287">
        <f t="shared" si="3"/>
        <v>44797355.13185814</v>
      </c>
      <c r="G62" s="287">
        <f t="shared" si="2"/>
        <v>44797355.13185814</v>
      </c>
    </row>
    <row r="63" spans="1:7" x14ac:dyDescent="0.25">
      <c r="A63" s="79">
        <v>62</v>
      </c>
      <c r="B63" s="284">
        <v>2085</v>
      </c>
      <c r="C63" s="287">
        <f>'7.7. Stage 9&amp;10&amp;11'!O827</f>
        <v>464692493.3713246</v>
      </c>
      <c r="D63" s="287">
        <f t="shared" si="0"/>
        <v>371753994.69705969</v>
      </c>
      <c r="E63" s="287">
        <f t="shared" si="1"/>
        <v>92938498.674264908</v>
      </c>
      <c r="F63" s="287">
        <f t="shared" si="3"/>
        <v>46469249.337132454</v>
      </c>
      <c r="G63" s="287">
        <f t="shared" si="2"/>
        <v>46469249.337132454</v>
      </c>
    </row>
    <row r="64" spans="1:7" x14ac:dyDescent="0.25">
      <c r="A64" s="79">
        <v>63</v>
      </c>
      <c r="B64" s="285">
        <v>2086</v>
      </c>
      <c r="C64" s="288">
        <f>'7.7. Stage 9&amp;10&amp;11'!O859</f>
        <v>482080193.10617775</v>
      </c>
      <c r="D64" s="288">
        <f t="shared" si="0"/>
        <v>385664154.4849422</v>
      </c>
      <c r="E64" s="288">
        <f t="shared" si="1"/>
        <v>96416038.621235549</v>
      </c>
      <c r="F64" s="288">
        <f t="shared" si="3"/>
        <v>48208019.310617775</v>
      </c>
      <c r="G64" s="288">
        <f t="shared" si="2"/>
        <v>48208019.310617775</v>
      </c>
    </row>
  </sheetData>
  <mergeCells count="1">
    <mergeCell ref="I1:L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953E3-A078-4629-AF84-2C2183B4E9EF}">
  <dimension ref="A1:X1018"/>
  <sheetViews>
    <sheetView showGridLines="0" zoomScale="85" zoomScaleNormal="85" workbookViewId="0">
      <selection activeCell="V19" sqref="V19:V1018"/>
    </sheetView>
  </sheetViews>
  <sheetFormatPr defaultRowHeight="13.8" x14ac:dyDescent="0.25"/>
  <cols>
    <col min="1" max="1" width="8.88671875" style="174"/>
    <col min="2" max="2" width="39.33203125" style="166" customWidth="1"/>
    <col min="3" max="3" width="6.6640625" style="166" bestFit="1" customWidth="1"/>
    <col min="4" max="4" width="26" style="170" bestFit="1" customWidth="1"/>
    <col min="5" max="5" width="19.88671875" style="170" bestFit="1" customWidth="1"/>
    <col min="6" max="6" width="16.6640625" style="170" bestFit="1" customWidth="1"/>
    <col min="7" max="7" width="23.21875" style="174" bestFit="1" customWidth="1"/>
    <col min="8" max="8" width="20.21875" style="174" bestFit="1" customWidth="1"/>
    <col min="9" max="9" width="27.5546875" style="174" bestFit="1" customWidth="1"/>
    <col min="10" max="10" width="30.109375" style="174" bestFit="1" customWidth="1"/>
    <col min="11" max="11" width="21.44140625" style="174" bestFit="1" customWidth="1"/>
    <col min="12" max="12" width="23.21875" style="174" bestFit="1" customWidth="1"/>
    <col min="13" max="13" width="23.88671875" style="174" bestFit="1" customWidth="1"/>
    <col min="14" max="14" width="20.6640625" style="174" bestFit="1" customWidth="1"/>
    <col min="15" max="15" width="23.21875" style="174" bestFit="1" customWidth="1"/>
    <col min="16" max="16" width="23.109375" style="174" bestFit="1" customWidth="1"/>
    <col min="17" max="17" width="20.5546875" style="170" bestFit="1" customWidth="1"/>
    <col min="18" max="18" width="17.77734375" style="170" bestFit="1" customWidth="1"/>
    <col min="19" max="19" width="24.6640625" style="166" bestFit="1" customWidth="1"/>
    <col min="20" max="20" width="8.88671875" style="166"/>
    <col min="21" max="21" width="10.44140625" style="170" bestFit="1" customWidth="1"/>
    <col min="22" max="22" width="18.44140625" style="166" customWidth="1"/>
    <col min="23" max="23" width="32.44140625" style="170" bestFit="1" customWidth="1"/>
    <col min="24" max="24" width="14.6640625" style="170" bestFit="1" customWidth="1"/>
    <col min="25" max="16384" width="8.88671875" style="166"/>
  </cols>
  <sheetData>
    <row r="1" spans="2:20" x14ac:dyDescent="0.25">
      <c r="B1" s="440" t="s">
        <v>639</v>
      </c>
      <c r="C1" s="440"/>
      <c r="D1" s="440"/>
      <c r="F1" s="305" t="s">
        <v>445</v>
      </c>
      <c r="G1" s="305"/>
      <c r="H1" s="305"/>
      <c r="I1" s="305"/>
      <c r="J1" s="305"/>
      <c r="K1" s="305"/>
      <c r="L1" s="138"/>
      <c r="M1" s="138"/>
      <c r="N1" s="138"/>
      <c r="O1" s="138"/>
      <c r="P1" s="138"/>
      <c r="R1" s="176" t="s">
        <v>475</v>
      </c>
      <c r="S1" s="179" t="s">
        <v>477</v>
      </c>
      <c r="T1" s="167"/>
    </row>
    <row r="2" spans="2:20" x14ac:dyDescent="0.25">
      <c r="B2" s="429" t="s">
        <v>419</v>
      </c>
      <c r="C2" s="429"/>
      <c r="D2" s="186">
        <f>'12. Balance Sheet'!$C$7+'12. Balance Sheet'!$C$10</f>
        <v>42000000</v>
      </c>
      <c r="E2" s="171"/>
      <c r="F2" s="79" t="s">
        <v>96</v>
      </c>
      <c r="G2" s="79" t="s">
        <v>432</v>
      </c>
      <c r="H2" s="79" t="s">
        <v>433</v>
      </c>
      <c r="I2" s="79" t="s">
        <v>434</v>
      </c>
      <c r="J2" s="79" t="s">
        <v>435</v>
      </c>
      <c r="K2" s="79" t="s">
        <v>436</v>
      </c>
      <c r="L2" s="138"/>
      <c r="M2" s="138"/>
      <c r="N2" s="138"/>
      <c r="O2" s="138"/>
      <c r="P2" s="138"/>
      <c r="R2" s="170" t="s">
        <v>476</v>
      </c>
      <c r="S2" s="180">
        <f>'5. Down payment savings'!C1</f>
        <v>2700000000</v>
      </c>
      <c r="T2" s="167"/>
    </row>
    <row r="3" spans="2:20" x14ac:dyDescent="0.25">
      <c r="B3" s="434"/>
      <c r="C3" s="434"/>
      <c r="D3" s="171"/>
      <c r="E3" s="171"/>
      <c r="F3" s="79" t="s">
        <v>431</v>
      </c>
      <c r="G3" s="121">
        <f>'14.1. Asset Allocation'!I4</f>
        <v>0.05</v>
      </c>
      <c r="H3" s="121">
        <f>'14.1. Asset Allocation'!J4</f>
        <v>0.05</v>
      </c>
      <c r="I3" s="121">
        <f>'14.1. Asset Allocation'!K4</f>
        <v>0.1</v>
      </c>
      <c r="J3" s="121">
        <f>'14.1. Asset Allocation'!L4</f>
        <v>0.15</v>
      </c>
      <c r="K3" s="121">
        <f>'14.1. Asset Allocation'!M4</f>
        <v>0.5</v>
      </c>
      <c r="L3" s="149"/>
      <c r="M3" s="149"/>
      <c r="N3" s="149"/>
      <c r="O3" s="149"/>
      <c r="P3" s="149"/>
      <c r="R3" s="170" t="s">
        <v>119</v>
      </c>
      <c r="S3" s="180">
        <f>'6. Mortgage payment'!C4</f>
        <v>4456521135.9900026</v>
      </c>
      <c r="T3" s="167"/>
    </row>
    <row r="4" spans="2:20" x14ac:dyDescent="0.25">
      <c r="B4" s="430" t="s">
        <v>420</v>
      </c>
      <c r="C4" s="430"/>
      <c r="D4" s="187"/>
      <c r="F4" s="79" t="s">
        <v>100</v>
      </c>
      <c r="G4" s="121">
        <f>'14.1. Asset Allocation'!I5</f>
        <v>0.1</v>
      </c>
      <c r="H4" s="121">
        <f>'14.1. Asset Allocation'!J5</f>
        <v>0.1</v>
      </c>
      <c r="I4" s="121">
        <f>'14.1. Asset Allocation'!K5</f>
        <v>0.25</v>
      </c>
      <c r="J4" s="121">
        <f>'14.1. Asset Allocation'!L5</f>
        <v>0.25</v>
      </c>
      <c r="K4" s="121">
        <f>'14.1. Asset Allocation'!M5</f>
        <v>0.1</v>
      </c>
      <c r="L4" s="149"/>
      <c r="M4" s="149"/>
      <c r="N4" s="149"/>
      <c r="O4" s="149"/>
      <c r="P4" s="149"/>
      <c r="R4" s="170" t="s">
        <v>480</v>
      </c>
      <c r="S4" s="180">
        <f>150000000*8</f>
        <v>1200000000</v>
      </c>
      <c r="T4" s="167"/>
    </row>
    <row r="5" spans="2:20" x14ac:dyDescent="0.25">
      <c r="B5" s="435" t="s">
        <v>102</v>
      </c>
      <c r="C5" s="435"/>
      <c r="D5" s="191">
        <f>'14.2. Risk &amp; Return'!$B$2</f>
        <v>2.3179999999999999E-2</v>
      </c>
      <c r="E5" s="172"/>
      <c r="F5" s="79" t="s">
        <v>420</v>
      </c>
      <c r="G5" s="121">
        <f>'14.1. Asset Allocation'!I6</f>
        <v>0.2</v>
      </c>
      <c r="H5" s="121">
        <f>'14.1. Asset Allocation'!J6</f>
        <v>0.15</v>
      </c>
      <c r="I5" s="121">
        <f>'14.1. Asset Allocation'!K6</f>
        <v>0.3</v>
      </c>
      <c r="J5" s="121">
        <f>'14.1. Asset Allocation'!L6</f>
        <v>0.35</v>
      </c>
      <c r="K5" s="121">
        <f>'14.1. Asset Allocation'!M6</f>
        <v>0.2</v>
      </c>
      <c r="L5" s="149"/>
      <c r="M5" s="149"/>
      <c r="N5" s="149"/>
      <c r="O5" s="149"/>
      <c r="P5" s="149"/>
      <c r="R5" s="170" t="s">
        <v>59</v>
      </c>
      <c r="S5" s="180">
        <f>(2086-2063)*200000000</f>
        <v>4600000000</v>
      </c>
      <c r="T5" s="167"/>
    </row>
    <row r="6" spans="2:20" x14ac:dyDescent="0.25">
      <c r="B6" s="436" t="s">
        <v>100</v>
      </c>
      <c r="C6" s="436"/>
      <c r="D6" s="188"/>
      <c r="F6" s="79" t="s">
        <v>452</v>
      </c>
      <c r="G6" s="121">
        <f>'14.1. Asset Allocation'!I7</f>
        <v>0.34999999999999992</v>
      </c>
      <c r="H6" s="121">
        <f>'14.1. Asset Allocation'!J7</f>
        <v>0.39999999999999991</v>
      </c>
      <c r="I6" s="121">
        <f>'14.1. Asset Allocation'!K7</f>
        <v>0.15000000000000008</v>
      </c>
      <c r="J6" s="121">
        <f>'14.1. Asset Allocation'!L7</f>
        <v>9.9999999999999978E-2</v>
      </c>
      <c r="K6" s="121">
        <f>'14.1. Asset Allocation'!M7</f>
        <v>0.10000000000000003</v>
      </c>
      <c r="L6" s="149"/>
      <c r="M6" s="149"/>
      <c r="N6" s="149"/>
      <c r="O6" s="149"/>
      <c r="P6" s="149"/>
      <c r="T6" s="167"/>
    </row>
    <row r="7" spans="2:20" x14ac:dyDescent="0.25">
      <c r="B7" s="437" t="s">
        <v>102</v>
      </c>
      <c r="C7" s="437"/>
      <c r="D7" s="192">
        <f>'14.2. Risk &amp; Return'!$G$3</f>
        <v>6.1999999999999993E-2</v>
      </c>
      <c r="E7" s="172"/>
      <c r="F7" s="79" t="s">
        <v>457</v>
      </c>
      <c r="G7" s="121">
        <f>'14.1. Asset Allocation'!I8</f>
        <v>0.3</v>
      </c>
      <c r="H7" s="121">
        <f>'14.1. Asset Allocation'!J8</f>
        <v>0.3</v>
      </c>
      <c r="I7" s="121">
        <f>'14.1. Asset Allocation'!K8</f>
        <v>0.2</v>
      </c>
      <c r="J7" s="121">
        <f>'14.1. Asset Allocation'!L8</f>
        <v>0.15</v>
      </c>
      <c r="K7" s="121">
        <f>'14.1. Asset Allocation'!M8</f>
        <v>0.1</v>
      </c>
      <c r="L7" s="149"/>
      <c r="M7" s="149"/>
      <c r="N7" s="149"/>
      <c r="O7" s="149"/>
      <c r="P7" s="149"/>
      <c r="R7" s="173"/>
      <c r="T7" s="167"/>
    </row>
    <row r="8" spans="2:20" x14ac:dyDescent="0.25">
      <c r="B8" s="437" t="s">
        <v>103</v>
      </c>
      <c r="C8" s="437"/>
      <c r="D8" s="192">
        <f>'14.2. Risk &amp; Return'!$H$3</f>
        <v>7.1554175279993281E-3</v>
      </c>
      <c r="E8" s="172"/>
      <c r="G8" s="169">
        <f>SUM(G3:G7)</f>
        <v>1</v>
      </c>
      <c r="H8" s="169">
        <f t="shared" ref="H8:K8" si="0">SUM(H3:H7)</f>
        <v>1</v>
      </c>
      <c r="I8" s="169">
        <f t="shared" si="0"/>
        <v>1</v>
      </c>
      <c r="J8" s="169">
        <f t="shared" si="0"/>
        <v>1</v>
      </c>
      <c r="K8" s="169">
        <f t="shared" si="0"/>
        <v>1.0000000000000002</v>
      </c>
      <c r="L8" s="169"/>
      <c r="M8" s="169"/>
      <c r="N8" s="169"/>
      <c r="O8" s="169"/>
      <c r="P8" s="169"/>
      <c r="Q8" s="173"/>
    </row>
    <row r="9" spans="2:20" x14ac:dyDescent="0.25">
      <c r="B9" s="438" t="s">
        <v>454</v>
      </c>
      <c r="C9" s="438"/>
      <c r="D9" s="189"/>
      <c r="E9" s="173"/>
    </row>
    <row r="10" spans="2:20" x14ac:dyDescent="0.25">
      <c r="B10" s="439" t="s">
        <v>102</v>
      </c>
      <c r="C10" s="439"/>
      <c r="D10" s="193">
        <f>'14.2. Risk &amp; Return'!$P$3</f>
        <v>0.12096780994737265</v>
      </c>
      <c r="E10" s="172"/>
    </row>
    <row r="11" spans="2:20" x14ac:dyDescent="0.25">
      <c r="B11" s="439" t="s">
        <v>103</v>
      </c>
      <c r="C11" s="439"/>
      <c r="D11" s="193">
        <f>'14.2. Risk &amp; Return'!$Q$3</f>
        <v>0.31828625710822772</v>
      </c>
      <c r="E11" s="172"/>
    </row>
    <row r="12" spans="2:20" x14ac:dyDescent="0.25">
      <c r="B12" s="442" t="s">
        <v>457</v>
      </c>
      <c r="C12" s="442"/>
      <c r="D12" s="190"/>
      <c r="E12" s="173"/>
    </row>
    <row r="13" spans="2:20" x14ac:dyDescent="0.25">
      <c r="B13" s="443" t="s">
        <v>102</v>
      </c>
      <c r="C13" s="443"/>
      <c r="D13" s="194">
        <f>'14.2. Risk &amp; Return'!$Y$3</f>
        <v>7.2781116971925436E-2</v>
      </c>
      <c r="E13" s="172"/>
    </row>
    <row r="14" spans="2:20" x14ac:dyDescent="0.25">
      <c r="B14" s="443" t="s">
        <v>103</v>
      </c>
      <c r="C14" s="443"/>
      <c r="D14" s="194">
        <f>'14.2. Risk &amp; Return'!$Z$3</f>
        <v>1.9082744993773267E-2</v>
      </c>
      <c r="E14" s="172"/>
    </row>
    <row r="15" spans="2:20" x14ac:dyDescent="0.25">
      <c r="D15" s="171"/>
      <c r="E15" s="171"/>
    </row>
    <row r="16" spans="2:20" x14ac:dyDescent="0.25">
      <c r="D16" s="171"/>
      <c r="E16" s="171"/>
    </row>
    <row r="17" spans="1:24" x14ac:dyDescent="0.25">
      <c r="E17" s="229" t="s">
        <v>431</v>
      </c>
      <c r="F17" s="431" t="s">
        <v>100</v>
      </c>
      <c r="G17" s="431"/>
      <c r="H17" s="431"/>
      <c r="I17" s="432" t="s">
        <v>420</v>
      </c>
      <c r="J17" s="432"/>
      <c r="K17" s="433" t="s">
        <v>452</v>
      </c>
      <c r="L17" s="433"/>
      <c r="M17" s="433"/>
      <c r="N17" s="441" t="s">
        <v>457</v>
      </c>
      <c r="O17" s="441"/>
      <c r="P17" s="441"/>
    </row>
    <row r="18" spans="1:24" s="170" customFormat="1" x14ac:dyDescent="0.25">
      <c r="A18" s="176" t="s">
        <v>322</v>
      </c>
      <c r="B18" s="176" t="s">
        <v>9</v>
      </c>
      <c r="C18" s="176" t="s">
        <v>458</v>
      </c>
      <c r="D18" s="176" t="s">
        <v>101</v>
      </c>
      <c r="E18" s="212" t="s">
        <v>459</v>
      </c>
      <c r="F18" s="213" t="s">
        <v>460</v>
      </c>
      <c r="G18" s="213" t="s">
        <v>462</v>
      </c>
      <c r="H18" s="213" t="s">
        <v>461</v>
      </c>
      <c r="I18" s="214" t="s">
        <v>422</v>
      </c>
      <c r="J18" s="214" t="s">
        <v>467</v>
      </c>
      <c r="K18" s="215" t="s">
        <v>463</v>
      </c>
      <c r="L18" s="215" t="s">
        <v>462</v>
      </c>
      <c r="M18" s="215" t="s">
        <v>464</v>
      </c>
      <c r="N18" s="216" t="s">
        <v>465</v>
      </c>
      <c r="O18" s="216" t="s">
        <v>462</v>
      </c>
      <c r="P18" s="216" t="s">
        <v>466</v>
      </c>
      <c r="Q18" s="176" t="s">
        <v>423</v>
      </c>
      <c r="R18" s="176" t="s">
        <v>473</v>
      </c>
      <c r="S18" s="176" t="s">
        <v>474</v>
      </c>
      <c r="U18" s="197" t="s">
        <v>424</v>
      </c>
      <c r="V18" s="196">
        <f ca="1">S19</f>
        <v>4710227240.1167192</v>
      </c>
    </row>
    <row r="19" spans="1:24" x14ac:dyDescent="0.25">
      <c r="A19" s="198">
        <v>1</v>
      </c>
      <c r="B19" s="199">
        <v>2024</v>
      </c>
      <c r="C19" s="199" cm="1">
        <f t="array" ref="C19">_xlfn.IFS(AND(B19&gt;=2024,B19&lt;=2034),1,AND(B19&gt;=2035,B19&lt;=2044),2,AND(B19&gt;=2045,B19&lt;=2055),3,AND(B19&gt;=2056,B19&lt;=2062),4,B19&gt;=2063,5)</f>
        <v>1</v>
      </c>
      <c r="D19" s="200">
        <f>D2</f>
        <v>42000000</v>
      </c>
      <c r="E19" s="201" cm="1">
        <f t="array" ref="E19">D19*_xlfn.IFS(C19=1,$G$3,C19=2,$H$3,C19=3,$I$3,C19=4,$J$3,C19=5,$K$3)</f>
        <v>2100000</v>
      </c>
      <c r="F19" s="202" cm="1">
        <f t="array" ref="F19">D19*_xlfn.IFS(C19=1,$G$4,C19=2,$H$4,C19=3,$I$4,C19=4,$J$4,C19=5,$K$4)</f>
        <v>4200000</v>
      </c>
      <c r="G19" s="203">
        <f ca="1">_xlfn.NORM.S.INV(RAND())</f>
        <v>-0.3011478901609666</v>
      </c>
      <c r="H19" s="203">
        <f ca="1">1+($D$7+$D$8*G19)</f>
        <v>1.0598451611082222</v>
      </c>
      <c r="I19" s="204" cm="1">
        <f t="array" ref="I19">D19*_xlfn.IFS(C19=1,$G$5,C19=2,$H$5,C19=3,$I$5,C19=4,$J$5,C19=5,$K$5)</f>
        <v>8400000</v>
      </c>
      <c r="J19" s="205">
        <f>1+$D$5</f>
        <v>1.02318</v>
      </c>
      <c r="K19" s="206" cm="1">
        <f t="array" ref="K19">D19*_xlfn.IFS(C19=1,$G$6,C19=2,$H$6,C19=3,$I$6,C19=4,$J$6,C19=5,$K$6)</f>
        <v>14699999.999999996</v>
      </c>
      <c r="L19" s="207">
        <f ca="1">_xlfn.NORM.S.INV(RAND())</f>
        <v>-0.30814589566796524</v>
      </c>
      <c r="M19" s="207">
        <f ca="1">1+($D$10+$D$11*L19)</f>
        <v>1.0228892061719534</v>
      </c>
      <c r="N19" s="208" cm="1">
        <f t="array" ref="N19">D19*_xlfn.IFS(C19=1,$G$7,C19=2,$H$7,C19=3,$I$7,C19=4,$J$7,C19=5,$K$7)</f>
        <v>12600000</v>
      </c>
      <c r="O19" s="209">
        <f ca="1">_xlfn.NORM.S.INV(RAND())</f>
        <v>-0.57010825741894156</v>
      </c>
      <c r="P19" s="209">
        <f ca="1">1+($D$13+$D$14*O19)</f>
        <v>1.0619018864767553</v>
      </c>
      <c r="Q19" s="200">
        <f ca="1">E19+F19*H19+I19*J19+K19*M19+N19*P19</f>
        <v>43562496.776989363</v>
      </c>
      <c r="R19" s="200">
        <f>'14.3. More funds to invest'!G2</f>
        <v>2898099.9999999981</v>
      </c>
      <c r="S19" s="195">
        <f ca="1">Q81+R81</f>
        <v>4710227240.1167192</v>
      </c>
      <c r="U19" s="210">
        <v>1</v>
      </c>
      <c r="V19" s="178">
        <f t="dataTable" ref="V19:V1018" dt2D="0" dtr="0" r1="S2" ca="1"/>
        <v>5375142102.7957764</v>
      </c>
      <c r="W19" s="184" t="s">
        <v>425</v>
      </c>
      <c r="X19" s="181">
        <f>AVERAGE(V19:V1018)</f>
        <v>5755804215.3501921</v>
      </c>
    </row>
    <row r="20" spans="1:24" x14ac:dyDescent="0.25">
      <c r="A20" s="198">
        <v>2</v>
      </c>
      <c r="B20" s="199">
        <v>2025</v>
      </c>
      <c r="C20" s="199" cm="1">
        <f t="array" ref="C20">_xlfn.IFS(AND(B20&gt;=2024,B20&lt;=2034),1,AND(B20&gt;=2035,B20&lt;=2044),2,AND(B20&gt;=2045,B20&lt;=2055),3,AND(B20&gt;=2056,B20&lt;=2062),4,B20&gt;=2063,5)</f>
        <v>1</v>
      </c>
      <c r="D20" s="200">
        <f t="shared" ref="D20:D51" ca="1" si="1">Q19+R19</f>
        <v>46460596.776989363</v>
      </c>
      <c r="E20" s="201" cm="1">
        <f t="array" aca="1" ref="E20" ca="1">D20*_xlfn.IFS(C20=1,$G$3,C20=2,$H$3,C20=3,$I$3,C20=4,$J$3,C20=5,$K$3)</f>
        <v>2323029.8388494682</v>
      </c>
      <c r="F20" s="202" cm="1">
        <f t="array" aca="1" ref="F20" ca="1">D20*_xlfn.IFS(C20=1,$G$4,C20=2,$H$4,C20=3,$I$4,C20=4,$J$4,C20=5,$K$4)</f>
        <v>4646059.6776989363</v>
      </c>
      <c r="G20" s="203">
        <f t="shared" ref="G20:G81" ca="1" si="2">_xlfn.NORM.S.INV(RAND())</f>
        <v>1.0264603976352416</v>
      </c>
      <c r="H20" s="203">
        <f t="shared" ref="H20:H81" ca="1" si="3">1+($D$7+$D$8*G20)</f>
        <v>1.0693447527210365</v>
      </c>
      <c r="I20" s="204" cm="1">
        <f t="array" aca="1" ref="I20" ca="1">D20*_xlfn.IFS(C20=1,$G$5,C20=2,$H$5,C20=3,$I$5,C20=4,$J$5,C20=5,$K$5)</f>
        <v>9292119.3553978726</v>
      </c>
      <c r="J20" s="205">
        <f t="shared" ref="J20:J81" si="4">1+$D$5</f>
        <v>1.02318</v>
      </c>
      <c r="K20" s="206" cm="1">
        <f t="array" aca="1" ref="K20" ca="1">D20*_xlfn.IFS(C20=1,$G$6,C20=2,$H$6,C20=3,$I$6,C20=4,$J$6,C20=5,$K$6)</f>
        <v>16261208.871946273</v>
      </c>
      <c r="L20" s="207">
        <f t="shared" ref="L20:L81" ca="1" si="5">_xlfn.NORM.S.INV(RAND())</f>
        <v>-1.3003158031221389</v>
      </c>
      <c r="M20" s="207">
        <f t="shared" ref="M20:M81" ca="1" si="6">1+($D$10+$D$11*L20)</f>
        <v>0.70709515991294802</v>
      </c>
      <c r="N20" s="208" cm="1">
        <f t="array" aca="1" ref="N20" ca="1">D20*_xlfn.IFS(C20=1,$G$7,C20=2,$H$7,C20=3,$I$7,C20=4,$J$7,C20=5,$K$7)</f>
        <v>13938179.033096809</v>
      </c>
      <c r="O20" s="209">
        <f t="shared" ref="O20:O81" ca="1" si="7">_xlfn.NORM.S.INV(RAND())</f>
        <v>0.7099929736943752</v>
      </c>
      <c r="P20" s="209">
        <f t="shared" ref="P20:P81" ca="1" si="8">1+($D$13+$D$14*O20)</f>
        <v>1.0863297318363059</v>
      </c>
      <c r="Q20" s="200">
        <f t="shared" ref="Q20:Q81" ca="1" si="9">E20+F20*H20+I20*J20+K20*M20+N20*P20</f>
        <v>43438460.437078789</v>
      </c>
      <c r="R20" s="200">
        <f>'14.3. More funds to invest'!G3</f>
        <v>3014024</v>
      </c>
      <c r="U20" s="211">
        <v>2</v>
      </c>
      <c r="V20" s="178">
        <v>8817542465.1390057</v>
      </c>
      <c r="W20" s="184" t="s">
        <v>426</v>
      </c>
      <c r="X20" s="181">
        <f>_xlfn.STDEV.S(V19:V1018)</f>
        <v>1466627512.0902596</v>
      </c>
    </row>
    <row r="21" spans="1:24" x14ac:dyDescent="0.25">
      <c r="A21" s="198">
        <v>3</v>
      </c>
      <c r="B21" s="199">
        <v>2026</v>
      </c>
      <c r="C21" s="199" cm="1">
        <f t="array" ref="C21">_xlfn.IFS(AND(B21&gt;=2024,B21&lt;=2034),1,AND(B21&gt;=2035,B21&lt;=2044),2,AND(B21&gt;=2045,B21&lt;=2055),3,AND(B21&gt;=2056,B21&lt;=2062),4,B21&gt;=2063,5)</f>
        <v>1</v>
      </c>
      <c r="D21" s="200">
        <f t="shared" ca="1" si="1"/>
        <v>46452484.437078789</v>
      </c>
      <c r="E21" s="201" cm="1">
        <f t="array" aca="1" ref="E21" ca="1">D21*_xlfn.IFS(C21=1,$G$3,C21=2,$H$3,C21=3,$I$3,C21=4,$J$3,C21=5,$K$3)</f>
        <v>2322624.2218539394</v>
      </c>
      <c r="F21" s="202" cm="1">
        <f t="array" aca="1" ref="F21" ca="1">D21*_xlfn.IFS(C21=1,$G$4,C21=2,$H$4,C21=3,$I$4,C21=4,$J$4,C21=5,$K$4)</f>
        <v>4645248.4437078787</v>
      </c>
      <c r="G21" s="203">
        <f t="shared" ca="1" si="2"/>
        <v>1.3478741433100998</v>
      </c>
      <c r="H21" s="203">
        <f t="shared" ca="1" si="3"/>
        <v>1.0716446022705781</v>
      </c>
      <c r="I21" s="204" cm="1">
        <f t="array" aca="1" ref="I21" ca="1">D21*_xlfn.IFS(C21=1,$G$5,C21=2,$H$5,C21=3,$I$5,C21=4,$J$5,C21=5,$K$5)</f>
        <v>9290496.8874157574</v>
      </c>
      <c r="J21" s="205">
        <f t="shared" si="4"/>
        <v>1.02318</v>
      </c>
      <c r="K21" s="206" cm="1">
        <f t="array" aca="1" ref="K21" ca="1">D21*_xlfn.IFS(C21=1,$G$6,C21=2,$H$6,C21=3,$I$6,C21=4,$J$6,C21=5,$K$6)</f>
        <v>16258369.552977573</v>
      </c>
      <c r="L21" s="207">
        <f t="shared" ca="1" si="5"/>
        <v>0.54303151654692439</v>
      </c>
      <c r="M21" s="207">
        <f t="shared" ca="1" si="6"/>
        <v>1.2938072788408979</v>
      </c>
      <c r="N21" s="208" cm="1">
        <f t="array" aca="1" ref="N21" ca="1">D21*_xlfn.IFS(C21=1,$G$7,C21=2,$H$7,C21=3,$I$7,C21=4,$J$7,C21=5,$K$7)</f>
        <v>13935745.331123637</v>
      </c>
      <c r="O21" s="209">
        <f t="shared" ca="1" si="7"/>
        <v>1.4022316149139822</v>
      </c>
      <c r="P21" s="209">
        <f t="shared" ca="1" si="8"/>
        <v>1.0995395453015357</v>
      </c>
      <c r="Q21" s="200">
        <f t="shared" ca="1" si="9"/>
        <v>53164630.202574655</v>
      </c>
      <c r="R21" s="200">
        <f>'14.3. More funds to invest'!G4</f>
        <v>3134584.959999999</v>
      </c>
      <c r="U21" s="211">
        <v>3</v>
      </c>
      <c r="V21" s="178">
        <v>6118576331.2988243</v>
      </c>
      <c r="W21" s="184" t="s">
        <v>427</v>
      </c>
      <c r="X21" s="181">
        <f>_xlfn.PERCENTILE.EXC(V19:V1018,0.25)</f>
        <v>4752668776.1959934</v>
      </c>
    </row>
    <row r="22" spans="1:24" x14ac:dyDescent="0.25">
      <c r="A22" s="198">
        <v>4</v>
      </c>
      <c r="B22" s="199">
        <v>2027</v>
      </c>
      <c r="C22" s="199" cm="1">
        <f t="array" ref="C22">_xlfn.IFS(AND(B22&gt;=2024,B22&lt;=2034),1,AND(B22&gt;=2035,B22&lt;=2044),2,AND(B22&gt;=2045,B22&lt;=2055),3,AND(B22&gt;=2056,B22&lt;=2062),4,B22&gt;=2063,5)</f>
        <v>1</v>
      </c>
      <c r="D22" s="200">
        <f t="shared" ca="1" si="1"/>
        <v>56299215.162574656</v>
      </c>
      <c r="E22" s="201" cm="1">
        <f t="array" aca="1" ref="E22" ca="1">D22*_xlfn.IFS(C22=1,$G$3,C22=2,$H$3,C22=3,$I$3,C22=4,$J$3,C22=5,$K$3)</f>
        <v>2814960.7581287329</v>
      </c>
      <c r="F22" s="202" cm="1">
        <f t="array" aca="1" ref="F22" ca="1">D22*_xlfn.IFS(C22=1,$G$4,C22=2,$H$4,C22=3,$I$4,C22=4,$J$4,C22=5,$K$4)</f>
        <v>5629921.5162574658</v>
      </c>
      <c r="G22" s="203">
        <f t="shared" ca="1" si="2"/>
        <v>-0.21287062368340223</v>
      </c>
      <c r="H22" s="203">
        <f t="shared" ca="1" si="3"/>
        <v>1.0604768218080995</v>
      </c>
      <c r="I22" s="204" cm="1">
        <f t="array" aca="1" ref="I22" ca="1">D22*_xlfn.IFS(C22=1,$G$5,C22=2,$H$5,C22=3,$I$5,C22=4,$J$5,C22=5,$K$5)</f>
        <v>11259843.032514932</v>
      </c>
      <c r="J22" s="205">
        <f t="shared" si="4"/>
        <v>1.02318</v>
      </c>
      <c r="K22" s="206" cm="1">
        <f t="array" aca="1" ref="K22" ca="1">D22*_xlfn.IFS(C22=1,$G$6,C22=2,$H$6,C22=3,$I$6,C22=4,$J$6,C22=5,$K$6)</f>
        <v>19704725.306901127</v>
      </c>
      <c r="L22" s="207">
        <f t="shared" ca="1" si="5"/>
        <v>0.57059742837511684</v>
      </c>
      <c r="M22" s="207">
        <f t="shared" ca="1" si="6"/>
        <v>1.3025811297404686</v>
      </c>
      <c r="N22" s="208" cm="1">
        <f t="array" aca="1" ref="N22" ca="1">D22*_xlfn.IFS(C22=1,$G$7,C22=2,$H$7,C22=3,$I$7,C22=4,$J$7,C22=5,$K$7)</f>
        <v>16889764.548772395</v>
      </c>
      <c r="O22" s="209">
        <f t="shared" ca="1" si="7"/>
        <v>-1.2063183609789043</v>
      </c>
      <c r="P22" s="209">
        <f t="shared" ca="1" si="8"/>
        <v>1.0497612513080585</v>
      </c>
      <c r="Q22" s="200">
        <f t="shared" ca="1" si="9"/>
        <v>63703431.947233781</v>
      </c>
      <c r="R22" s="200">
        <f>'14.3. More funds to invest'!G5</f>
        <v>3259968.3584000003</v>
      </c>
      <c r="U22" s="211">
        <v>4</v>
      </c>
      <c r="V22" s="178">
        <v>6357674142.4323168</v>
      </c>
      <c r="W22" s="184" t="s">
        <v>429</v>
      </c>
      <c r="X22" s="181">
        <f>_xlfn.PERCENTILE.EXC(V19:V1018,0.5)</f>
        <v>5579250566.1643066</v>
      </c>
    </row>
    <row r="23" spans="1:24" x14ac:dyDescent="0.25">
      <c r="A23" s="198">
        <v>5</v>
      </c>
      <c r="B23" s="199">
        <v>2028</v>
      </c>
      <c r="C23" s="199" cm="1">
        <f t="array" ref="C23">_xlfn.IFS(AND(B23&gt;=2024,B23&lt;=2034),1,AND(B23&gt;=2035,B23&lt;=2044),2,AND(B23&gt;=2045,B23&lt;=2055),3,AND(B23&gt;=2056,B23&lt;=2062),4,B23&gt;=2063,5)</f>
        <v>1</v>
      </c>
      <c r="D23" s="200">
        <f t="shared" ca="1" si="1"/>
        <v>66963400.305633783</v>
      </c>
      <c r="E23" s="201" cm="1">
        <f t="array" aca="1" ref="E23" ca="1">D23*_xlfn.IFS(C23=1,$G$3,C23=2,$H$3,C23=3,$I$3,C23=4,$J$3,C23=5,$K$3)</f>
        <v>3348170.0152816894</v>
      </c>
      <c r="F23" s="202" cm="1">
        <f t="array" aca="1" ref="F23" ca="1">D23*_xlfn.IFS(C23=1,$G$4,C23=2,$H$4,C23=3,$I$4,C23=4,$J$4,C23=5,$K$4)</f>
        <v>6696340.0305633787</v>
      </c>
      <c r="G23" s="203">
        <f t="shared" ca="1" si="2"/>
        <v>9.2932039721620854E-2</v>
      </c>
      <c r="H23" s="203">
        <f t="shared" ca="1" si="3"/>
        <v>1.0626649675459368</v>
      </c>
      <c r="I23" s="204" cm="1">
        <f t="array" aca="1" ref="I23" ca="1">D23*_xlfn.IFS(C23=1,$G$5,C23=2,$H$5,C23=3,$I$5,C23=4,$J$5,C23=5,$K$5)</f>
        <v>13392680.061126757</v>
      </c>
      <c r="J23" s="205">
        <f t="shared" si="4"/>
        <v>1.02318</v>
      </c>
      <c r="K23" s="206" cm="1">
        <f t="array" aca="1" ref="K23" ca="1">D23*_xlfn.IFS(C23=1,$G$6,C23=2,$H$6,C23=3,$I$6,C23=4,$J$6,C23=5,$K$6)</f>
        <v>23437190.106971819</v>
      </c>
      <c r="L23" s="207">
        <f t="shared" ca="1" si="5"/>
        <v>0.86268230183164463</v>
      </c>
      <c r="M23" s="207">
        <f t="shared" ca="1" si="6"/>
        <v>1.3955477308708772</v>
      </c>
      <c r="N23" s="208" cm="1">
        <f t="array" aca="1" ref="N23" ca="1">D23*_xlfn.IFS(C23=1,$G$7,C23=2,$H$7,C23=3,$I$7,C23=4,$J$7,C23=5,$K$7)</f>
        <v>20089020.091690134</v>
      </c>
      <c r="O23" s="209">
        <f t="shared" ca="1" si="7"/>
        <v>1.2583147742377176</v>
      </c>
      <c r="P23" s="209">
        <f t="shared" ca="1" si="8"/>
        <v>1.0967932169306012</v>
      </c>
      <c r="Q23" s="200">
        <f t="shared" ca="1" si="9"/>
        <v>78908476.804602757</v>
      </c>
      <c r="R23" s="200">
        <f>'14.3. More funds to invest'!G6</f>
        <v>3390367.0927359983</v>
      </c>
      <c r="U23" s="211">
        <v>5</v>
      </c>
      <c r="V23" s="178">
        <v>3456780607.6379838</v>
      </c>
      <c r="W23" s="184" t="s">
        <v>428</v>
      </c>
      <c r="X23" s="181">
        <f>_xlfn.PERCENTILE.EXC(V19:V1018,0.75)</f>
        <v>6587721321.3131437</v>
      </c>
    </row>
    <row r="24" spans="1:24" x14ac:dyDescent="0.25">
      <c r="A24" s="198">
        <v>6</v>
      </c>
      <c r="B24" s="199">
        <v>2029</v>
      </c>
      <c r="C24" s="199" cm="1">
        <f t="array" ref="C24">_xlfn.IFS(AND(B24&gt;=2024,B24&lt;=2034),1,AND(B24&gt;=2035,B24&lt;=2044),2,AND(B24&gt;=2045,B24&lt;=2055),3,AND(B24&gt;=2056,B24&lt;=2062),4,B24&gt;=2063,5)</f>
        <v>1</v>
      </c>
      <c r="D24" s="200">
        <f t="shared" ca="1" si="1"/>
        <v>82298843.897338748</v>
      </c>
      <c r="E24" s="201" cm="1">
        <f t="array" aca="1" ref="E24" ca="1">D24*_xlfn.IFS(C24=1,$G$3,C24=2,$H$3,C24=3,$I$3,C24=4,$J$3,C24=5,$K$3)</f>
        <v>4114942.1948669376</v>
      </c>
      <c r="F24" s="202" cm="1">
        <f t="array" aca="1" ref="F24" ca="1">D24*_xlfn.IFS(C24=1,$G$4,C24=2,$H$4,C24=3,$I$4,C24=4,$J$4,C24=5,$K$4)</f>
        <v>8229884.3897338752</v>
      </c>
      <c r="G24" s="203">
        <f t="shared" ca="1" si="2"/>
        <v>-1.1221858515045033</v>
      </c>
      <c r="H24" s="203">
        <f t="shared" ca="1" si="3"/>
        <v>1.0539702916884719</v>
      </c>
      <c r="I24" s="204" cm="1">
        <f t="array" aca="1" ref="I24" ca="1">D24*_xlfn.IFS(C24=1,$G$5,C24=2,$H$5,C24=3,$I$5,C24=4,$J$5,C24=5,$K$5)</f>
        <v>16459768.77946775</v>
      </c>
      <c r="J24" s="205">
        <f t="shared" si="4"/>
        <v>1.02318</v>
      </c>
      <c r="K24" s="206" cm="1">
        <f t="array" aca="1" ref="K24" ca="1">D24*_xlfn.IFS(C24=1,$G$6,C24=2,$H$6,C24=3,$I$6,C24=4,$J$6,C24=5,$K$6)</f>
        <v>28804595.364068557</v>
      </c>
      <c r="L24" s="207">
        <f t="shared" ca="1" si="5"/>
        <v>-0.22246404829594074</v>
      </c>
      <c r="M24" s="207">
        <f t="shared" ca="1" si="6"/>
        <v>1.0501605606741136</v>
      </c>
      <c r="N24" s="208" cm="1">
        <f t="array" aca="1" ref="N24" ca="1">D24*_xlfn.IFS(C24=1,$G$7,C24=2,$H$7,C24=3,$I$7,C24=4,$J$7,C24=5,$K$7)</f>
        <v>24689653.169201624</v>
      </c>
      <c r="O24" s="209">
        <f t="shared" ca="1" si="7"/>
        <v>1.5152940006925824</v>
      </c>
      <c r="P24" s="209">
        <f t="shared" ca="1" si="8"/>
        <v>1.1016970859777364</v>
      </c>
      <c r="Q24" s="200">
        <f t="shared" ca="1" si="9"/>
        <v>87080271.033284575</v>
      </c>
      <c r="R24" s="200">
        <f>'14.3. More funds to invest'!G7</f>
        <v>3525981.7764454391</v>
      </c>
      <c r="U24" s="211">
        <v>6</v>
      </c>
      <c r="V24" s="178">
        <v>4882061688.7949104</v>
      </c>
      <c r="W24" s="184" t="s">
        <v>430</v>
      </c>
      <c r="X24" s="181">
        <f>_xlfn.PERCENTILE.EXC(V19:V1018,0.95)</f>
        <v>8363283146.5092459</v>
      </c>
    </row>
    <row r="25" spans="1:24" x14ac:dyDescent="0.25">
      <c r="A25" s="198">
        <v>7</v>
      </c>
      <c r="B25" s="199">
        <v>2030</v>
      </c>
      <c r="C25" s="199" cm="1">
        <f t="array" ref="C25">_xlfn.IFS(AND(B25&gt;=2024,B25&lt;=2034),1,AND(B25&gt;=2035,B25&lt;=2044),2,AND(B25&gt;=2045,B25&lt;=2055),3,AND(B25&gt;=2056,B25&lt;=2062),4,B25&gt;=2063,5)</f>
        <v>1</v>
      </c>
      <c r="D25" s="200">
        <f t="shared" ca="1" si="1"/>
        <v>90606252.809730008</v>
      </c>
      <c r="E25" s="201" cm="1">
        <f t="array" aca="1" ref="E25" ca="1">D25*_xlfn.IFS(C25=1,$G$3,C25=2,$H$3,C25=3,$I$3,C25=4,$J$3,C25=5,$K$3)</f>
        <v>4530312.6404865002</v>
      </c>
      <c r="F25" s="202" cm="1">
        <f t="array" aca="1" ref="F25" ca="1">D25*_xlfn.IFS(C25=1,$G$4,C25=2,$H$4,C25=3,$I$4,C25=4,$J$4,C25=5,$K$4)</f>
        <v>9060625.2809730005</v>
      </c>
      <c r="G25" s="203">
        <f t="shared" ca="1" si="2"/>
        <v>-0.47883806833662335</v>
      </c>
      <c r="H25" s="203">
        <f t="shared" ca="1" si="3"/>
        <v>1.0585737136927509</v>
      </c>
      <c r="I25" s="204" cm="1">
        <f t="array" aca="1" ref="I25" ca="1">D25*_xlfn.IFS(C25=1,$G$5,C25=2,$H$5,C25=3,$I$5,C25=4,$J$5,C25=5,$K$5)</f>
        <v>18121250.561946001</v>
      </c>
      <c r="J25" s="205">
        <f t="shared" si="4"/>
        <v>1.02318</v>
      </c>
      <c r="K25" s="206" cm="1">
        <f t="array" aca="1" ref="K25" ca="1">D25*_xlfn.IFS(C25=1,$G$6,C25=2,$H$6,C25=3,$I$6,C25=4,$J$6,C25=5,$K$6)</f>
        <v>31712188.483405497</v>
      </c>
      <c r="L25" s="207">
        <f t="shared" ca="1" si="5"/>
        <v>-1.054920169785363</v>
      </c>
      <c r="M25" s="207">
        <f t="shared" ca="1" si="6"/>
        <v>0.78520121755841332</v>
      </c>
      <c r="N25" s="208" cm="1">
        <f t="array" aca="1" ref="N25" ca="1">D25*_xlfn.IFS(C25=1,$G$7,C25=2,$H$7,C25=3,$I$7,C25=4,$J$7,C25=5,$K$7)</f>
        <v>27181875.842919003</v>
      </c>
      <c r="O25" s="209">
        <f t="shared" ca="1" si="7"/>
        <v>0.78047586271082658</v>
      </c>
      <c r="P25" s="209">
        <f t="shared" ca="1" si="8"/>
        <v>1.0876747388338313</v>
      </c>
      <c r="Q25" s="200">
        <f t="shared" ca="1" si="9"/>
        <v>87128442.259588867</v>
      </c>
      <c r="R25" s="200">
        <f>'14.3. More funds to invest'!G8</f>
        <v>3667021.0475032572</v>
      </c>
      <c r="U25" s="211">
        <v>7</v>
      </c>
      <c r="V25" s="178">
        <v>6929473179.8229799</v>
      </c>
      <c r="W25" s="184" t="s">
        <v>478</v>
      </c>
      <c r="X25" s="182">
        <f>COUNTIF(V19:V1018,"&gt;="&amp;S2)/COUNT(V19:V1018)</f>
        <v>0.998</v>
      </c>
    </row>
    <row r="26" spans="1:24" x14ac:dyDescent="0.25">
      <c r="A26" s="198">
        <v>8</v>
      </c>
      <c r="B26" s="199">
        <v>2031</v>
      </c>
      <c r="C26" s="199" cm="1">
        <f t="array" ref="C26">_xlfn.IFS(AND(B26&gt;=2024,B26&lt;=2034),1,AND(B26&gt;=2035,B26&lt;=2044),2,AND(B26&gt;=2045,B26&lt;=2055),3,AND(B26&gt;=2056,B26&lt;=2062),4,B26&gt;=2063,5)</f>
        <v>1</v>
      </c>
      <c r="D26" s="200">
        <f t="shared" ca="1" si="1"/>
        <v>90795463.30709213</v>
      </c>
      <c r="E26" s="201" cm="1">
        <f t="array" aca="1" ref="E26" ca="1">D26*_xlfn.IFS(C26=1,$G$3,C26=2,$H$3,C26=3,$I$3,C26=4,$J$3,C26=5,$K$3)</f>
        <v>4539773.1653546067</v>
      </c>
      <c r="F26" s="202" cm="1">
        <f t="array" aca="1" ref="F26" ca="1">D26*_xlfn.IFS(C26=1,$G$4,C26=2,$H$4,C26=3,$I$4,C26=4,$J$4,C26=5,$K$4)</f>
        <v>9079546.3307092134</v>
      </c>
      <c r="G26" s="203">
        <f t="shared" ca="1" si="2"/>
        <v>-1.8878260919319132</v>
      </c>
      <c r="H26" s="203">
        <f t="shared" ca="1" si="3"/>
        <v>1.0484918160919758</v>
      </c>
      <c r="I26" s="204" cm="1">
        <f t="array" aca="1" ref="I26" ca="1">D26*_xlfn.IFS(C26=1,$G$5,C26=2,$H$5,C26=3,$I$5,C26=4,$J$5,C26=5,$K$5)</f>
        <v>18159092.661418427</v>
      </c>
      <c r="J26" s="205">
        <f t="shared" si="4"/>
        <v>1.02318</v>
      </c>
      <c r="K26" s="206" cm="1">
        <f t="array" aca="1" ref="K26" ca="1">D26*_xlfn.IFS(C26=1,$G$6,C26=2,$H$6,C26=3,$I$6,C26=4,$J$6,C26=5,$K$6)</f>
        <v>31778412.15748224</v>
      </c>
      <c r="L26" s="207">
        <f t="shared" ca="1" si="5"/>
        <v>-0.66934202792488584</v>
      </c>
      <c r="M26" s="207">
        <f t="shared" ca="1" si="6"/>
        <v>0.90792544115392992</v>
      </c>
      <c r="N26" s="208" cm="1">
        <f t="array" aca="1" ref="N26" ca="1">D26*_xlfn.IFS(C26=1,$G$7,C26=2,$H$7,C26=3,$I$7,C26=4,$J$7,C26=5,$K$7)</f>
        <v>27238638.992127638</v>
      </c>
      <c r="O26" s="209">
        <f t="shared" ca="1" si="7"/>
        <v>-0.73566785374637567</v>
      </c>
      <c r="P26" s="209">
        <f t="shared" ca="1" si="8"/>
        <v>1.0587425549187668</v>
      </c>
      <c r="Q26" s="200">
        <f t="shared" ca="1" si="9"/>
        <v>90330758.732529879</v>
      </c>
      <c r="R26" s="200">
        <f>'14.3. More funds to invest'!G9</f>
        <v>3813701.8894033879</v>
      </c>
      <c r="U26" s="211">
        <v>8</v>
      </c>
      <c r="V26" s="178">
        <v>7831946004.0512342</v>
      </c>
      <c r="W26" s="184" t="s">
        <v>479</v>
      </c>
      <c r="X26" s="182">
        <f>COUNTIF(V19:V1018,"&gt;="&amp;S3)/COUNT(V19:V1018)</f>
        <v>0.82399999999999995</v>
      </c>
    </row>
    <row r="27" spans="1:24" x14ac:dyDescent="0.25">
      <c r="A27" s="198">
        <v>9</v>
      </c>
      <c r="B27" s="199">
        <v>2032</v>
      </c>
      <c r="C27" s="199" cm="1">
        <f t="array" ref="C27">_xlfn.IFS(AND(B27&gt;=2024,B27&lt;=2034),1,AND(B27&gt;=2035,B27&lt;=2044),2,AND(B27&gt;=2045,B27&lt;=2055),3,AND(B27&gt;=2056,B27&lt;=2062),4,B27&gt;=2063,5)</f>
        <v>1</v>
      </c>
      <c r="D27" s="200">
        <f t="shared" ca="1" si="1"/>
        <v>94144460.621933267</v>
      </c>
      <c r="E27" s="201" cm="1">
        <f t="array" aca="1" ref="E27" ca="1">D27*_xlfn.IFS(C27=1,$G$3,C27=2,$H$3,C27=3,$I$3,C27=4,$J$3,C27=5,$K$3)</f>
        <v>4707223.0310966633</v>
      </c>
      <c r="F27" s="202" cm="1">
        <f t="array" aca="1" ref="F27" ca="1">D27*_xlfn.IFS(C27=1,$G$4,C27=2,$H$4,C27=3,$I$4,C27=4,$J$4,C27=5,$K$4)</f>
        <v>9414446.0621933267</v>
      </c>
      <c r="G27" s="203">
        <f t="shared" ca="1" si="2"/>
        <v>1.4893636395368921</v>
      </c>
      <c r="H27" s="203">
        <f t="shared" ca="1" si="3"/>
        <v>1.0726570186919071</v>
      </c>
      <c r="I27" s="204" cm="1">
        <f t="array" aca="1" ref="I27" ca="1">D27*_xlfn.IFS(C27=1,$G$5,C27=2,$H$5,C27=3,$I$5,C27=4,$J$5,C27=5,$K$5)</f>
        <v>18828892.124386653</v>
      </c>
      <c r="J27" s="205">
        <f t="shared" si="4"/>
        <v>1.02318</v>
      </c>
      <c r="K27" s="206" cm="1">
        <f t="array" aca="1" ref="K27" ca="1">D27*_xlfn.IFS(C27=1,$G$6,C27=2,$H$6,C27=3,$I$6,C27=4,$J$6,C27=5,$K$6)</f>
        <v>32950561.217676636</v>
      </c>
      <c r="L27" s="207">
        <f t="shared" ca="1" si="5"/>
        <v>-1.6699170697739907</v>
      </c>
      <c r="M27" s="207">
        <f t="shared" ca="1" si="6"/>
        <v>0.58945615612787006</v>
      </c>
      <c r="N27" s="208" cm="1">
        <f t="array" aca="1" ref="N27" ca="1">D27*_xlfn.IFS(C27=1,$G$7,C27=2,$H$7,C27=3,$I$7,C27=4,$J$7,C27=5,$K$7)</f>
        <v>28243338.18657998</v>
      </c>
      <c r="O27" s="209">
        <f t="shared" ca="1" si="7"/>
        <v>-0.93204302052836629</v>
      </c>
      <c r="P27" s="209">
        <f t="shared" ca="1" si="8"/>
        <v>1.0549951776879565</v>
      </c>
      <c r="Q27" s="200">
        <f t="shared" ca="1" si="9"/>
        <v>83290537.266914397</v>
      </c>
      <c r="R27" s="200">
        <f>'14.3. More funds to invest'!G10</f>
        <v>3966249.9649795219</v>
      </c>
      <c r="U27" s="211">
        <v>9</v>
      </c>
      <c r="V27" s="178">
        <v>6683442528.1916456</v>
      </c>
      <c r="W27" s="184" t="s">
        <v>481</v>
      </c>
      <c r="X27" s="183">
        <f>COUNTIF(V19:V1018,"&gt;="&amp;S4)/COUNT(V19:V1018)</f>
        <v>1</v>
      </c>
    </row>
    <row r="28" spans="1:24" x14ac:dyDescent="0.25">
      <c r="A28" s="198">
        <v>10</v>
      </c>
      <c r="B28" s="199">
        <v>2033</v>
      </c>
      <c r="C28" s="199" cm="1">
        <f t="array" ref="C28">_xlfn.IFS(AND(B28&gt;=2024,B28&lt;=2034),1,AND(B28&gt;=2035,B28&lt;=2044),2,AND(B28&gt;=2045,B28&lt;=2055),3,AND(B28&gt;=2056,B28&lt;=2062),4,B28&gt;=2063,5)</f>
        <v>1</v>
      </c>
      <c r="D28" s="200">
        <f t="shared" ca="1" si="1"/>
        <v>87256787.231893927</v>
      </c>
      <c r="E28" s="201" cm="1">
        <f t="array" aca="1" ref="E28" ca="1">D28*_xlfn.IFS(C28=1,$G$3,C28=2,$H$3,C28=3,$I$3,C28=4,$J$3,C28=5,$K$3)</f>
        <v>4362839.3615946965</v>
      </c>
      <c r="F28" s="202" cm="1">
        <f t="array" aca="1" ref="F28" ca="1">D28*_xlfn.IFS(C28=1,$G$4,C28=2,$H$4,C28=3,$I$4,C28=4,$J$4,C28=5,$K$4)</f>
        <v>8725678.7231893931</v>
      </c>
      <c r="G28" s="203">
        <f t="shared" ca="1" si="2"/>
        <v>-2.3675635225932079</v>
      </c>
      <c r="H28" s="203">
        <f t="shared" ca="1" si="3"/>
        <v>1.0450590944717848</v>
      </c>
      <c r="I28" s="204" cm="1">
        <f t="array" aca="1" ref="I28" ca="1">D28*_xlfn.IFS(C28=1,$G$5,C28=2,$H$5,C28=3,$I$5,C28=4,$J$5,C28=5,$K$5)</f>
        <v>17451357.446378786</v>
      </c>
      <c r="J28" s="205">
        <f t="shared" si="4"/>
        <v>1.02318</v>
      </c>
      <c r="K28" s="206" cm="1">
        <f t="array" aca="1" ref="K28" ca="1">D28*_xlfn.IFS(C28=1,$G$6,C28=2,$H$6,C28=3,$I$6,C28=4,$J$6,C28=5,$K$6)</f>
        <v>30539875.531162869</v>
      </c>
      <c r="L28" s="207">
        <f t="shared" ca="1" si="5"/>
        <v>-0.22803556851540602</v>
      </c>
      <c r="M28" s="207">
        <f t="shared" ca="1" si="6"/>
        <v>1.0483872223570572</v>
      </c>
      <c r="N28" s="208" cm="1">
        <f t="array" aca="1" ref="N28" ca="1">D28*_xlfn.IFS(C28=1,$G$7,C28=2,$H$7,C28=3,$I$7,C28=4,$J$7,C28=5,$K$7)</f>
        <v>26177036.169568177</v>
      </c>
      <c r="O28" s="209">
        <f t="shared" ca="1" si="7"/>
        <v>2.7774736763989883E-2</v>
      </c>
      <c r="P28" s="209">
        <f t="shared" ca="1" si="8"/>
        <v>1.0733111351908617</v>
      </c>
      <c r="Q28" s="200">
        <f t="shared" ca="1" si="9"/>
        <v>91451288.865026131</v>
      </c>
      <c r="R28" s="200">
        <f>'14.3. More funds to invest'!G11</f>
        <v>8066910.3617777787</v>
      </c>
      <c r="S28" s="168"/>
      <c r="U28" s="211">
        <v>10</v>
      </c>
      <c r="V28" s="178">
        <v>5225732982.3289604</v>
      </c>
      <c r="W28" s="184" t="s">
        <v>482</v>
      </c>
      <c r="X28" s="183">
        <f>COUNTIF(V19:V1018,"&gt;="&amp;S5)/COUNT(V19:V1018)</f>
        <v>0.79100000000000004</v>
      </c>
    </row>
    <row r="29" spans="1:24" x14ac:dyDescent="0.25">
      <c r="A29" s="198">
        <v>11</v>
      </c>
      <c r="B29" s="199">
        <v>2034</v>
      </c>
      <c r="C29" s="199" cm="1">
        <f t="array" ref="C29">_xlfn.IFS(AND(B29&gt;=2024,B29&lt;=2034),1,AND(B29&gt;=2035,B29&lt;=2044),2,AND(B29&gt;=2045,B29&lt;=2055),3,AND(B29&gt;=2056,B29&lt;=2062),4,B29&gt;=2063,5)</f>
        <v>1</v>
      </c>
      <c r="D29" s="200">
        <f t="shared" ca="1" si="1"/>
        <v>99518199.226803914</v>
      </c>
      <c r="E29" s="201" cm="1">
        <f t="array" aca="1" ref="E29" ca="1">D29*_xlfn.IFS(C29=1,$G$3,C29=2,$H$3,C29=3,$I$3,C29=4,$J$3,C29=5,$K$3)</f>
        <v>4975909.9613401955</v>
      </c>
      <c r="F29" s="202" cm="1">
        <f t="array" aca="1" ref="F29" ca="1">D29*_xlfn.IFS(C29=1,$G$4,C29=2,$H$4,C29=3,$I$4,C29=4,$J$4,C29=5,$K$4)</f>
        <v>9951819.922680391</v>
      </c>
      <c r="G29" s="203">
        <f t="shared" ca="1" si="2"/>
        <v>7.4545675141942908E-2</v>
      </c>
      <c r="H29" s="203">
        <f t="shared" ca="1" si="3"/>
        <v>1.0625334054305471</v>
      </c>
      <c r="I29" s="204" cm="1">
        <f t="array" aca="1" ref="I29" ca="1">D29*_xlfn.IFS(C29=1,$G$5,C29=2,$H$5,C29=3,$I$5,C29=4,$J$5,C29=5,$K$5)</f>
        <v>19903639.845360782</v>
      </c>
      <c r="J29" s="205">
        <f t="shared" si="4"/>
        <v>1.02318</v>
      </c>
      <c r="K29" s="206" cm="1">
        <f t="array" aca="1" ref="K29" ca="1">D29*_xlfn.IFS(C29=1,$G$6,C29=2,$H$6,C29=3,$I$6,C29=4,$J$6,C29=5,$K$6)</f>
        <v>34831369.72938136</v>
      </c>
      <c r="L29" s="207">
        <f t="shared" ca="1" si="5"/>
        <v>1.5984326951685635</v>
      </c>
      <c r="M29" s="207">
        <f t="shared" ca="1" si="6"/>
        <v>1.6297269697319914</v>
      </c>
      <c r="N29" s="208" cm="1">
        <f t="array" aca="1" ref="N29" ca="1">D29*_xlfn.IFS(C29=1,$G$7,C29=2,$H$7,C29=3,$I$7,C29=4,$J$7,C29=5,$K$7)</f>
        <v>29855459.768041175</v>
      </c>
      <c r="O29" s="209">
        <f t="shared" ca="1" si="7"/>
        <v>-0.50563447694927643</v>
      </c>
      <c r="P29" s="209">
        <f t="shared" ca="1" si="8"/>
        <v>1.0631322231882425</v>
      </c>
      <c r="Q29" s="200">
        <f t="shared" ca="1" si="9"/>
        <v>124420981.24917765</v>
      </c>
      <c r="R29" s="200">
        <f>'14.3. More funds to invest'!G12</f>
        <v>11932889.802362889</v>
      </c>
      <c r="U29" s="211">
        <v>11</v>
      </c>
      <c r="V29" s="178">
        <v>5956058944.4995823</v>
      </c>
    </row>
    <row r="30" spans="1:24" x14ac:dyDescent="0.25">
      <c r="A30" s="198">
        <v>12</v>
      </c>
      <c r="B30" s="199">
        <v>2035</v>
      </c>
      <c r="C30" s="199" cm="1">
        <f t="array" ref="C30">_xlfn.IFS(AND(B30&gt;=2024,B30&lt;=2034),1,AND(B30&gt;=2035,B30&lt;=2044),2,AND(B30&gt;=2045,B30&lt;=2055),3,AND(B30&gt;=2056,B30&lt;=2062),4,B30&gt;=2063,5)</f>
        <v>2</v>
      </c>
      <c r="D30" s="200">
        <f t="shared" ca="1" si="1"/>
        <v>136353871.05154055</v>
      </c>
      <c r="E30" s="201" cm="1">
        <f t="array" aca="1" ref="E30" ca="1">D30*_xlfn.IFS(C30=1,$G$3,C30=2,$H$3,C30=3,$I$3,C30=4,$J$3,C30=5,$K$3)</f>
        <v>6817693.5525770281</v>
      </c>
      <c r="F30" s="202" cm="1">
        <f t="array" aca="1" ref="F30" ca="1">D30*_xlfn.IFS(C30=1,$G$4,C30=2,$H$4,C30=3,$I$4,C30=4,$J$4,C30=5,$K$4)</f>
        <v>13635387.105154056</v>
      </c>
      <c r="G30" s="203">
        <f t="shared" ca="1" si="2"/>
        <v>-1.9291240710331297</v>
      </c>
      <c r="H30" s="203">
        <f t="shared" ca="1" si="3"/>
        <v>1.0481963118084441</v>
      </c>
      <c r="I30" s="204" cm="1">
        <f t="array" aca="1" ref="I30" ca="1">D30*_xlfn.IFS(C30=1,$G$5,C30=2,$H$5,C30=3,$I$5,C30=4,$J$5,C30=5,$K$5)</f>
        <v>20453080.657731082</v>
      </c>
      <c r="J30" s="205">
        <f t="shared" si="4"/>
        <v>1.02318</v>
      </c>
      <c r="K30" s="206" cm="1">
        <f t="array" aca="1" ref="K30" ca="1">D30*_xlfn.IFS(C30=1,$G$6,C30=2,$H$6,C30=3,$I$6,C30=4,$J$6,C30=5,$K$6)</f>
        <v>54541548.42061621</v>
      </c>
      <c r="L30" s="207">
        <f t="shared" ca="1" si="5"/>
        <v>-0.22085442409252412</v>
      </c>
      <c r="M30" s="207">
        <f t="shared" ca="1" si="6"/>
        <v>1.05067288193717</v>
      </c>
      <c r="N30" s="208" cm="1">
        <f t="array" aca="1" ref="N30" ca="1">D30*_xlfn.IFS(C30=1,$G$7,C30=2,$H$7,C30=3,$I$7,C30=4,$J$7,C30=5,$K$7)</f>
        <v>40906161.315462165</v>
      </c>
      <c r="O30" s="209">
        <f t="shared" ca="1" si="7"/>
        <v>1.3153072129495105</v>
      </c>
      <c r="P30" s="209">
        <f t="shared" ca="1" si="8"/>
        <v>1.0978807891051117</v>
      </c>
      <c r="Q30" s="200">
        <f t="shared" ca="1" si="9"/>
        <v>144252853.62234235</v>
      </c>
      <c r="R30" s="200">
        <f>'14.3. More funds to invest'!G13</f>
        <v>12414337.453280926</v>
      </c>
      <c r="U30" s="211">
        <v>12</v>
      </c>
      <c r="V30" s="178">
        <v>4911383121.0848999</v>
      </c>
    </row>
    <row r="31" spans="1:24" x14ac:dyDescent="0.25">
      <c r="A31" s="198">
        <v>13</v>
      </c>
      <c r="B31" s="199">
        <v>2036</v>
      </c>
      <c r="C31" s="199" cm="1">
        <f t="array" ref="C31">_xlfn.IFS(AND(B31&gt;=2024,B31&lt;=2034),1,AND(B31&gt;=2035,B31&lt;=2044),2,AND(B31&gt;=2045,B31&lt;=2055),3,AND(B31&gt;=2056,B31&lt;=2062),4,B31&gt;=2063,5)</f>
        <v>2</v>
      </c>
      <c r="D31" s="200">
        <f t="shared" ca="1" si="1"/>
        <v>156667191.07562327</v>
      </c>
      <c r="E31" s="201" cm="1">
        <f t="array" aca="1" ref="E31" ca="1">D31*_xlfn.IFS(C31=1,$G$3,C31=2,$H$3,C31=3,$I$3,C31=4,$J$3,C31=5,$K$3)</f>
        <v>7833359.5537811639</v>
      </c>
      <c r="F31" s="202" cm="1">
        <f t="array" aca="1" ref="F31" ca="1">D31*_xlfn.IFS(C31=1,$G$4,C31=2,$H$4,C31=3,$I$4,C31=4,$J$4,C31=5,$K$4)</f>
        <v>15666719.107562328</v>
      </c>
      <c r="G31" s="203">
        <f t="shared" ca="1" si="2"/>
        <v>-1.2323492085752108</v>
      </c>
      <c r="H31" s="203">
        <f t="shared" ca="1" si="3"/>
        <v>1.0531820268723449</v>
      </c>
      <c r="I31" s="204" cm="1">
        <f t="array" aca="1" ref="I31" ca="1">D31*_xlfn.IFS(C31=1,$G$5,C31=2,$H$5,C31=3,$I$5,C31=4,$J$5,C31=5,$K$5)</f>
        <v>23500078.661343489</v>
      </c>
      <c r="J31" s="205">
        <f t="shared" si="4"/>
        <v>1.02318</v>
      </c>
      <c r="K31" s="206" cm="1">
        <f t="array" aca="1" ref="K31" ca="1">D31*_xlfn.IFS(C31=1,$G$6,C31=2,$H$6,C31=3,$I$6,C31=4,$J$6,C31=5,$K$6)</f>
        <v>62666876.430249296</v>
      </c>
      <c r="L31" s="207">
        <f t="shared" ca="1" si="5"/>
        <v>0.22077632048725832</v>
      </c>
      <c r="M31" s="207">
        <f t="shared" ca="1" si="6"/>
        <v>1.1912378786533886</v>
      </c>
      <c r="N31" s="208" cm="1">
        <f t="array" aca="1" ref="N31" ca="1">D31*_xlfn.IFS(C31=1,$G$7,C31=2,$H$7,C31=3,$I$7,C31=4,$J$7,C31=5,$K$7)</f>
        <v>47000157.322686978</v>
      </c>
      <c r="O31" s="209">
        <f t="shared" ca="1" si="7"/>
        <v>-0.88384483446281881</v>
      </c>
      <c r="P31" s="209">
        <f t="shared" ca="1" si="8"/>
        <v>1.0559149313818077</v>
      </c>
      <c r="Q31" s="200">
        <f t="shared" ca="1" si="9"/>
        <v>172657401.85756019</v>
      </c>
      <c r="R31" s="200">
        <f>'14.3. More funds to invest'!G14</f>
        <v>20013977.953921661</v>
      </c>
      <c r="U31" s="211">
        <v>13</v>
      </c>
      <c r="V31" s="178">
        <v>6359771937.0473118</v>
      </c>
    </row>
    <row r="32" spans="1:24" x14ac:dyDescent="0.25">
      <c r="A32" s="198">
        <v>14</v>
      </c>
      <c r="B32" s="199">
        <v>2037</v>
      </c>
      <c r="C32" s="199" cm="1">
        <f t="array" ref="C32">_xlfn.IFS(AND(B32&gt;=2024,B32&lt;=2034),1,AND(B32&gt;=2035,B32&lt;=2044),2,AND(B32&gt;=2045,B32&lt;=2055),3,AND(B32&gt;=2056,B32&lt;=2062),4,B32&gt;=2063,5)</f>
        <v>2</v>
      </c>
      <c r="D32" s="200">
        <f t="shared" ca="1" si="1"/>
        <v>192671379.81148183</v>
      </c>
      <c r="E32" s="201" cm="1">
        <f t="array" aca="1" ref="E32" ca="1">D32*_xlfn.IFS(C32=1,$G$3,C32=2,$H$3,C32=3,$I$3,C32=4,$J$3,C32=5,$K$3)</f>
        <v>9633568.9905740917</v>
      </c>
      <c r="F32" s="202" cm="1">
        <f t="array" aca="1" ref="F32" ca="1">D32*_xlfn.IFS(C32=1,$G$4,C32=2,$H$4,C32=3,$I$4,C32=4,$J$4,C32=5,$K$4)</f>
        <v>19267137.981148183</v>
      </c>
      <c r="G32" s="203">
        <f t="shared" ca="1" si="2"/>
        <v>0.6031823531301318</v>
      </c>
      <c r="H32" s="203">
        <f t="shared" ca="1" si="3"/>
        <v>1.0663160215821672</v>
      </c>
      <c r="I32" s="204" cm="1">
        <f t="array" aca="1" ref="I32" ca="1">D32*_xlfn.IFS(C32=1,$G$5,C32=2,$H$5,C32=3,$I$5,C32=4,$J$5,C32=5,$K$5)</f>
        <v>28900706.971722275</v>
      </c>
      <c r="J32" s="205">
        <f t="shared" si="4"/>
        <v>1.02318</v>
      </c>
      <c r="K32" s="206" cm="1">
        <f t="array" aca="1" ref="K32" ca="1">D32*_xlfn.IFS(C32=1,$G$6,C32=2,$H$6,C32=3,$I$6,C32=4,$J$6,C32=5,$K$6)</f>
        <v>77068551.924592718</v>
      </c>
      <c r="L32" s="207">
        <f t="shared" ca="1" si="5"/>
        <v>-1.7939488513414434</v>
      </c>
      <c r="M32" s="207">
        <f t="shared" ca="1" si="6"/>
        <v>0.54997854461030016</v>
      </c>
      <c r="N32" s="208" cm="1">
        <f t="array" aca="1" ref="N32" ca="1">D32*_xlfn.IFS(C32=1,$G$7,C32=2,$H$7,C32=3,$I$7,C32=4,$J$7,C32=5,$K$7)</f>
        <v>57801413.94344455</v>
      </c>
      <c r="O32" s="209">
        <f t="shared" ca="1" si="7"/>
        <v>-0.46923155247316334</v>
      </c>
      <c r="P32" s="209">
        <f t="shared" ca="1" si="8"/>
        <v>1.0638268909130477</v>
      </c>
      <c r="Q32" s="200">
        <f t="shared" ca="1" si="9"/>
        <v>163625800.77777705</v>
      </c>
      <c r="R32" s="200">
        <f>'14.3. More funds to invest'!G15</f>
        <v>20429132.392387927</v>
      </c>
      <c r="U32" s="211">
        <v>14</v>
      </c>
      <c r="V32" s="178">
        <v>5499264136.9390125</v>
      </c>
    </row>
    <row r="33" spans="1:22" x14ac:dyDescent="0.25">
      <c r="A33" s="198">
        <v>15</v>
      </c>
      <c r="B33" s="199">
        <v>2038</v>
      </c>
      <c r="C33" s="199" cm="1">
        <f t="array" ref="C33">_xlfn.IFS(AND(B33&gt;=2024,B33&lt;=2034),1,AND(B33&gt;=2035,B33&lt;=2044),2,AND(B33&gt;=2045,B33&lt;=2055),3,AND(B33&gt;=2056,B33&lt;=2062),4,B33&gt;=2063,5)</f>
        <v>2</v>
      </c>
      <c r="D33" s="200">
        <f t="shared" ca="1" si="1"/>
        <v>184054933.17016497</v>
      </c>
      <c r="E33" s="201" cm="1">
        <f t="array" aca="1" ref="E33" ca="1">D33*_xlfn.IFS(C33=1,$G$3,C33=2,$H$3,C33=3,$I$3,C33=4,$J$3,C33=5,$K$3)</f>
        <v>9202746.6585082486</v>
      </c>
      <c r="F33" s="202" cm="1">
        <f t="array" aca="1" ref="F33" ca="1">D33*_xlfn.IFS(C33=1,$G$4,C33=2,$H$4,C33=3,$I$4,C33=4,$J$4,C33=5,$K$4)</f>
        <v>18405493.317016497</v>
      </c>
      <c r="G33" s="203">
        <f t="shared" ca="1" si="2"/>
        <v>0.23340462252661826</v>
      </c>
      <c r="H33" s="203">
        <f t="shared" ca="1" si="3"/>
        <v>1.0636701075271431</v>
      </c>
      <c r="I33" s="204" cm="1">
        <f t="array" aca="1" ref="I33" ca="1">D33*_xlfn.IFS(C33=1,$G$5,C33=2,$H$5,C33=3,$I$5,C33=4,$J$5,C33=5,$K$5)</f>
        <v>27608239.975524746</v>
      </c>
      <c r="J33" s="205">
        <f t="shared" si="4"/>
        <v>1.02318</v>
      </c>
      <c r="K33" s="206" cm="1">
        <f t="array" aca="1" ref="K33" ca="1">D33*_xlfn.IFS(C33=1,$G$6,C33=2,$H$6,C33=3,$I$6,C33=4,$J$6,C33=5,$K$6)</f>
        <v>73621973.268065974</v>
      </c>
      <c r="L33" s="207">
        <f t="shared" ca="1" si="5"/>
        <v>-0.72247041123385003</v>
      </c>
      <c r="M33" s="207">
        <f t="shared" ca="1" si="6"/>
        <v>0.89101540688430847</v>
      </c>
      <c r="N33" s="208" cm="1">
        <f t="array" aca="1" ref="N33" ca="1">D33*_xlfn.IFS(C33=1,$G$7,C33=2,$H$7,C33=3,$I$7,C33=4,$J$7,C33=5,$K$7)</f>
        <v>55216479.951049492</v>
      </c>
      <c r="O33" s="209">
        <f t="shared" ca="1" si="7"/>
        <v>0.13354020981349926</v>
      </c>
      <c r="P33" s="209">
        <f t="shared" ca="1" si="8"/>
        <v>1.0753294307422114</v>
      </c>
      <c r="Q33" s="200">
        <f t="shared" ca="1" si="9"/>
        <v>182002537.11268896</v>
      </c>
      <c r="R33" s="200">
        <f>'14.3. More funds to invest'!G16</f>
        <v>20860430.803570881</v>
      </c>
      <c r="U33" s="211">
        <v>15</v>
      </c>
      <c r="V33" s="178">
        <v>6097852990.9506855</v>
      </c>
    </row>
    <row r="34" spans="1:22" x14ac:dyDescent="0.25">
      <c r="A34" s="198">
        <v>16</v>
      </c>
      <c r="B34" s="199">
        <v>2039</v>
      </c>
      <c r="C34" s="199" cm="1">
        <f t="array" ref="C34">_xlfn.IFS(AND(B34&gt;=2024,B34&lt;=2034),1,AND(B34&gt;=2035,B34&lt;=2044),2,AND(B34&gt;=2045,B34&lt;=2055),3,AND(B34&gt;=2056,B34&lt;=2062),4,B34&gt;=2063,5)</f>
        <v>2</v>
      </c>
      <c r="D34" s="200">
        <f t="shared" ca="1" si="1"/>
        <v>202862967.91625983</v>
      </c>
      <c r="E34" s="201" cm="1">
        <f t="array" aca="1" ref="E34" ca="1">D34*_xlfn.IFS(C34=1,$G$3,C34=2,$H$3,C34=3,$I$3,C34=4,$J$3,C34=5,$K$3)</f>
        <v>10143148.395812992</v>
      </c>
      <c r="F34" s="202" cm="1">
        <f t="array" aca="1" ref="F34" ca="1">D34*_xlfn.IFS(C34=1,$G$4,C34=2,$H$4,C34=3,$I$4,C34=4,$J$4,C34=5,$K$4)</f>
        <v>20286296.791625984</v>
      </c>
      <c r="G34" s="203">
        <f t="shared" ca="1" si="2"/>
        <v>0.30267920656814734</v>
      </c>
      <c r="H34" s="203">
        <f t="shared" ca="1" si="3"/>
        <v>1.0641657961000386</v>
      </c>
      <c r="I34" s="204" cm="1">
        <f t="array" aca="1" ref="I34" ca="1">D34*_xlfn.IFS(C34=1,$G$5,C34=2,$H$5,C34=3,$I$5,C34=4,$J$5,C34=5,$K$5)</f>
        <v>30429445.187438972</v>
      </c>
      <c r="J34" s="205">
        <f t="shared" si="4"/>
        <v>1.02318</v>
      </c>
      <c r="K34" s="206" cm="1">
        <f t="array" aca="1" ref="K34" ca="1">D34*_xlfn.IFS(C34=1,$G$6,C34=2,$H$6,C34=3,$I$6,C34=4,$J$6,C34=5,$K$6)</f>
        <v>81145187.166503906</v>
      </c>
      <c r="L34" s="207">
        <f t="shared" ca="1" si="5"/>
        <v>-1.0603211899122698</v>
      </c>
      <c r="M34" s="207">
        <f t="shared" ca="1" si="6"/>
        <v>0.78348214707765407</v>
      </c>
      <c r="N34" s="208" cm="1">
        <f t="array" aca="1" ref="N34" ca="1">D34*_xlfn.IFS(C34=1,$G$7,C34=2,$H$7,C34=3,$I$7,C34=4,$J$7,C34=5,$K$7)</f>
        <v>60858890.374877945</v>
      </c>
      <c r="O34" s="209">
        <f t="shared" ca="1" si="7"/>
        <v>1.3660132967313621</v>
      </c>
      <c r="P34" s="209">
        <f t="shared" ca="1" si="8"/>
        <v>1.0988484003715535</v>
      </c>
      <c r="Q34" s="200">
        <f t="shared" ca="1" si="9"/>
        <v>193316431.10093206</v>
      </c>
      <c r="R34" s="200">
        <f>'14.3. More funds to invest'!G17</f>
        <v>21308516.499412462</v>
      </c>
      <c r="U34" s="211">
        <v>16</v>
      </c>
      <c r="V34" s="178">
        <v>6345144822.6391592</v>
      </c>
    </row>
    <row r="35" spans="1:22" x14ac:dyDescent="0.25">
      <c r="A35" s="198">
        <v>17</v>
      </c>
      <c r="B35" s="199">
        <v>2040</v>
      </c>
      <c r="C35" s="199" cm="1">
        <f t="array" ref="C35">_xlfn.IFS(AND(B35&gt;=2024,B35&lt;=2034),1,AND(B35&gt;=2035,B35&lt;=2044),2,AND(B35&gt;=2045,B35&lt;=2055),3,AND(B35&gt;=2056,B35&lt;=2062),4,B35&gt;=2063,5)</f>
        <v>2</v>
      </c>
      <c r="D35" s="200">
        <f t="shared" ca="1" si="1"/>
        <v>214624947.60034454</v>
      </c>
      <c r="E35" s="201" cm="1">
        <f t="array" aca="1" ref="E35" ca="1">D35*_xlfn.IFS(C35=1,$G$3,C35=2,$H$3,C35=3,$I$3,C35=4,$J$3,C35=5,$K$3)</f>
        <v>10731247.380017228</v>
      </c>
      <c r="F35" s="202" cm="1">
        <f t="array" aca="1" ref="F35" ca="1">D35*_xlfn.IFS(C35=1,$G$4,C35=2,$H$4,C35=3,$I$4,C35=4,$J$4,C35=5,$K$4)</f>
        <v>21462494.760034457</v>
      </c>
      <c r="G35" s="203">
        <f t="shared" ca="1" si="2"/>
        <v>0.56023215531575832</v>
      </c>
      <c r="H35" s="203">
        <f t="shared" ca="1" si="3"/>
        <v>1.0660086949838952</v>
      </c>
      <c r="I35" s="204" cm="1">
        <f t="array" aca="1" ref="I35" ca="1">D35*_xlfn.IFS(C35=1,$G$5,C35=2,$H$5,C35=3,$I$5,C35=4,$J$5,C35=5,$K$5)</f>
        <v>32193742.140051678</v>
      </c>
      <c r="J35" s="205">
        <f t="shared" si="4"/>
        <v>1.02318</v>
      </c>
      <c r="K35" s="206" cm="1">
        <f t="array" aca="1" ref="K35" ca="1">D35*_xlfn.IFS(C35=1,$G$6,C35=2,$H$6,C35=3,$I$6,C35=4,$J$6,C35=5,$K$6)</f>
        <v>85849979.040137798</v>
      </c>
      <c r="L35" s="207">
        <f t="shared" ca="1" si="5"/>
        <v>-1.0220479658244004</v>
      </c>
      <c r="M35" s="207">
        <f t="shared" ca="1" si="6"/>
        <v>0.79566398832004648</v>
      </c>
      <c r="N35" s="208" cm="1">
        <f t="array" aca="1" ref="N35" ca="1">D35*_xlfn.IFS(C35=1,$G$7,C35=2,$H$7,C35=3,$I$7,C35=4,$J$7,C35=5,$K$7)</f>
        <v>64387484.280103356</v>
      </c>
      <c r="O35" s="209">
        <f t="shared" ca="1" si="7"/>
        <v>0.90997521970838036</v>
      </c>
      <c r="P35" s="209">
        <f t="shared" ca="1" si="8"/>
        <v>1.0901459420402733</v>
      </c>
      <c r="Q35" s="200">
        <f t="shared" ca="1" si="9"/>
        <v>205049937.9195233</v>
      </c>
      <c r="R35" s="200">
        <f>'14.3. More funds to invest'!G18</f>
        <v>20619675.146259278</v>
      </c>
      <c r="U35" s="211">
        <v>17</v>
      </c>
      <c r="V35" s="178">
        <v>4841686162.089592</v>
      </c>
    </row>
    <row r="36" spans="1:22" x14ac:dyDescent="0.25">
      <c r="A36" s="198">
        <v>18</v>
      </c>
      <c r="B36" s="199">
        <v>2041</v>
      </c>
      <c r="C36" s="199" cm="1">
        <f t="array" ref="C36">_xlfn.IFS(AND(B36&gt;=2024,B36&lt;=2034),1,AND(B36&gt;=2035,B36&lt;=2044),2,AND(B36&gt;=2045,B36&lt;=2055),3,AND(B36&gt;=2056,B36&lt;=2062),4,B36&gt;=2063,5)</f>
        <v>2</v>
      </c>
      <c r="D36" s="200">
        <f t="shared" ca="1" si="1"/>
        <v>225669613.06578258</v>
      </c>
      <c r="E36" s="201" cm="1">
        <f t="array" aca="1" ref="E36" ca="1">D36*_xlfn.IFS(C36=1,$G$3,C36=2,$H$3,C36=3,$I$3,C36=4,$J$3,C36=5,$K$3)</f>
        <v>11283480.65328913</v>
      </c>
      <c r="F36" s="202" cm="1">
        <f t="array" aca="1" ref="F36" ca="1">D36*_xlfn.IFS(C36=1,$G$4,C36=2,$H$4,C36=3,$I$4,C36=4,$J$4,C36=5,$K$4)</f>
        <v>22566961.30657826</v>
      </c>
      <c r="G36" s="203">
        <f t="shared" ca="1" si="2"/>
        <v>1.9658862225944422</v>
      </c>
      <c r="H36" s="203">
        <f t="shared" ca="1" si="3"/>
        <v>1.0760667367352046</v>
      </c>
      <c r="I36" s="204" cm="1">
        <f t="array" aca="1" ref="I36" ca="1">D36*_xlfn.IFS(C36=1,$G$5,C36=2,$H$5,C36=3,$I$5,C36=4,$J$5,C36=5,$K$5)</f>
        <v>33850441.959867388</v>
      </c>
      <c r="J36" s="205">
        <f t="shared" si="4"/>
        <v>1.02318</v>
      </c>
      <c r="K36" s="206" cm="1">
        <f t="array" aca="1" ref="K36" ca="1">D36*_xlfn.IFS(C36=1,$G$6,C36=2,$H$6,C36=3,$I$6,C36=4,$J$6,C36=5,$K$6)</f>
        <v>90267845.22631301</v>
      </c>
      <c r="L36" s="207">
        <f t="shared" ca="1" si="5"/>
        <v>2.8785744915442932</v>
      </c>
      <c r="M36" s="207">
        <f t="shared" ca="1" si="6"/>
        <v>2.0371785106682254</v>
      </c>
      <c r="N36" s="208" cm="1">
        <f t="array" aca="1" ref="N36" ca="1">D36*_xlfn.IFS(C36=1,$G$7,C36=2,$H$7,C36=3,$I$7,C36=4,$J$7,C36=5,$K$7)</f>
        <v>67700883.919734776</v>
      </c>
      <c r="O36" s="209">
        <f t="shared" ca="1" si="7"/>
        <v>8.6024282599268129E-2</v>
      </c>
      <c r="P36" s="209">
        <f t="shared" ca="1" si="8"/>
        <v>1.0744226964200396</v>
      </c>
      <c r="Q36" s="200">
        <f t="shared" ca="1" si="9"/>
        <v>326833213.01941729</v>
      </c>
      <c r="R36" s="200">
        <f>'14.3. More funds to invest'!G19</f>
        <v>21251593.243873313</v>
      </c>
      <c r="U36" s="211">
        <v>18</v>
      </c>
      <c r="V36" s="178">
        <v>6973279402.1577187</v>
      </c>
    </row>
    <row r="37" spans="1:22" x14ac:dyDescent="0.25">
      <c r="A37" s="198">
        <v>19</v>
      </c>
      <c r="B37" s="199">
        <v>2042</v>
      </c>
      <c r="C37" s="199" cm="1">
        <f t="array" ref="C37">_xlfn.IFS(AND(B37&gt;=2024,B37&lt;=2034),1,AND(B37&gt;=2035,B37&lt;=2044),2,AND(B37&gt;=2045,B37&lt;=2055),3,AND(B37&gt;=2056,B37&lt;=2062),4,B37&gt;=2063,5)</f>
        <v>2</v>
      </c>
      <c r="D37" s="200">
        <f t="shared" ca="1" si="1"/>
        <v>348084806.26329058</v>
      </c>
      <c r="E37" s="201" cm="1">
        <f t="array" aca="1" ref="E37" ca="1">D37*_xlfn.IFS(C37=1,$G$3,C37=2,$H$3,C37=3,$I$3,C37=4,$J$3,C37=5,$K$3)</f>
        <v>17404240.313164528</v>
      </c>
      <c r="F37" s="202" cm="1">
        <f t="array" aca="1" ref="F37" ca="1">D37*_xlfn.IFS(C37=1,$G$4,C37=2,$H$4,C37=3,$I$4,C37=4,$J$4,C37=5,$K$4)</f>
        <v>34808480.626329057</v>
      </c>
      <c r="G37" s="203">
        <f t="shared" ca="1" si="2"/>
        <v>-1.0525007847305135</v>
      </c>
      <c r="H37" s="203">
        <f t="shared" ca="1" si="3"/>
        <v>1.0544689174367061</v>
      </c>
      <c r="I37" s="204" cm="1">
        <f t="array" aca="1" ref="I37" ca="1">D37*_xlfn.IFS(C37=1,$G$5,C37=2,$H$5,C37=3,$I$5,C37=4,$J$5,C37=5,$K$5)</f>
        <v>52212720.939493589</v>
      </c>
      <c r="J37" s="205">
        <f t="shared" si="4"/>
        <v>1.02318</v>
      </c>
      <c r="K37" s="206" cm="1">
        <f t="array" aca="1" ref="K37" ca="1">D37*_xlfn.IFS(C37=1,$G$6,C37=2,$H$6,C37=3,$I$6,C37=4,$J$6,C37=5,$K$6)</f>
        <v>139233922.5053162</v>
      </c>
      <c r="L37" s="207">
        <f t="shared" ca="1" si="5"/>
        <v>0.26867138781650973</v>
      </c>
      <c r="M37" s="207">
        <f t="shared" ca="1" si="6"/>
        <v>1.2064822203675627</v>
      </c>
      <c r="N37" s="208" cm="1">
        <f t="array" aca="1" ref="N37" ca="1">D37*_xlfn.IFS(C37=1,$G$7,C37=2,$H$7,C37=3,$I$7,C37=4,$J$7,C37=5,$K$7)</f>
        <v>104425441.87898718</v>
      </c>
      <c r="O37" s="209">
        <f t="shared" ca="1" si="7"/>
        <v>0.58520424221114142</v>
      </c>
      <c r="P37" s="209">
        <f t="shared" ca="1" si="8"/>
        <v>1.0839484202953149</v>
      </c>
      <c r="Q37" s="200">
        <f t="shared" ca="1" si="9"/>
        <v>388706757.74576473</v>
      </c>
      <c r="R37" s="200">
        <f>'14.3. More funds to invest'!G20</f>
        <v>22090639.481085345</v>
      </c>
      <c r="U37" s="211">
        <v>19</v>
      </c>
      <c r="V37" s="178">
        <v>4882341883.0470457</v>
      </c>
    </row>
    <row r="38" spans="1:22" x14ac:dyDescent="0.25">
      <c r="A38" s="198">
        <v>20</v>
      </c>
      <c r="B38" s="199">
        <v>2043</v>
      </c>
      <c r="C38" s="199" cm="1">
        <f t="array" ref="C38">_xlfn.IFS(AND(B38&gt;=2024,B38&lt;=2034),1,AND(B38&gt;=2035,B38&lt;=2044),2,AND(B38&gt;=2045,B38&lt;=2055),3,AND(B38&gt;=2056,B38&lt;=2062),4,B38&gt;=2063,5)</f>
        <v>2</v>
      </c>
      <c r="D38" s="200">
        <f t="shared" ca="1" si="1"/>
        <v>410797397.22685009</v>
      </c>
      <c r="E38" s="201" cm="1">
        <f t="array" aca="1" ref="E38" ca="1">D38*_xlfn.IFS(C38=1,$G$3,C38=2,$H$3,C38=3,$I$3,C38=4,$J$3,C38=5,$K$3)</f>
        <v>20539869.861342505</v>
      </c>
      <c r="F38" s="202" cm="1">
        <f t="array" aca="1" ref="F38" ca="1">D38*_xlfn.IFS(C38=1,$G$4,C38=2,$H$4,C38=3,$I$4,C38=4,$J$4,C38=5,$K$4)</f>
        <v>41079739.722685009</v>
      </c>
      <c r="G38" s="203">
        <f t="shared" ca="1" si="2"/>
        <v>4.0306591069788275E-3</v>
      </c>
      <c r="H38" s="203">
        <f t="shared" ca="1" si="3"/>
        <v>1.0620288410488234</v>
      </c>
      <c r="I38" s="204" cm="1">
        <f t="array" aca="1" ref="I38" ca="1">D38*_xlfn.IFS(C38=1,$G$5,C38=2,$H$5,C38=3,$I$5,C38=4,$J$5,C38=5,$K$5)</f>
        <v>61619609.584027514</v>
      </c>
      <c r="J38" s="205">
        <f t="shared" si="4"/>
        <v>1.02318</v>
      </c>
      <c r="K38" s="206" cm="1">
        <f t="array" aca="1" ref="K38" ca="1">D38*_xlfn.IFS(C38=1,$G$6,C38=2,$H$6,C38=3,$I$6,C38=4,$J$6,C38=5,$K$6)</f>
        <v>164318958.89074001</v>
      </c>
      <c r="L38" s="207">
        <f t="shared" ca="1" si="5"/>
        <v>0.17187779112782087</v>
      </c>
      <c r="M38" s="207">
        <f t="shared" ca="1" si="6"/>
        <v>1.1756741487654765</v>
      </c>
      <c r="N38" s="208" cm="1">
        <f t="array" aca="1" ref="N38" ca="1">D38*_xlfn.IFS(C38=1,$G$7,C38=2,$H$7,C38=3,$I$7,C38=4,$J$7,C38=5,$K$7)</f>
        <v>123239219.16805503</v>
      </c>
      <c r="O38" s="209">
        <f t="shared" ca="1" si="7"/>
        <v>0.25005164871495966</v>
      </c>
      <c r="P38" s="209">
        <f t="shared" ca="1" si="8"/>
        <v>1.0775527888196257</v>
      </c>
      <c r="Q38" s="200">
        <f t="shared" ca="1" si="9"/>
        <v>453198006.79018915</v>
      </c>
      <c r="R38" s="200">
        <f>'14.3. More funds to invest'!G21</f>
        <v>22780449.511513352</v>
      </c>
      <c r="U38" s="211">
        <v>20</v>
      </c>
      <c r="V38" s="178">
        <v>8864722912.9267654</v>
      </c>
    </row>
    <row r="39" spans="1:22" x14ac:dyDescent="0.25">
      <c r="A39" s="198">
        <v>21</v>
      </c>
      <c r="B39" s="199">
        <v>2044</v>
      </c>
      <c r="C39" s="199" cm="1">
        <f t="array" ref="C39">_xlfn.IFS(AND(B39&gt;=2024,B39&lt;=2034),1,AND(B39&gt;=2035,B39&lt;=2044),2,AND(B39&gt;=2045,B39&lt;=2055),3,AND(B39&gt;=2056,B39&lt;=2062),4,B39&gt;=2063,5)</f>
        <v>2</v>
      </c>
      <c r="D39" s="200">
        <f t="shared" ca="1" si="1"/>
        <v>475978456.3017025</v>
      </c>
      <c r="E39" s="201" cm="1">
        <f t="array" aca="1" ref="E39" ca="1">D39*_xlfn.IFS(C39=1,$G$3,C39=2,$H$3,C39=3,$I$3,C39=4,$J$3,C39=5,$K$3)</f>
        <v>23798922.815085128</v>
      </c>
      <c r="F39" s="202" cm="1">
        <f t="array" aca="1" ref="F39" ca="1">D39*_xlfn.IFS(C39=1,$G$4,C39=2,$H$4,C39=3,$I$4,C39=4,$J$4,C39=5,$K$4)</f>
        <v>47597845.630170256</v>
      </c>
      <c r="G39" s="203">
        <f t="shared" ca="1" si="2"/>
        <v>0.52405254569738791</v>
      </c>
      <c r="H39" s="203">
        <f t="shared" ca="1" si="3"/>
        <v>1.0657498147710758</v>
      </c>
      <c r="I39" s="204" cm="1">
        <f t="array" aca="1" ref="I39" ca="1">D39*_xlfn.IFS(C39=1,$G$5,C39=2,$H$5,C39=3,$I$5,C39=4,$J$5,C39=5,$K$5)</f>
        <v>71396768.445255369</v>
      </c>
      <c r="J39" s="205">
        <f t="shared" si="4"/>
        <v>1.02318</v>
      </c>
      <c r="K39" s="206" cm="1">
        <f t="array" aca="1" ref="K39" ca="1">D39*_xlfn.IFS(C39=1,$G$6,C39=2,$H$6,C39=3,$I$6,C39=4,$J$6,C39=5,$K$6)</f>
        <v>190391382.52068096</v>
      </c>
      <c r="L39" s="207">
        <f t="shared" ca="1" si="5"/>
        <v>0.47051646361465022</v>
      </c>
      <c r="M39" s="207">
        <f t="shared" ca="1" si="6"/>
        <v>1.2707267340590793</v>
      </c>
      <c r="N39" s="208" cm="1">
        <f t="array" aca="1" ref="N39" ca="1">D39*_xlfn.IFS(C39=1,$G$7,C39=2,$H$7,C39=3,$I$7,C39=4,$J$7,C39=5,$K$7)</f>
        <v>142793536.89051074</v>
      </c>
      <c r="O39" s="209">
        <f t="shared" ca="1" si="7"/>
        <v>-0.87125842816060795</v>
      </c>
      <c r="P39" s="209">
        <f t="shared" ca="1" si="8"/>
        <v>1.0561551145636607</v>
      </c>
      <c r="Q39" s="200">
        <f t="shared" ca="1" si="9"/>
        <v>540325607.53380322</v>
      </c>
      <c r="R39" s="200">
        <f>'14.3. More funds to invest'!G22</f>
        <v>23497374.8608412</v>
      </c>
      <c r="U39" s="211">
        <v>21</v>
      </c>
      <c r="V39" s="178">
        <v>7209456858.0115433</v>
      </c>
    </row>
    <row r="40" spans="1:22" x14ac:dyDescent="0.25">
      <c r="A40" s="198">
        <v>22</v>
      </c>
      <c r="B40" s="199">
        <v>2045</v>
      </c>
      <c r="C40" s="199" cm="1">
        <f t="array" ref="C40">_xlfn.IFS(AND(B40&gt;=2024,B40&lt;=2034),1,AND(B40&gt;=2035,B40&lt;=2044),2,AND(B40&gt;=2045,B40&lt;=2055),3,AND(B40&gt;=2056,B40&lt;=2062),4,B40&gt;=2063,5)</f>
        <v>3</v>
      </c>
      <c r="D40" s="200">
        <f t="shared" ca="1" si="1"/>
        <v>563822982.39464438</v>
      </c>
      <c r="E40" s="201" cm="1">
        <f t="array" aca="1" ref="E40" ca="1">D40*_xlfn.IFS(C40=1,$G$3,C40=2,$H$3,C40=3,$I$3,C40=4,$J$3,C40=5,$K$3)</f>
        <v>56382298.239464439</v>
      </c>
      <c r="F40" s="202" cm="1">
        <f t="array" aca="1" ref="F40" ca="1">D40*_xlfn.IFS(C40=1,$G$4,C40=2,$H$4,C40=3,$I$4,C40=4,$J$4,C40=5,$K$4)</f>
        <v>140955745.59866109</v>
      </c>
      <c r="G40" s="203">
        <f t="shared" ca="1" si="2"/>
        <v>0.27733206130540994</v>
      </c>
      <c r="H40" s="203">
        <f t="shared" ca="1" si="3"/>
        <v>1.0639844266925409</v>
      </c>
      <c r="I40" s="204" cm="1">
        <f t="array" aca="1" ref="I40" ca="1">D40*_xlfn.IFS(C40=1,$G$5,C40=2,$H$5,C40=3,$I$5,C40=4,$J$5,C40=5,$K$5)</f>
        <v>169146894.7183933</v>
      </c>
      <c r="J40" s="205">
        <f t="shared" si="4"/>
        <v>1.02318</v>
      </c>
      <c r="K40" s="206" cm="1">
        <f t="array" aca="1" ref="K40" ca="1">D40*_xlfn.IFS(C40=1,$G$6,C40=2,$H$6,C40=3,$I$6,C40=4,$J$6,C40=5,$K$6)</f>
        <v>84573447.359196708</v>
      </c>
      <c r="L40" s="207">
        <f t="shared" ca="1" si="5"/>
        <v>-0.35285138527136445</v>
      </c>
      <c r="M40" s="207">
        <f t="shared" ca="1" si="6"/>
        <v>1.0086600632138969</v>
      </c>
      <c r="N40" s="208" cm="1">
        <f t="array" aca="1" ref="N40" ca="1">D40*_xlfn.IFS(C40=1,$G$7,C40=2,$H$7,C40=3,$I$7,C40=4,$J$7,C40=5,$K$7)</f>
        <v>112764596.47892888</v>
      </c>
      <c r="O40" s="209">
        <f t="shared" ca="1" si="7"/>
        <v>0.13111961648561885</v>
      </c>
      <c r="P40" s="209">
        <f t="shared" ca="1" si="8"/>
        <v>1.0752832391770017</v>
      </c>
      <c r="Q40" s="200">
        <f t="shared" ca="1" si="9"/>
        <v>585984475.47313583</v>
      </c>
      <c r="R40" s="200">
        <f>'14.3. More funds to invest'!G23</f>
        <v>24242497.616095006</v>
      </c>
      <c r="U40" s="211">
        <v>22</v>
      </c>
      <c r="V40" s="178">
        <v>5566942294.254837</v>
      </c>
    </row>
    <row r="41" spans="1:22" x14ac:dyDescent="0.25">
      <c r="A41" s="198">
        <v>23</v>
      </c>
      <c r="B41" s="199">
        <v>2046</v>
      </c>
      <c r="C41" s="199" cm="1">
        <f t="array" ref="C41">_xlfn.IFS(AND(B41&gt;=2024,B41&lt;=2034),1,AND(B41&gt;=2035,B41&lt;=2044),2,AND(B41&gt;=2045,B41&lt;=2055),3,AND(B41&gt;=2056,B41&lt;=2062),4,B41&gt;=2063,5)</f>
        <v>3</v>
      </c>
      <c r="D41" s="200">
        <f t="shared" ca="1" si="1"/>
        <v>610226973.08923078</v>
      </c>
      <c r="E41" s="201" cm="1">
        <f t="array" aca="1" ref="E41" ca="1">D41*_xlfn.IFS(C41=1,$G$3,C41=2,$H$3,C41=3,$I$3,C41=4,$J$3,C41=5,$K$3)</f>
        <v>61022697.308923081</v>
      </c>
      <c r="F41" s="202" cm="1">
        <f t="array" aca="1" ref="F41" ca="1">D41*_xlfn.IFS(C41=1,$G$4,C41=2,$H$4,C41=3,$I$4,C41=4,$J$4,C41=5,$K$4)</f>
        <v>152556743.27230769</v>
      </c>
      <c r="G41" s="203">
        <f t="shared" ca="1" si="2"/>
        <v>-1.1973429090284557</v>
      </c>
      <c r="H41" s="203">
        <f t="shared" ca="1" si="3"/>
        <v>1.053432511561712</v>
      </c>
      <c r="I41" s="204" cm="1">
        <f t="array" aca="1" ref="I41" ca="1">D41*_xlfn.IFS(C41=1,$G$5,C41=2,$H$5,C41=3,$I$5,C41=4,$J$5,C41=5,$K$5)</f>
        <v>183068091.92676923</v>
      </c>
      <c r="J41" s="205">
        <f t="shared" si="4"/>
        <v>1.02318</v>
      </c>
      <c r="K41" s="206" cm="1">
        <f t="array" aca="1" ref="K41" ca="1">D41*_xlfn.IFS(C41=1,$G$6,C41=2,$H$6,C41=3,$I$6,C41=4,$J$6,C41=5,$K$6)</f>
        <v>91534045.963384658</v>
      </c>
      <c r="L41" s="207">
        <f t="shared" ca="1" si="5"/>
        <v>0.36754781364432609</v>
      </c>
      <c r="M41" s="207">
        <f t="shared" ca="1" si="6"/>
        <v>1.2379532278605376</v>
      </c>
      <c r="N41" s="208" cm="1">
        <f t="array" aca="1" ref="N41" ca="1">D41*_xlfn.IFS(C41=1,$G$7,C41=2,$H$7,C41=3,$I$7,C41=4,$J$7,C41=5,$K$7)</f>
        <v>122045394.61784616</v>
      </c>
      <c r="O41" s="209">
        <f t="shared" ca="1" si="7"/>
        <v>0.79329835088060652</v>
      </c>
      <c r="P41" s="209">
        <f t="shared" ca="1" si="8"/>
        <v>1.0879194271057608</v>
      </c>
      <c r="Q41" s="200">
        <f t="shared" ca="1" si="9"/>
        <v>655132964.28062773</v>
      </c>
      <c r="R41" s="200">
        <f>'14.3. More funds to invest'!G24</f>
        <v>25016943.134410352</v>
      </c>
      <c r="U41" s="211">
        <v>23</v>
      </c>
      <c r="V41" s="178">
        <v>3667457207.7430625</v>
      </c>
    </row>
    <row r="42" spans="1:22" x14ac:dyDescent="0.25">
      <c r="A42" s="198">
        <v>24</v>
      </c>
      <c r="B42" s="199">
        <v>2047</v>
      </c>
      <c r="C42" s="199" cm="1">
        <f t="array" ref="C42">_xlfn.IFS(AND(B42&gt;=2024,B42&lt;=2034),1,AND(B42&gt;=2035,B42&lt;=2044),2,AND(B42&gt;=2045,B42&lt;=2055),3,AND(B42&gt;=2056,B42&lt;=2062),4,B42&gt;=2063,5)</f>
        <v>3</v>
      </c>
      <c r="D42" s="200">
        <f t="shared" ca="1" si="1"/>
        <v>680149907.41503811</v>
      </c>
      <c r="E42" s="201" cm="1">
        <f t="array" aca="1" ref="E42" ca="1">D42*_xlfn.IFS(C42=1,$G$3,C42=2,$H$3,C42=3,$I$3,C42=4,$J$3,C42=5,$K$3)</f>
        <v>68014990.74150382</v>
      </c>
      <c r="F42" s="202" cm="1">
        <f t="array" aca="1" ref="F42" ca="1">D42*_xlfn.IFS(C42=1,$G$4,C42=2,$H$4,C42=3,$I$4,C42=4,$J$4,C42=5,$K$4)</f>
        <v>170037476.85375953</v>
      </c>
      <c r="G42" s="203">
        <f t="shared" ca="1" si="2"/>
        <v>-1.8693593686693093E-2</v>
      </c>
      <c r="H42" s="203">
        <f t="shared" ca="1" si="3"/>
        <v>1.061866239532073</v>
      </c>
      <c r="I42" s="204" cm="1">
        <f t="array" aca="1" ref="I42" ca="1">D42*_xlfn.IFS(C42=1,$G$5,C42=2,$H$5,C42=3,$I$5,C42=4,$J$5,C42=5,$K$5)</f>
        <v>204044972.22451141</v>
      </c>
      <c r="J42" s="205">
        <f t="shared" si="4"/>
        <v>1.02318</v>
      </c>
      <c r="K42" s="206" cm="1">
        <f t="array" aca="1" ref="K42" ca="1">D42*_xlfn.IFS(C42=1,$G$6,C42=2,$H$6,C42=3,$I$6,C42=4,$J$6,C42=5,$K$6)</f>
        <v>102022486.11225577</v>
      </c>
      <c r="L42" s="207">
        <f t="shared" ca="1" si="5"/>
        <v>0.36817550033461754</v>
      </c>
      <c r="M42" s="207">
        <f t="shared" ca="1" si="6"/>
        <v>1.2381530119078272</v>
      </c>
      <c r="N42" s="208" cm="1">
        <f t="array" aca="1" ref="N42" ca="1">D42*_xlfn.IFS(C42=1,$G$7,C42=2,$H$7,C42=3,$I$7,C42=4,$J$7,C42=5,$K$7)</f>
        <v>136029981.48300764</v>
      </c>
      <c r="O42" s="209">
        <f t="shared" ca="1" si="7"/>
        <v>-1.1406495583036989</v>
      </c>
      <c r="P42" s="209">
        <f t="shared" ca="1" si="8"/>
        <v>1.0510143923235558</v>
      </c>
      <c r="Q42" s="200">
        <f t="shared" ca="1" si="9"/>
        <v>726635698.33676469</v>
      </c>
      <c r="R42" s="200">
        <f>'14.3. More funds to invest'!G25</f>
        <v>25821881.773765996</v>
      </c>
      <c r="U42" s="211">
        <v>24</v>
      </c>
      <c r="V42" s="178">
        <v>5444405276.9228449</v>
      </c>
    </row>
    <row r="43" spans="1:22" x14ac:dyDescent="0.25">
      <c r="A43" s="198">
        <v>25</v>
      </c>
      <c r="B43" s="199">
        <v>2048</v>
      </c>
      <c r="C43" s="199" cm="1">
        <f t="array" ref="C43">_xlfn.IFS(AND(B43&gt;=2024,B43&lt;=2034),1,AND(B43&gt;=2035,B43&lt;=2044),2,AND(B43&gt;=2045,B43&lt;=2055),3,AND(B43&gt;=2056,B43&lt;=2062),4,B43&gt;=2063,5)</f>
        <v>3</v>
      </c>
      <c r="D43" s="200">
        <f t="shared" ca="1" si="1"/>
        <v>752457580.11053073</v>
      </c>
      <c r="E43" s="201" cm="1">
        <f t="array" aca="1" ref="E43" ca="1">D43*_xlfn.IFS(C43=1,$G$3,C43=2,$H$3,C43=3,$I$3,C43=4,$J$3,C43=5,$K$3)</f>
        <v>75245758.01105307</v>
      </c>
      <c r="F43" s="202" cm="1">
        <f t="array" aca="1" ref="F43" ca="1">D43*_xlfn.IFS(C43=1,$G$4,C43=2,$H$4,C43=3,$I$4,C43=4,$J$4,C43=5,$K$4)</f>
        <v>188114395.02763268</v>
      </c>
      <c r="G43" s="203">
        <f t="shared" ca="1" si="2"/>
        <v>-0.74002076653297255</v>
      </c>
      <c r="H43" s="203">
        <f t="shared" ca="1" si="3"/>
        <v>1.0567048424360665</v>
      </c>
      <c r="I43" s="204" cm="1">
        <f t="array" aca="1" ref="I43" ca="1">D43*_xlfn.IFS(C43=1,$G$5,C43=2,$H$5,C43=3,$I$5,C43=4,$J$5,C43=5,$K$5)</f>
        <v>225737274.03315923</v>
      </c>
      <c r="J43" s="205">
        <f t="shared" si="4"/>
        <v>1.02318</v>
      </c>
      <c r="K43" s="206" cm="1">
        <f t="array" aca="1" ref="K43" ca="1">D43*_xlfn.IFS(C43=1,$G$6,C43=2,$H$6,C43=3,$I$6,C43=4,$J$6,C43=5,$K$6)</f>
        <v>112868637.01657967</v>
      </c>
      <c r="L43" s="207">
        <f t="shared" ca="1" si="5"/>
        <v>0.67861612665263493</v>
      </c>
      <c r="M43" s="207">
        <f t="shared" ca="1" si="6"/>
        <v>1.3369619969129229</v>
      </c>
      <c r="N43" s="208" cm="1">
        <f t="array" aca="1" ref="N43" ca="1">D43*_xlfn.IFS(C43=1,$G$7,C43=2,$H$7,C43=3,$I$7,C43=4,$J$7,C43=5,$K$7)</f>
        <v>150491516.02210614</v>
      </c>
      <c r="O43" s="209">
        <f t="shared" ca="1" si="7"/>
        <v>-0.45497758680049516</v>
      </c>
      <c r="P43" s="209">
        <f t="shared" ca="1" si="8"/>
        <v>1.0640988957051292</v>
      </c>
      <c r="Q43" s="200">
        <f t="shared" ca="1" si="9"/>
        <v>816035948.56057167</v>
      </c>
      <c r="R43" s="200">
        <f>'14.3. More funds to invest'!G26</f>
        <v>26889228.067786604</v>
      </c>
      <c r="U43" s="211">
        <v>25</v>
      </c>
      <c r="V43" s="178">
        <v>8884823751.2335205</v>
      </c>
    </row>
    <row r="44" spans="1:22" x14ac:dyDescent="0.25">
      <c r="A44" s="198">
        <v>26</v>
      </c>
      <c r="B44" s="199">
        <v>2049</v>
      </c>
      <c r="C44" s="199" cm="1">
        <f t="array" ref="C44">_xlfn.IFS(AND(B44&gt;=2024,B44&lt;=2034),1,AND(B44&gt;=2035,B44&lt;=2044),2,AND(B44&gt;=2045,B44&lt;=2055),3,AND(B44&gt;=2056,B44&lt;=2062),4,B44&gt;=2063,5)</f>
        <v>3</v>
      </c>
      <c r="D44" s="200">
        <f t="shared" ca="1" si="1"/>
        <v>842925176.62835824</v>
      </c>
      <c r="E44" s="201" cm="1">
        <f t="array" aca="1" ref="E44" ca="1">D44*_xlfn.IFS(C44=1,$G$3,C44=2,$H$3,C44=3,$I$3,C44=4,$J$3,C44=5,$K$3)</f>
        <v>84292517.662835836</v>
      </c>
      <c r="F44" s="202" cm="1">
        <f t="array" aca="1" ref="F44" ca="1">D44*_xlfn.IFS(C44=1,$G$4,C44=2,$H$4,C44=3,$I$4,C44=4,$J$4,C44=5,$K$4)</f>
        <v>210731294.15708956</v>
      </c>
      <c r="G44" s="203">
        <f t="shared" ca="1" si="2"/>
        <v>0.87295365464983365</v>
      </c>
      <c r="H44" s="203">
        <f t="shared" ca="1" si="3"/>
        <v>1.0682463478816124</v>
      </c>
      <c r="I44" s="204" cm="1">
        <f t="array" aca="1" ref="I44" ca="1">D44*_xlfn.IFS(C44=1,$G$5,C44=2,$H$5,C44=3,$I$5,C44=4,$J$5,C44=5,$K$5)</f>
        <v>252877552.98850745</v>
      </c>
      <c r="J44" s="205">
        <f t="shared" si="4"/>
        <v>1.02318</v>
      </c>
      <c r="K44" s="206" cm="1">
        <f t="array" aca="1" ref="K44" ca="1">D44*_xlfn.IFS(C44=1,$G$6,C44=2,$H$6,C44=3,$I$6,C44=4,$J$6,C44=5,$K$6)</f>
        <v>126438776.4942538</v>
      </c>
      <c r="L44" s="207">
        <f t="shared" ca="1" si="5"/>
        <v>-1.9771912414857309</v>
      </c>
      <c r="M44" s="207">
        <f t="shared" ca="1" si="6"/>
        <v>0.4916550101077094</v>
      </c>
      <c r="N44" s="208" cm="1">
        <f t="array" aca="1" ref="N44" ca="1">D44*_xlfn.IFS(C44=1,$G$7,C44=2,$H$7,C44=3,$I$7,C44=4,$J$7,C44=5,$K$7)</f>
        <v>168585035.32567167</v>
      </c>
      <c r="O44" s="209">
        <f t="shared" ca="1" si="7"/>
        <v>0.78883557451296638</v>
      </c>
      <c r="P44" s="209">
        <f t="shared" ca="1" si="8"/>
        <v>1.0878342650823729</v>
      </c>
      <c r="Q44" s="200">
        <f t="shared" ca="1" si="9"/>
        <v>813701543.6399703</v>
      </c>
      <c r="R44" s="200">
        <f>'14.3. More funds to invest'!G27</f>
        <v>27768080.993336037</v>
      </c>
      <c r="U44" s="211">
        <v>26</v>
      </c>
      <c r="V44" s="178">
        <v>5396137349.5046577</v>
      </c>
    </row>
    <row r="45" spans="1:22" x14ac:dyDescent="0.25">
      <c r="A45" s="198">
        <v>27</v>
      </c>
      <c r="B45" s="199">
        <v>2050</v>
      </c>
      <c r="C45" s="199" cm="1">
        <f t="array" ref="C45">_xlfn.IFS(AND(B45&gt;=2024,B45&lt;=2034),1,AND(B45&gt;=2035,B45&lt;=2044),2,AND(B45&gt;=2045,B45&lt;=2055),3,AND(B45&gt;=2056,B45&lt;=2062),4,B45&gt;=2063,5)</f>
        <v>3</v>
      </c>
      <c r="D45" s="200">
        <f t="shared" ca="1" si="1"/>
        <v>841469624.63330638</v>
      </c>
      <c r="E45" s="201" cm="1">
        <f t="array" aca="1" ref="E45" ca="1">D45*_xlfn.IFS(C45=1,$G$3,C45=2,$H$3,C45=3,$I$3,C45=4,$J$3,C45=5,$K$3)</f>
        <v>84146962.463330641</v>
      </c>
      <c r="F45" s="202" cm="1">
        <f t="array" aca="1" ref="F45" ca="1">D45*_xlfn.IFS(C45=1,$G$4,C45=2,$H$4,C45=3,$I$4,C45=4,$J$4,C45=5,$K$4)</f>
        <v>210367406.1583266</v>
      </c>
      <c r="G45" s="203">
        <f t="shared" ca="1" si="2"/>
        <v>-0.25720576051045491</v>
      </c>
      <c r="H45" s="203">
        <f t="shared" ca="1" si="3"/>
        <v>1.0601595853929411</v>
      </c>
      <c r="I45" s="204" cm="1">
        <f t="array" aca="1" ref="I45" ca="1">D45*_xlfn.IFS(C45=1,$G$5,C45=2,$H$5,C45=3,$I$5,C45=4,$J$5,C45=5,$K$5)</f>
        <v>252440887.38999191</v>
      </c>
      <c r="J45" s="205">
        <f t="shared" si="4"/>
        <v>1.02318</v>
      </c>
      <c r="K45" s="206" cm="1">
        <f t="array" aca="1" ref="K45" ca="1">D45*_xlfn.IFS(C45=1,$G$6,C45=2,$H$6,C45=3,$I$6,C45=4,$J$6,C45=5,$K$6)</f>
        <v>126220443.69499603</v>
      </c>
      <c r="L45" s="207">
        <f t="shared" ca="1" si="5"/>
        <v>-1.1023217421887079</v>
      </c>
      <c r="M45" s="207">
        <f t="shared" ca="1" si="6"/>
        <v>0.77011394849710801</v>
      </c>
      <c r="N45" s="208" cm="1">
        <f t="array" aca="1" ref="N45" ca="1">D45*_xlfn.IFS(C45=1,$G$7,C45=2,$H$7,C45=3,$I$7,C45=4,$J$7,C45=5,$K$7)</f>
        <v>168293924.92666128</v>
      </c>
      <c r="O45" s="209">
        <f t="shared" ca="1" si="7"/>
        <v>-1.3592872077785447</v>
      </c>
      <c r="P45" s="209">
        <f t="shared" ca="1" si="8"/>
        <v>1.0468421858125894</v>
      </c>
      <c r="Q45" s="200">
        <f t="shared" ca="1" si="9"/>
        <v>838843756.22023869</v>
      </c>
      <c r="R45" s="200">
        <f>'14.3. More funds to invest'!G28</f>
        <v>28681595.597216591</v>
      </c>
      <c r="U45" s="211">
        <v>27</v>
      </c>
      <c r="V45" s="178">
        <v>6284599354.0416212</v>
      </c>
    </row>
    <row r="46" spans="1:22" x14ac:dyDescent="0.25">
      <c r="A46" s="198">
        <v>28</v>
      </c>
      <c r="B46" s="199">
        <v>2051</v>
      </c>
      <c r="C46" s="199" cm="1">
        <f t="array" ref="C46">_xlfn.IFS(AND(B46&gt;=2024,B46&lt;=2034),1,AND(B46&gt;=2035,B46&lt;=2044),2,AND(B46&gt;=2045,B46&lt;=2055),3,AND(B46&gt;=2056,B46&lt;=2062),4,B46&gt;=2063,5)</f>
        <v>3</v>
      </c>
      <c r="D46" s="200">
        <f t="shared" ca="1" si="1"/>
        <v>867525351.81745529</v>
      </c>
      <c r="E46" s="201" cm="1">
        <f t="array" aca="1" ref="E46" ca="1">D46*_xlfn.IFS(C46=1,$G$3,C46=2,$H$3,C46=3,$I$3,C46=4,$J$3,C46=5,$K$3)</f>
        <v>86752535.181745529</v>
      </c>
      <c r="F46" s="202" cm="1">
        <f t="array" aca="1" ref="F46" ca="1">D46*_xlfn.IFS(C46=1,$G$4,C46=2,$H$4,C46=3,$I$4,C46=4,$J$4,C46=5,$K$4)</f>
        <v>216881337.95436382</v>
      </c>
      <c r="G46" s="203">
        <f t="shared" ca="1" si="2"/>
        <v>1.3251371313758702</v>
      </c>
      <c r="H46" s="203">
        <f t="shared" ca="1" si="3"/>
        <v>1.0714819094568497</v>
      </c>
      <c r="I46" s="204" cm="1">
        <f t="array" aca="1" ref="I46" ca="1">D46*_xlfn.IFS(C46=1,$G$5,C46=2,$H$5,C46=3,$I$5,C46=4,$J$5,C46=5,$K$5)</f>
        <v>260257605.54523659</v>
      </c>
      <c r="J46" s="205">
        <f t="shared" si="4"/>
        <v>1.02318</v>
      </c>
      <c r="K46" s="206" cm="1">
        <f t="array" aca="1" ref="K46" ca="1">D46*_xlfn.IFS(C46=1,$G$6,C46=2,$H$6,C46=3,$I$6,C46=4,$J$6,C46=5,$K$6)</f>
        <v>130128802.77261837</v>
      </c>
      <c r="L46" s="207">
        <f t="shared" ca="1" si="5"/>
        <v>1.3336256549266181E-2</v>
      </c>
      <c r="M46" s="207">
        <f t="shared" ca="1" si="6"/>
        <v>1.1252125571282736</v>
      </c>
      <c r="N46" s="208" cm="1">
        <f t="array" aca="1" ref="N46" ca="1">D46*_xlfn.IFS(C46=1,$G$7,C46=2,$H$7,C46=3,$I$7,C46=4,$J$7,C46=5,$K$7)</f>
        <v>173505070.36349106</v>
      </c>
      <c r="O46" s="209">
        <f t="shared" ca="1" si="7"/>
        <v>0.42136202428064429</v>
      </c>
      <c r="P46" s="209">
        <f t="shared" ca="1" si="8"/>
        <v>1.0808218610313332</v>
      </c>
      <c r="Q46" s="200">
        <f t="shared" ca="1" si="9"/>
        <v>919377978.11287832</v>
      </c>
      <c r="R46" s="200">
        <f>'14.3. More funds to invest'!G29</f>
        <v>27381405.739533156</v>
      </c>
      <c r="U46" s="211">
        <v>28</v>
      </c>
      <c r="V46" s="178">
        <v>4827291478.51507</v>
      </c>
    </row>
    <row r="47" spans="1:22" x14ac:dyDescent="0.25">
      <c r="A47" s="198">
        <v>29</v>
      </c>
      <c r="B47" s="199">
        <v>2052</v>
      </c>
      <c r="C47" s="199" cm="1">
        <f t="array" ref="C47">_xlfn.IFS(AND(B47&gt;=2024,B47&lt;=2034),1,AND(B47&gt;=2035,B47&lt;=2044),2,AND(B47&gt;=2045,B47&lt;=2055),3,AND(B47&gt;=2056,B47&lt;=2062),4,B47&gt;=2063,5)</f>
        <v>3</v>
      </c>
      <c r="D47" s="200">
        <f t="shared" ca="1" si="1"/>
        <v>946759383.85241151</v>
      </c>
      <c r="E47" s="201" cm="1">
        <f t="array" aca="1" ref="E47" ca="1">D47*_xlfn.IFS(C47=1,$G$3,C47=2,$H$3,C47=3,$I$3,C47=4,$J$3,C47=5,$K$3)</f>
        <v>94675938.385241151</v>
      </c>
      <c r="F47" s="202" cm="1">
        <f t="array" aca="1" ref="F47" ca="1">D47*_xlfn.IFS(C47=1,$G$4,C47=2,$H$4,C47=3,$I$4,C47=4,$J$4,C47=5,$K$4)</f>
        <v>236689845.96310288</v>
      </c>
      <c r="G47" s="203">
        <f t="shared" ca="1" si="2"/>
        <v>0.31091684633208955</v>
      </c>
      <c r="H47" s="203">
        <f t="shared" ca="1" si="3"/>
        <v>1.0642247398519948</v>
      </c>
      <c r="I47" s="204" cm="1">
        <f t="array" aca="1" ref="I47" ca="1">D47*_xlfn.IFS(C47=1,$G$5,C47=2,$H$5,C47=3,$I$5,C47=4,$J$5,C47=5,$K$5)</f>
        <v>284027815.15572345</v>
      </c>
      <c r="J47" s="205">
        <f t="shared" si="4"/>
        <v>1.02318</v>
      </c>
      <c r="K47" s="206" cm="1">
        <f t="array" aca="1" ref="K47" ca="1">D47*_xlfn.IFS(C47=1,$G$6,C47=2,$H$6,C47=3,$I$6,C47=4,$J$6,C47=5,$K$6)</f>
        <v>142013907.57786179</v>
      </c>
      <c r="L47" s="207">
        <f t="shared" ca="1" si="5"/>
        <v>-1.1927564260811803</v>
      </c>
      <c r="M47" s="207">
        <f t="shared" ca="1" si="6"/>
        <v>0.7413298314482073</v>
      </c>
      <c r="N47" s="208" cm="1">
        <f t="array" aca="1" ref="N47" ca="1">D47*_xlfn.IFS(C47=1,$G$7,C47=2,$H$7,C47=3,$I$7,C47=4,$J$7,C47=5,$K$7)</f>
        <v>189351876.7704823</v>
      </c>
      <c r="O47" s="209">
        <f t="shared" ca="1" si="7"/>
        <v>-1.7277245235725267</v>
      </c>
      <c r="P47" s="209">
        <f t="shared" ca="1" si="8"/>
        <v>1.0398113904691024</v>
      </c>
      <c r="Q47" s="200">
        <f t="shared" ca="1" si="9"/>
        <v>939348092.48261309</v>
      </c>
      <c r="R47" s="200">
        <f>'14.3. More funds to invest'!G30</f>
        <v>28368450.620992884</v>
      </c>
      <c r="U47" s="211">
        <v>29</v>
      </c>
      <c r="V47" s="178">
        <v>6646781159.2379494</v>
      </c>
    </row>
    <row r="48" spans="1:22" x14ac:dyDescent="0.25">
      <c r="A48" s="198">
        <v>30</v>
      </c>
      <c r="B48" s="199">
        <v>2053</v>
      </c>
      <c r="C48" s="199" cm="1">
        <f t="array" ref="C48">_xlfn.IFS(AND(B48&gt;=2024,B48&lt;=2034),1,AND(B48&gt;=2035,B48&lt;=2044),2,AND(B48&gt;=2045,B48&lt;=2055),3,AND(B48&gt;=2056,B48&lt;=2062),4,B48&gt;=2063,5)</f>
        <v>3</v>
      </c>
      <c r="D48" s="200">
        <f t="shared" ca="1" si="1"/>
        <v>967716543.10360599</v>
      </c>
      <c r="E48" s="201" cm="1">
        <f t="array" aca="1" ref="E48" ca="1">D48*_xlfn.IFS(C48=1,$G$3,C48=2,$H$3,C48=3,$I$3,C48=4,$J$3,C48=5,$K$3)</f>
        <v>96771654.31036061</v>
      </c>
      <c r="F48" s="202" cm="1">
        <f t="array" aca="1" ref="F48" ca="1">D48*_xlfn.IFS(C48=1,$G$4,C48=2,$H$4,C48=3,$I$4,C48=4,$J$4,C48=5,$K$4)</f>
        <v>241929135.7759015</v>
      </c>
      <c r="G48" s="203">
        <f t="shared" ca="1" si="2"/>
        <v>0.96110593073706352</v>
      </c>
      <c r="H48" s="203">
        <f t="shared" ca="1" si="3"/>
        <v>1.06887711422306</v>
      </c>
      <c r="I48" s="204" cm="1">
        <f t="array" aca="1" ref="I48" ca="1">D48*_xlfn.IFS(C48=1,$G$5,C48=2,$H$5,C48=3,$I$5,C48=4,$J$5,C48=5,$K$5)</f>
        <v>290314962.93108177</v>
      </c>
      <c r="J48" s="205">
        <f t="shared" si="4"/>
        <v>1.02318</v>
      </c>
      <c r="K48" s="206" cm="1">
        <f t="array" aca="1" ref="K48" ca="1">D48*_xlfn.IFS(C48=1,$G$6,C48=2,$H$6,C48=3,$I$6,C48=4,$J$6,C48=5,$K$6)</f>
        <v>145157481.46554098</v>
      </c>
      <c r="L48" s="207">
        <f t="shared" ca="1" si="5"/>
        <v>-0.40826664174076094</v>
      </c>
      <c r="M48" s="207">
        <f t="shared" ca="1" si="6"/>
        <v>0.99102214864556015</v>
      </c>
      <c r="N48" s="208" cm="1">
        <f t="array" aca="1" ref="N48" ca="1">D48*_xlfn.IFS(C48=1,$G$7,C48=2,$H$7,C48=3,$I$7,C48=4,$J$7,C48=5,$K$7)</f>
        <v>193543308.62072122</v>
      </c>
      <c r="O48" s="209">
        <f t="shared" ca="1" si="7"/>
        <v>1.1280277180060294</v>
      </c>
      <c r="P48" s="209">
        <f t="shared" ca="1" si="8"/>
        <v>1.0943069822605425</v>
      </c>
      <c r="Q48" s="200">
        <f t="shared" ca="1" si="9"/>
        <v>1008058707.74423</v>
      </c>
      <c r="R48" s="200">
        <f>'14.3. More funds to invest'!G31</f>
        <v>29394476.996456236</v>
      </c>
      <c r="U48" s="211">
        <v>30</v>
      </c>
      <c r="V48" s="178">
        <v>4969798916.2373838</v>
      </c>
    </row>
    <row r="49" spans="1:22" x14ac:dyDescent="0.25">
      <c r="A49" s="198">
        <v>31</v>
      </c>
      <c r="B49" s="199">
        <v>2054</v>
      </c>
      <c r="C49" s="199" cm="1">
        <f t="array" ref="C49">_xlfn.IFS(AND(B49&gt;=2024,B49&lt;=2034),1,AND(B49&gt;=2035,B49&lt;=2044),2,AND(B49&gt;=2045,B49&lt;=2055),3,AND(B49&gt;=2056,B49&lt;=2062),4,B49&gt;=2063,5)</f>
        <v>3</v>
      </c>
      <c r="D49" s="200">
        <f t="shared" ca="1" si="1"/>
        <v>1037453184.7406863</v>
      </c>
      <c r="E49" s="201" cm="1">
        <f t="array" aca="1" ref="E49" ca="1">D49*_xlfn.IFS(C49=1,$G$3,C49=2,$H$3,C49=3,$I$3,C49=4,$J$3,C49=5,$K$3)</f>
        <v>103745318.47406864</v>
      </c>
      <c r="F49" s="202" cm="1">
        <f t="array" aca="1" ref="F49" ca="1">D49*_xlfn.IFS(C49=1,$G$4,C49=2,$H$4,C49=3,$I$4,C49=4,$J$4,C49=5,$K$4)</f>
        <v>259363296.18517157</v>
      </c>
      <c r="G49" s="203">
        <f t="shared" ca="1" si="2"/>
        <v>0.6038053700069238</v>
      </c>
      <c r="H49" s="203">
        <f t="shared" ca="1" si="3"/>
        <v>1.0663204795280476</v>
      </c>
      <c r="I49" s="204" cm="1">
        <f t="array" aca="1" ref="I49" ca="1">D49*_xlfn.IFS(C49=1,$G$5,C49=2,$H$5,C49=3,$I$5,C49=4,$J$5,C49=5,$K$5)</f>
        <v>311235955.42220587</v>
      </c>
      <c r="J49" s="205">
        <f t="shared" si="4"/>
        <v>1.02318</v>
      </c>
      <c r="K49" s="206" cm="1">
        <f t="array" aca="1" ref="K49" ca="1">D49*_xlfn.IFS(C49=1,$G$6,C49=2,$H$6,C49=3,$I$6,C49=4,$J$6,C49=5,$K$6)</f>
        <v>155617977.71110302</v>
      </c>
      <c r="L49" s="207">
        <f t="shared" ca="1" si="5"/>
        <v>-0.72580336286164882</v>
      </c>
      <c r="M49" s="207">
        <f t="shared" ca="1" si="6"/>
        <v>0.88995457418557355</v>
      </c>
      <c r="N49" s="208" cm="1">
        <f t="array" aca="1" ref="N49" ca="1">D49*_xlfn.IFS(C49=1,$G$7,C49=2,$H$7,C49=3,$I$7,C49=4,$J$7,C49=5,$K$7)</f>
        <v>207490636.94813728</v>
      </c>
      <c r="O49" s="209">
        <f t="shared" ca="1" si="7"/>
        <v>0.77105408846866197</v>
      </c>
      <c r="P49" s="209">
        <f t="shared" ca="1" si="8"/>
        <v>1.0874949455185792</v>
      </c>
      <c r="Q49" s="200">
        <f t="shared" ca="1" si="9"/>
        <v>1062898067.7161431</v>
      </c>
      <c r="R49" s="200">
        <f>'14.3. More funds to invest'!G32</f>
        <v>26119997.164671049</v>
      </c>
      <c r="U49" s="211">
        <v>31</v>
      </c>
      <c r="V49" s="178">
        <v>2522994191.5377765</v>
      </c>
    </row>
    <row r="50" spans="1:22" x14ac:dyDescent="0.25">
      <c r="A50" s="198">
        <v>32</v>
      </c>
      <c r="B50" s="199">
        <v>2055</v>
      </c>
      <c r="C50" s="199" cm="1">
        <f t="array" ref="C50">_xlfn.IFS(AND(B50&gt;=2024,B50&lt;=2034),1,AND(B50&gt;=2035,B50&lt;=2044),2,AND(B50&gt;=2045,B50&lt;=2055),3,AND(B50&gt;=2056,B50&lt;=2062),4,B50&gt;=2063,5)</f>
        <v>3</v>
      </c>
      <c r="D50" s="200">
        <f t="shared" ca="1" si="1"/>
        <v>1089018064.8808141</v>
      </c>
      <c r="E50" s="201" cm="1">
        <f t="array" aca="1" ref="E50" ca="1">D50*_xlfn.IFS(C50=1,$G$3,C50=2,$H$3,C50=3,$I$3,C50=4,$J$3,C50=5,$K$3)</f>
        <v>108901806.48808141</v>
      </c>
      <c r="F50" s="202" cm="1">
        <f t="array" aca="1" ref="F50" ca="1">D50*_xlfn.IFS(C50=1,$G$4,C50=2,$H$4,C50=3,$I$4,C50=4,$J$4,C50=5,$K$4)</f>
        <v>272254516.22020352</v>
      </c>
      <c r="G50" s="203">
        <f t="shared" ca="1" si="2"/>
        <v>3.2745315588832556E-2</v>
      </c>
      <c r="H50" s="203">
        <f t="shared" ca="1" si="3"/>
        <v>1.0622343064051243</v>
      </c>
      <c r="I50" s="204" cm="1">
        <f t="array" aca="1" ref="I50" ca="1">D50*_xlfn.IFS(C50=1,$G$5,C50=2,$H$5,C50=3,$I$5,C50=4,$J$5,C50=5,$K$5)</f>
        <v>326705419.46424419</v>
      </c>
      <c r="J50" s="205">
        <f t="shared" si="4"/>
        <v>1.02318</v>
      </c>
      <c r="K50" s="206" cm="1">
        <f t="array" aca="1" ref="K50" ca="1">D50*_xlfn.IFS(C50=1,$G$6,C50=2,$H$6,C50=3,$I$6,C50=4,$J$6,C50=5,$K$6)</f>
        <v>163352709.73212218</v>
      </c>
      <c r="L50" s="207">
        <f t="shared" ca="1" si="5"/>
        <v>0.59999845037758226</v>
      </c>
      <c r="M50" s="207">
        <f t="shared" ca="1" si="6"/>
        <v>1.3119390709887901</v>
      </c>
      <c r="N50" s="208" cm="1">
        <f t="array" aca="1" ref="N50" ca="1">D50*_xlfn.IFS(C50=1,$G$7,C50=2,$H$7,C50=3,$I$7,C50=4,$J$7,C50=5,$K$7)</f>
        <v>217803612.97616282</v>
      </c>
      <c r="O50" s="209">
        <f t="shared" ca="1" si="7"/>
        <v>-0.97282936448265567</v>
      </c>
      <c r="P50" s="209">
        <f t="shared" ca="1" si="8"/>
        <v>1.0542168622870485</v>
      </c>
      <c r="Q50" s="200">
        <f t="shared" ca="1" si="9"/>
        <v>1176299388.4943123</v>
      </c>
      <c r="R50" s="200">
        <f>'14.3. More funds to invest'!G33</f>
        <v>23357400.246415064</v>
      </c>
      <c r="U50" s="211">
        <v>32</v>
      </c>
      <c r="V50" s="178">
        <v>5437664066.8182745</v>
      </c>
    </row>
    <row r="51" spans="1:22" x14ac:dyDescent="0.25">
      <c r="A51" s="198">
        <v>33</v>
      </c>
      <c r="B51" s="199">
        <v>2056</v>
      </c>
      <c r="C51" s="199" cm="1">
        <f t="array" ref="C51">_xlfn.IFS(AND(B51&gt;=2024,B51&lt;=2034),1,AND(B51&gt;=2035,B51&lt;=2044),2,AND(B51&gt;=2045,B51&lt;=2055),3,AND(B51&gt;=2056,B51&lt;=2062),4,B51&gt;=2063,5)</f>
        <v>4</v>
      </c>
      <c r="D51" s="200">
        <f t="shared" ca="1" si="1"/>
        <v>1199656788.7407274</v>
      </c>
      <c r="E51" s="201" cm="1">
        <f t="array" aca="1" ref="E51" ca="1">D51*_xlfn.IFS(C51=1,$G$3,C51=2,$H$3,C51=3,$I$3,C51=4,$J$3,C51=5,$K$3)</f>
        <v>179948518.3111091</v>
      </c>
      <c r="F51" s="202" cm="1">
        <f t="array" aca="1" ref="F51" ca="1">D51*_xlfn.IFS(C51=1,$G$4,C51=2,$H$4,C51=3,$I$4,C51=4,$J$4,C51=5,$K$4)</f>
        <v>299914197.18518186</v>
      </c>
      <c r="G51" s="203">
        <f t="shared" ca="1" si="2"/>
        <v>-0.97546859861861723</v>
      </c>
      <c r="H51" s="203">
        <f t="shared" ca="1" si="3"/>
        <v>1.0550201148914313</v>
      </c>
      <c r="I51" s="204" cm="1">
        <f t="array" aca="1" ref="I51" ca="1">D51*_xlfn.IFS(C51=1,$G$5,C51=2,$H$5,C51=3,$I$5,C51=4,$J$5,C51=5,$K$5)</f>
        <v>419879876.05925459</v>
      </c>
      <c r="J51" s="205">
        <f t="shared" si="4"/>
        <v>1.02318</v>
      </c>
      <c r="K51" s="206" cm="1">
        <f t="array" aca="1" ref="K51" ca="1">D51*_xlfn.IFS(C51=1,$G$6,C51=2,$H$6,C51=3,$I$6,C51=4,$J$6,C51=5,$K$6)</f>
        <v>119965678.87407272</v>
      </c>
      <c r="L51" s="207">
        <f t="shared" ca="1" si="5"/>
        <v>-0.88672966942153697</v>
      </c>
      <c r="M51" s="207">
        <f t="shared" ca="1" si="6"/>
        <v>0.83873394240037558</v>
      </c>
      <c r="N51" s="208" cm="1">
        <f t="array" aca="1" ref="N51" ca="1">D51*_xlfn.IFS(C51=1,$G$7,C51=2,$H$7,C51=3,$I$7,C51=4,$J$7,C51=5,$K$7)</f>
        <v>179948518.3111091</v>
      </c>
      <c r="O51" s="209">
        <f t="shared" ca="1" si="7"/>
        <v>-0.24645328802067351</v>
      </c>
      <c r="P51" s="209">
        <f t="shared" ca="1" si="8"/>
        <v>1.0680781117237499</v>
      </c>
      <c r="Q51" s="200">
        <f t="shared" ca="1" si="9"/>
        <v>1218795081.1093037</v>
      </c>
      <c r="R51" s="200">
        <f>'14.3. More funds to invest'!G34</f>
        <v>24279410.959539026</v>
      </c>
      <c r="U51" s="211">
        <v>33</v>
      </c>
      <c r="V51" s="178">
        <v>4741877981.7391796</v>
      </c>
    </row>
    <row r="52" spans="1:22" x14ac:dyDescent="0.25">
      <c r="A52" s="198">
        <v>34</v>
      </c>
      <c r="B52" s="199">
        <v>2057</v>
      </c>
      <c r="C52" s="199" cm="1">
        <f t="array" ref="C52">_xlfn.IFS(AND(B52&gt;=2024,B52&lt;=2034),1,AND(B52&gt;=2035,B52&lt;=2044),2,AND(B52&gt;=2045,B52&lt;=2055),3,AND(B52&gt;=2056,B52&lt;=2062),4,B52&gt;=2063,5)</f>
        <v>4</v>
      </c>
      <c r="D52" s="200">
        <f t="shared" ref="D52:D81" ca="1" si="10">Q51+R51</f>
        <v>1243074492.0688426</v>
      </c>
      <c r="E52" s="201" cm="1">
        <f t="array" aca="1" ref="E52" ca="1">D52*_xlfn.IFS(C52=1,$G$3,C52=2,$H$3,C52=3,$I$3,C52=4,$J$3,C52=5,$K$3)</f>
        <v>186461173.8103264</v>
      </c>
      <c r="F52" s="202" cm="1">
        <f t="array" aca="1" ref="F52" ca="1">D52*_xlfn.IFS(C52=1,$G$4,C52=2,$H$4,C52=3,$I$4,C52=4,$J$4,C52=5,$K$4)</f>
        <v>310768623.01721066</v>
      </c>
      <c r="G52" s="203">
        <f t="shared" ca="1" si="2"/>
        <v>-0.66152050076768165</v>
      </c>
      <c r="H52" s="203">
        <f t="shared" ca="1" si="3"/>
        <v>1.057266544613676</v>
      </c>
      <c r="I52" s="204" cm="1">
        <f t="array" aca="1" ref="I52" ca="1">D52*_xlfn.IFS(C52=1,$G$5,C52=2,$H$5,C52=3,$I$5,C52=4,$J$5,C52=5,$K$5)</f>
        <v>435076072.22409493</v>
      </c>
      <c r="J52" s="205">
        <f t="shared" si="4"/>
        <v>1.02318</v>
      </c>
      <c r="K52" s="206" cm="1">
        <f t="array" aca="1" ref="K52" ca="1">D52*_xlfn.IFS(C52=1,$G$6,C52=2,$H$6,C52=3,$I$6,C52=4,$J$6,C52=5,$K$6)</f>
        <v>124307449.20688424</v>
      </c>
      <c r="L52" s="207">
        <f t="shared" ca="1" si="5"/>
        <v>5.7281723244660937E-2</v>
      </c>
      <c r="M52" s="207">
        <f t="shared" ca="1" si="6"/>
        <v>1.1391997952396251</v>
      </c>
      <c r="N52" s="208" cm="1">
        <f t="array" aca="1" ref="N52" ca="1">D52*_xlfn.IFS(C52=1,$G$7,C52=2,$H$7,C52=3,$I$7,C52=4,$J$7,C52=5,$K$7)</f>
        <v>186461173.8103264</v>
      </c>
      <c r="O52" s="209">
        <f t="shared" ca="1" si="7"/>
        <v>1.0077211255823026</v>
      </c>
      <c r="P52" s="209">
        <f t="shared" ca="1" si="8"/>
        <v>1.0920112022362507</v>
      </c>
      <c r="Q52" s="200">
        <f t="shared" ca="1" si="9"/>
        <v>1305416288.8865719</v>
      </c>
      <c r="R52" s="200">
        <f>'14.3. More funds to invest'!G35</f>
        <v>28863418.762153283</v>
      </c>
      <c r="U52" s="211">
        <v>34</v>
      </c>
      <c r="V52" s="178">
        <v>4506516704.3073664</v>
      </c>
    </row>
    <row r="53" spans="1:22" x14ac:dyDescent="0.25">
      <c r="A53" s="198">
        <v>35</v>
      </c>
      <c r="B53" s="199">
        <v>2058</v>
      </c>
      <c r="C53" s="199" cm="1">
        <f t="array" ref="C53">_xlfn.IFS(AND(B53&gt;=2024,B53&lt;=2034),1,AND(B53&gt;=2035,B53&lt;=2044),2,AND(B53&gt;=2045,B53&lt;=2055),3,AND(B53&gt;=2056,B53&lt;=2062),4,B53&gt;=2063,5)</f>
        <v>4</v>
      </c>
      <c r="D53" s="200">
        <f t="shared" ca="1" si="10"/>
        <v>1334279707.6487253</v>
      </c>
      <c r="E53" s="201" cm="1">
        <f t="array" aca="1" ref="E53" ca="1">D53*_xlfn.IFS(C53=1,$G$3,C53=2,$H$3,C53=3,$I$3,C53=4,$J$3,C53=5,$K$3)</f>
        <v>200141956.1473088</v>
      </c>
      <c r="F53" s="202" cm="1">
        <f t="array" aca="1" ref="F53" ca="1">D53*_xlfn.IFS(C53=1,$G$4,C53=2,$H$4,C53=3,$I$4,C53=4,$J$4,C53=5,$K$4)</f>
        <v>333569926.91218132</v>
      </c>
      <c r="G53" s="203">
        <f t="shared" ca="1" si="2"/>
        <v>-0.90138172671829109</v>
      </c>
      <c r="H53" s="203">
        <f t="shared" ca="1" si="3"/>
        <v>1.0555502373932217</v>
      </c>
      <c r="I53" s="204" cm="1">
        <f t="array" aca="1" ref="I53" ca="1">D53*_xlfn.IFS(C53=1,$G$5,C53=2,$H$5,C53=3,$I$5,C53=4,$J$5,C53=5,$K$5)</f>
        <v>466997897.67705381</v>
      </c>
      <c r="J53" s="205">
        <f t="shared" si="4"/>
        <v>1.02318</v>
      </c>
      <c r="K53" s="206" cm="1">
        <f t="array" aca="1" ref="K53" ca="1">D53*_xlfn.IFS(C53=1,$G$6,C53=2,$H$6,C53=3,$I$6,C53=4,$J$6,C53=5,$K$6)</f>
        <v>133427970.76487249</v>
      </c>
      <c r="L53" s="207">
        <f t="shared" ca="1" si="5"/>
        <v>0.81907136527283553</v>
      </c>
      <c r="M53" s="207">
        <f t="shared" ca="1" si="6"/>
        <v>1.3816669691045895</v>
      </c>
      <c r="N53" s="208" cm="1">
        <f t="array" aca="1" ref="N53" ca="1">D53*_xlfn.IFS(C53=1,$G$7,C53=2,$H$7,C53=3,$I$7,C53=4,$J$7,C53=5,$K$7)</f>
        <v>200141956.1473088</v>
      </c>
      <c r="O53" s="209">
        <f t="shared" ca="1" si="7"/>
        <v>-0.65756438710655918</v>
      </c>
      <c r="P53" s="209">
        <f t="shared" ca="1" si="8"/>
        <v>1.0602329834557842</v>
      </c>
      <c r="Q53" s="200">
        <f t="shared" ca="1" si="9"/>
        <v>1426614803.8731244</v>
      </c>
      <c r="R53" s="200">
        <f>'14.3. More funds to invest'!G36</f>
        <v>25316803.064393163</v>
      </c>
      <c r="U53" s="211">
        <v>35</v>
      </c>
      <c r="V53" s="178">
        <v>5886565022.8576984</v>
      </c>
    </row>
    <row r="54" spans="1:22" x14ac:dyDescent="0.25">
      <c r="A54" s="198">
        <v>36</v>
      </c>
      <c r="B54" s="199">
        <v>2059</v>
      </c>
      <c r="C54" s="199" cm="1">
        <f t="array" ref="C54">_xlfn.IFS(AND(B54&gt;=2024,B54&lt;=2034),1,AND(B54&gt;=2035,B54&lt;=2044),2,AND(B54&gt;=2045,B54&lt;=2055),3,AND(B54&gt;=2056,B54&lt;=2062),4,B54&gt;=2063,5)</f>
        <v>4</v>
      </c>
      <c r="D54" s="200">
        <f t="shared" ca="1" si="10"/>
        <v>1451931606.9375176</v>
      </c>
      <c r="E54" s="201" cm="1">
        <f t="array" aca="1" ref="E54" ca="1">D54*_xlfn.IFS(C54=1,$G$3,C54=2,$H$3,C54=3,$I$3,C54=4,$J$3,C54=5,$K$3)</f>
        <v>217789741.04062763</v>
      </c>
      <c r="F54" s="202" cm="1">
        <f t="array" aca="1" ref="F54" ca="1">D54*_xlfn.IFS(C54=1,$G$4,C54=2,$H$4,C54=3,$I$4,C54=4,$J$4,C54=5,$K$4)</f>
        <v>362982901.73437941</v>
      </c>
      <c r="G54" s="203">
        <f t="shared" ca="1" si="2"/>
        <v>0.18761468439756407</v>
      </c>
      <c r="H54" s="203">
        <f t="shared" ca="1" si="3"/>
        <v>1.0633424614012483</v>
      </c>
      <c r="I54" s="204" cm="1">
        <f t="array" aca="1" ref="I54" ca="1">D54*_xlfn.IFS(C54=1,$G$5,C54=2,$H$5,C54=3,$I$5,C54=4,$J$5,C54=5,$K$5)</f>
        <v>508176062.42813116</v>
      </c>
      <c r="J54" s="205">
        <f t="shared" si="4"/>
        <v>1.02318</v>
      </c>
      <c r="K54" s="206" cm="1">
        <f t="array" aca="1" ref="K54" ca="1">D54*_xlfn.IFS(C54=1,$G$6,C54=2,$H$6,C54=3,$I$6,C54=4,$J$6,C54=5,$K$6)</f>
        <v>145193160.69375172</v>
      </c>
      <c r="L54" s="207">
        <f t="shared" ca="1" si="5"/>
        <v>7.2435898333787371E-2</v>
      </c>
      <c r="M54" s="207">
        <f t="shared" ca="1" si="6"/>
        <v>1.144023160908306</v>
      </c>
      <c r="N54" s="208" cm="1">
        <f t="array" aca="1" ref="N54" ca="1">D54*_xlfn.IFS(C54=1,$G$7,C54=2,$H$7,C54=3,$I$7,C54=4,$J$7,C54=5,$K$7)</f>
        <v>217789741.04062763</v>
      </c>
      <c r="O54" s="209">
        <f t="shared" ca="1" si="7"/>
        <v>0.72256587438663589</v>
      </c>
      <c r="P54" s="209">
        <f t="shared" ca="1" si="8"/>
        <v>1.0865696572940484</v>
      </c>
      <c r="Q54" s="200">
        <f t="shared" ca="1" si="9"/>
        <v>1526468519.6964533</v>
      </c>
      <c r="R54" s="200">
        <f>'14.3. More funds to invest'!G37</f>
        <v>26032034.83700189</v>
      </c>
      <c r="U54" s="211">
        <v>36</v>
      </c>
      <c r="V54" s="178">
        <v>6802431383.9163322</v>
      </c>
    </row>
    <row r="55" spans="1:22" x14ac:dyDescent="0.25">
      <c r="A55" s="198">
        <v>37</v>
      </c>
      <c r="B55" s="199">
        <v>2060</v>
      </c>
      <c r="C55" s="199" cm="1">
        <f t="array" ref="C55">_xlfn.IFS(AND(B55&gt;=2024,B55&lt;=2034),1,AND(B55&gt;=2035,B55&lt;=2044),2,AND(B55&gt;=2045,B55&lt;=2055),3,AND(B55&gt;=2056,B55&lt;=2062),4,B55&gt;=2063,5)</f>
        <v>4</v>
      </c>
      <c r="D55" s="200">
        <f t="shared" ca="1" si="10"/>
        <v>1552500554.5334551</v>
      </c>
      <c r="E55" s="201" cm="1">
        <f t="array" aca="1" ref="E55" ca="1">D55*_xlfn.IFS(C55=1,$G$3,C55=2,$H$3,C55=3,$I$3,C55=4,$J$3,C55=5,$K$3)</f>
        <v>232875083.18001828</v>
      </c>
      <c r="F55" s="202" cm="1">
        <f t="array" aca="1" ref="F55" ca="1">D55*_xlfn.IFS(C55=1,$G$4,C55=2,$H$4,C55=3,$I$4,C55=4,$J$4,C55=5,$K$4)</f>
        <v>388125138.63336378</v>
      </c>
      <c r="G55" s="203">
        <f t="shared" ca="1" si="2"/>
        <v>-0.97987888597353512</v>
      </c>
      <c r="H55" s="203">
        <f t="shared" ca="1" si="3"/>
        <v>1.0549885574439886</v>
      </c>
      <c r="I55" s="204" cm="1">
        <f t="array" aca="1" ref="I55" ca="1">D55*_xlfn.IFS(C55=1,$G$5,C55=2,$H$5,C55=3,$I$5,C55=4,$J$5,C55=5,$K$5)</f>
        <v>543375194.08670926</v>
      </c>
      <c r="J55" s="205">
        <f t="shared" si="4"/>
        <v>1.02318</v>
      </c>
      <c r="K55" s="206" cm="1">
        <f t="array" aca="1" ref="K55" ca="1">D55*_xlfn.IFS(C55=1,$G$6,C55=2,$H$6,C55=3,$I$6,C55=4,$J$6,C55=5,$K$6)</f>
        <v>155250055.45334548</v>
      </c>
      <c r="L55" s="207">
        <f t="shared" ca="1" si="5"/>
        <v>-0.97729786341260316</v>
      </c>
      <c r="M55" s="207">
        <f t="shared" ca="1" si="6"/>
        <v>0.80990733092190725</v>
      </c>
      <c r="N55" s="208" cm="1">
        <f t="array" aca="1" ref="N55" ca="1">D55*_xlfn.IFS(C55=1,$G$7,C55=2,$H$7,C55=3,$I$7,C55=4,$J$7,C55=5,$K$7)</f>
        <v>232875083.18001828</v>
      </c>
      <c r="O55" s="209">
        <f t="shared" ca="1" si="7"/>
        <v>-0.74725917800698882</v>
      </c>
      <c r="P55" s="209">
        <f t="shared" ca="1" si="8"/>
        <v>1.0585213606337613</v>
      </c>
      <c r="Q55" s="200">
        <f t="shared" ca="1" si="9"/>
        <v>1570554702.3233285</v>
      </c>
      <c r="R55" s="200">
        <f>'14.3. More funds to invest'!G38</f>
        <v>19504236.773472235</v>
      </c>
      <c r="U55" s="211">
        <v>37</v>
      </c>
      <c r="V55" s="178">
        <v>5992577220.1102962</v>
      </c>
    </row>
    <row r="56" spans="1:22" x14ac:dyDescent="0.25">
      <c r="A56" s="198">
        <v>38</v>
      </c>
      <c r="B56" s="199">
        <v>2061</v>
      </c>
      <c r="C56" s="199" cm="1">
        <f t="array" ref="C56">_xlfn.IFS(AND(B56&gt;=2024,B56&lt;=2034),1,AND(B56&gt;=2035,B56&lt;=2044),2,AND(B56&gt;=2045,B56&lt;=2055),3,AND(B56&gt;=2056,B56&lt;=2062),4,B56&gt;=2063,5)</f>
        <v>4</v>
      </c>
      <c r="D56" s="200">
        <f t="shared" ca="1" si="10"/>
        <v>1590058939.0968008</v>
      </c>
      <c r="E56" s="201" cm="1">
        <f t="array" aca="1" ref="E56" ca="1">D56*_xlfn.IFS(C56=1,$G$3,C56=2,$H$3,C56=3,$I$3,C56=4,$J$3,C56=5,$K$3)</f>
        <v>238508840.8645201</v>
      </c>
      <c r="F56" s="202" cm="1">
        <f t="array" aca="1" ref="F56" ca="1">D56*_xlfn.IFS(C56=1,$G$4,C56=2,$H$4,C56=3,$I$4,C56=4,$J$4,C56=5,$K$4)</f>
        <v>397514734.7742002</v>
      </c>
      <c r="G56" s="203">
        <f t="shared" ca="1" si="2"/>
        <v>-1.8798632220234732</v>
      </c>
      <c r="H56" s="203">
        <f t="shared" ca="1" si="3"/>
        <v>1.0485487937508919</v>
      </c>
      <c r="I56" s="204" cm="1">
        <f t="array" aca="1" ref="I56" ca="1">D56*_xlfn.IFS(C56=1,$G$5,C56=2,$H$5,C56=3,$I$5,C56=4,$J$5,C56=5,$K$5)</f>
        <v>556520628.68388021</v>
      </c>
      <c r="J56" s="205">
        <f t="shared" si="4"/>
        <v>1.02318</v>
      </c>
      <c r="K56" s="206" cm="1">
        <f t="array" aca="1" ref="K56" ca="1">D56*_xlfn.IFS(C56=1,$G$6,C56=2,$H$6,C56=3,$I$6,C56=4,$J$6,C56=5,$K$6)</f>
        <v>159005893.90968004</v>
      </c>
      <c r="L56" s="207">
        <f t="shared" ca="1" si="5"/>
        <v>0.97588888355989345</v>
      </c>
      <c r="M56" s="207">
        <f t="shared" ca="1" si="6"/>
        <v>1.4315798300491782</v>
      </c>
      <c r="N56" s="208" cm="1">
        <f t="array" aca="1" ref="N56" ca="1">D56*_xlfn.IFS(C56=1,$G$7,C56=2,$H$7,C56=3,$I$7,C56=4,$J$7,C56=5,$K$7)</f>
        <v>238508840.8645201</v>
      </c>
      <c r="O56" s="209">
        <f t="shared" ca="1" si="7"/>
        <v>-0.1477697473243898</v>
      </c>
      <c r="P56" s="209">
        <f t="shared" ca="1" si="8"/>
        <v>1.0699612645659398</v>
      </c>
      <c r="Q56" s="200">
        <f t="shared" ca="1" si="9"/>
        <v>1707568064.9285817</v>
      </c>
      <c r="R56" s="200">
        <f>'14.3. More funds to invest'!G39</f>
        <v>20161879.716824517</v>
      </c>
      <c r="U56" s="211">
        <v>38</v>
      </c>
      <c r="V56" s="178">
        <v>5660654379.2608261</v>
      </c>
    </row>
    <row r="57" spans="1:22" x14ac:dyDescent="0.25">
      <c r="A57" s="198">
        <v>39</v>
      </c>
      <c r="B57" s="199">
        <v>2062</v>
      </c>
      <c r="C57" s="199" cm="1">
        <f t="array" ref="C57">_xlfn.IFS(AND(B57&gt;=2024,B57&lt;=2034),1,AND(B57&gt;=2035,B57&lt;=2044),2,AND(B57&gt;=2045,B57&lt;=2055),3,AND(B57&gt;=2056,B57&lt;=2062),4,B57&gt;=2063,5)</f>
        <v>4</v>
      </c>
      <c r="D57" s="200">
        <f t="shared" ca="1" si="10"/>
        <v>1727729944.6454062</v>
      </c>
      <c r="E57" s="201" cm="1">
        <f t="array" aca="1" ref="E57" ca="1">D57*_xlfn.IFS(C57=1,$G$3,C57=2,$H$3,C57=3,$I$3,C57=4,$J$3,C57=5,$K$3)</f>
        <v>259159491.69681093</v>
      </c>
      <c r="F57" s="202" cm="1">
        <f t="array" aca="1" ref="F57" ca="1">D57*_xlfn.IFS(C57=1,$G$4,C57=2,$H$4,C57=3,$I$4,C57=4,$J$4,C57=5,$K$4)</f>
        <v>431932486.16135156</v>
      </c>
      <c r="G57" s="203">
        <f t="shared" ca="1" si="2"/>
        <v>0.90503301146860937</v>
      </c>
      <c r="H57" s="203">
        <f t="shared" ca="1" si="3"/>
        <v>1.0684758890736805</v>
      </c>
      <c r="I57" s="204" cm="1">
        <f t="array" aca="1" ref="I57" ca="1">D57*_xlfn.IFS(C57=1,$G$5,C57=2,$H$5,C57=3,$I$5,C57=4,$J$5,C57=5,$K$5)</f>
        <v>604705480.62589216</v>
      </c>
      <c r="J57" s="205">
        <f t="shared" si="4"/>
        <v>1.02318</v>
      </c>
      <c r="K57" s="206" cm="1">
        <f t="array" aca="1" ref="K57" ca="1">D57*_xlfn.IFS(C57=1,$G$6,C57=2,$H$6,C57=3,$I$6,C57=4,$J$6,C57=5,$K$6)</f>
        <v>172772994.4645406</v>
      </c>
      <c r="L57" s="207">
        <f t="shared" ca="1" si="5"/>
        <v>-0.32826755774985295</v>
      </c>
      <c r="M57" s="207">
        <f t="shared" ca="1" si="6"/>
        <v>1.0164847576611129</v>
      </c>
      <c r="N57" s="208" cm="1">
        <f t="array" aca="1" ref="N57" ca="1">D57*_xlfn.IFS(C57=1,$G$7,C57=2,$H$7,C57=3,$I$7,C57=4,$J$7,C57=5,$K$7)</f>
        <v>259159491.69681093</v>
      </c>
      <c r="O57" s="209">
        <f t="shared" ca="1" si="7"/>
        <v>0.59462783285156895</v>
      </c>
      <c r="P57" s="209">
        <f t="shared" ca="1" si="8"/>
        <v>1.0841282482724319</v>
      </c>
      <c r="Q57" s="200">
        <f t="shared" ca="1" si="9"/>
        <v>1795974733.6997774</v>
      </c>
      <c r="R57" s="200">
        <f>'14.3. More funds to invest'!G40</f>
        <v>20865124.223586813</v>
      </c>
      <c r="U57" s="211">
        <v>39</v>
      </c>
      <c r="V57" s="178">
        <v>4236229776.7519789</v>
      </c>
    </row>
    <row r="58" spans="1:22" x14ac:dyDescent="0.25">
      <c r="A58" s="198">
        <v>40</v>
      </c>
      <c r="B58" s="199">
        <v>2063</v>
      </c>
      <c r="C58" s="199" cm="1">
        <f t="array" ref="C58">_xlfn.IFS(AND(B58&gt;=2024,B58&lt;=2034),1,AND(B58&gt;=2035,B58&lt;=2044),2,AND(B58&gt;=2045,B58&lt;=2055),3,AND(B58&gt;=2056,B58&lt;=2062),4,B58&gt;=2063,5)</f>
        <v>5</v>
      </c>
      <c r="D58" s="200">
        <f t="shared" ca="1" si="10"/>
        <v>1816839857.9233642</v>
      </c>
      <c r="E58" s="201" cm="1">
        <f t="array" aca="1" ref="E58" ca="1">D58*_xlfn.IFS(C58=1,$G$3,C58=2,$H$3,C58=3,$I$3,C58=4,$J$3,C58=5,$K$3)</f>
        <v>908419928.96168208</v>
      </c>
      <c r="F58" s="202" cm="1">
        <f t="array" aca="1" ref="F58" ca="1">D58*_xlfn.IFS(C58=1,$G$4,C58=2,$H$4,C58=3,$I$4,C58=4,$J$4,C58=5,$K$4)</f>
        <v>181683985.79233643</v>
      </c>
      <c r="G58" s="203">
        <f t="shared" ca="1" si="2"/>
        <v>0.56980521836239306</v>
      </c>
      <c r="H58" s="203">
        <f t="shared" ca="1" si="3"/>
        <v>1.0660771942470157</v>
      </c>
      <c r="I58" s="204" cm="1">
        <f t="array" aca="1" ref="I58" ca="1">D58*_xlfn.IFS(C58=1,$G$5,C58=2,$H$5,C58=3,$I$5,C58=4,$J$5,C58=5,$K$5)</f>
        <v>363367971.58467287</v>
      </c>
      <c r="J58" s="205">
        <f t="shared" si="4"/>
        <v>1.02318</v>
      </c>
      <c r="K58" s="206" cm="1">
        <f t="array" aca="1" ref="K58" ca="1">D58*_xlfn.IFS(C58=1,$G$6,C58=2,$H$6,C58=3,$I$6,C58=4,$J$6,C58=5,$K$6)</f>
        <v>181683985.79233646</v>
      </c>
      <c r="L58" s="207">
        <f t="shared" ca="1" si="5"/>
        <v>1.798715983982925</v>
      </c>
      <c r="M58" s="207">
        <f t="shared" ca="1" si="6"/>
        <v>1.6934743880900407</v>
      </c>
      <c r="N58" s="208" cm="1">
        <f t="array" aca="1" ref="N58" ca="1">D58*_xlfn.IFS(C58=1,$G$7,C58=2,$H$7,C58=3,$I$7,C58=4,$J$7,C58=5,$K$7)</f>
        <v>181683985.79233643</v>
      </c>
      <c r="O58" s="209">
        <f t="shared" ca="1" si="7"/>
        <v>0.71069695503424535</v>
      </c>
      <c r="P58" s="209">
        <f t="shared" ca="1" si="8"/>
        <v>1.0863431657326952</v>
      </c>
      <c r="Q58" s="200">
        <f t="shared" ca="1" si="9"/>
        <v>1978948256.894814</v>
      </c>
      <c r="R58" s="200">
        <f>'14.3. More funds to invest'!G41</f>
        <v>21342083.911461189</v>
      </c>
      <c r="U58" s="211">
        <v>40</v>
      </c>
      <c r="V58" s="178">
        <v>4478077642.246274</v>
      </c>
    </row>
    <row r="59" spans="1:22" x14ac:dyDescent="0.25">
      <c r="A59" s="198">
        <v>41</v>
      </c>
      <c r="B59" s="199">
        <v>2064</v>
      </c>
      <c r="C59" s="199" cm="1">
        <f t="array" ref="C59">_xlfn.IFS(AND(B59&gt;=2024,B59&lt;=2034),1,AND(B59&gt;=2035,B59&lt;=2044),2,AND(B59&gt;=2045,B59&lt;=2055),3,AND(B59&gt;=2056,B59&lt;=2062),4,B59&gt;=2063,5)</f>
        <v>5</v>
      </c>
      <c r="D59" s="200">
        <f t="shared" ca="1" si="10"/>
        <v>2000290340.8062751</v>
      </c>
      <c r="E59" s="201" cm="1">
        <f t="array" aca="1" ref="E59" ca="1">D59*_xlfn.IFS(C59=1,$G$3,C59=2,$H$3,C59=3,$I$3,C59=4,$J$3,C59=5,$K$3)</f>
        <v>1000145170.4031376</v>
      </c>
      <c r="F59" s="202" cm="1">
        <f t="array" aca="1" ref="F59" ca="1">D59*_xlfn.IFS(C59=1,$G$4,C59=2,$H$4,C59=3,$I$4,C59=4,$J$4,C59=5,$K$4)</f>
        <v>200029034.08062753</v>
      </c>
      <c r="G59" s="203">
        <f t="shared" ca="1" si="2"/>
        <v>-0.10767618492222386</v>
      </c>
      <c r="H59" s="203">
        <f t="shared" ca="1" si="3"/>
        <v>1.0612295319390594</v>
      </c>
      <c r="I59" s="204" cm="1">
        <f t="array" aca="1" ref="I59" ca="1">D59*_xlfn.IFS(C59=1,$G$5,C59=2,$H$5,C59=3,$I$5,C59=4,$J$5,C59=5,$K$5)</f>
        <v>400058068.16125506</v>
      </c>
      <c r="J59" s="205">
        <f t="shared" si="4"/>
        <v>1.02318</v>
      </c>
      <c r="K59" s="206" cm="1">
        <f t="array" aca="1" ref="K59" ca="1">D59*_xlfn.IFS(C59=1,$G$6,C59=2,$H$6,C59=3,$I$6,C59=4,$J$6,C59=5,$K$6)</f>
        <v>200029034.08062759</v>
      </c>
      <c r="L59" s="207">
        <f t="shared" ca="1" si="5"/>
        <v>-0.41816128959197529</v>
      </c>
      <c r="M59" s="207">
        <f t="shared" ca="1" si="6"/>
        <v>0.98787281821559314</v>
      </c>
      <c r="N59" s="208" cm="1">
        <f t="array" aca="1" ref="N59" ca="1">D59*_xlfn.IFS(C59=1,$G$7,C59=2,$H$7,C59=3,$I$7,C59=4,$J$7,C59=5,$K$7)</f>
        <v>200029034.08062753</v>
      </c>
      <c r="O59" s="209">
        <f t="shared" ca="1" si="7"/>
        <v>0.53570805009791267</v>
      </c>
      <c r="P59" s="209">
        <f t="shared" ca="1" si="8"/>
        <v>1.0830038970830553</v>
      </c>
      <c r="Q59" s="200">
        <f t="shared" ca="1" si="9"/>
        <v>2035988771.8572285</v>
      </c>
      <c r="R59" s="200">
        <f>'14.3. More funds to invest'!G42</f>
        <v>22075767.26791963</v>
      </c>
      <c r="U59" s="211">
        <v>41</v>
      </c>
      <c r="V59" s="178">
        <v>4491691786.6146278</v>
      </c>
    </row>
    <row r="60" spans="1:22" x14ac:dyDescent="0.25">
      <c r="A60" s="198">
        <v>42</v>
      </c>
      <c r="B60" s="199">
        <v>2065</v>
      </c>
      <c r="C60" s="199" cm="1">
        <f t="array" ref="C60">_xlfn.IFS(AND(B60&gt;=2024,B60&lt;=2034),1,AND(B60&gt;=2035,B60&lt;=2044),2,AND(B60&gt;=2045,B60&lt;=2055),3,AND(B60&gt;=2056,B60&lt;=2062),4,B60&gt;=2063,5)</f>
        <v>5</v>
      </c>
      <c r="D60" s="200">
        <f t="shared" ca="1" si="10"/>
        <v>2058064539.1251481</v>
      </c>
      <c r="E60" s="201" cm="1">
        <f t="array" aca="1" ref="E60" ca="1">D60*_xlfn.IFS(C60=1,$G$3,C60=2,$H$3,C60=3,$I$3,C60=4,$J$3,C60=5,$K$3)</f>
        <v>1029032269.562574</v>
      </c>
      <c r="F60" s="202" cm="1">
        <f t="array" aca="1" ref="F60" ca="1">D60*_xlfn.IFS(C60=1,$G$4,C60=2,$H$4,C60=3,$I$4,C60=4,$J$4,C60=5,$K$4)</f>
        <v>205806453.91251481</v>
      </c>
      <c r="G60" s="203">
        <f t="shared" ca="1" si="2"/>
        <v>1.9855049919114296</v>
      </c>
      <c r="H60" s="203">
        <f t="shared" ca="1" si="3"/>
        <v>1.0762071172210532</v>
      </c>
      <c r="I60" s="204" cm="1">
        <f t="array" aca="1" ref="I60" ca="1">D60*_xlfn.IFS(C60=1,$G$5,C60=2,$H$5,C60=3,$I$5,C60=4,$J$5,C60=5,$K$5)</f>
        <v>411612907.82502961</v>
      </c>
      <c r="J60" s="205">
        <f t="shared" si="4"/>
        <v>1.02318</v>
      </c>
      <c r="K60" s="206" cm="1">
        <f t="array" aca="1" ref="K60" ca="1">D60*_xlfn.IFS(C60=1,$G$6,C60=2,$H$6,C60=3,$I$6,C60=4,$J$6,C60=5,$K$6)</f>
        <v>205806453.91251487</v>
      </c>
      <c r="L60" s="207">
        <f t="shared" ca="1" si="5"/>
        <v>0.45783512904182788</v>
      </c>
      <c r="M60" s="207">
        <f t="shared" ca="1" si="6"/>
        <v>1.2666904395427585</v>
      </c>
      <c r="N60" s="208" cm="1">
        <f t="array" aca="1" ref="N60" ca="1">D60*_xlfn.IFS(C60=1,$G$7,C60=2,$H$7,C60=3,$I$7,C60=4,$J$7,C60=5,$K$7)</f>
        <v>205806453.91251481</v>
      </c>
      <c r="O60" s="209">
        <f t="shared" ca="1" si="7"/>
        <v>-0.92366693166757941</v>
      </c>
      <c r="P60" s="209">
        <f t="shared" ca="1" si="8"/>
        <v>1.055155016455732</v>
      </c>
      <c r="Q60" s="200">
        <f t="shared" ca="1" si="9"/>
        <v>2149527514.8935981</v>
      </c>
      <c r="R60" s="200">
        <f>'14.3. More funds to invest'!G43</f>
        <v>22838797.958636418</v>
      </c>
      <c r="U60" s="211">
        <v>42</v>
      </c>
      <c r="V60" s="178">
        <v>4050601316.2127018</v>
      </c>
    </row>
    <row r="61" spans="1:22" x14ac:dyDescent="0.25">
      <c r="A61" s="198">
        <v>43</v>
      </c>
      <c r="B61" s="199">
        <v>2066</v>
      </c>
      <c r="C61" s="199" cm="1">
        <f t="array" ref="C61">_xlfn.IFS(AND(B61&gt;=2024,B61&lt;=2034),1,AND(B61&gt;=2035,B61&lt;=2044),2,AND(B61&gt;=2045,B61&lt;=2055),3,AND(B61&gt;=2056,B61&lt;=2062),4,B61&gt;=2063,5)</f>
        <v>5</v>
      </c>
      <c r="D61" s="200">
        <f t="shared" ca="1" si="10"/>
        <v>2172366312.8522344</v>
      </c>
      <c r="E61" s="201" cm="1">
        <f t="array" aca="1" ref="E61" ca="1">D61*_xlfn.IFS(C61=1,$G$3,C61=2,$H$3,C61=3,$I$3,C61=4,$J$3,C61=5,$K$3)</f>
        <v>1086183156.4261172</v>
      </c>
      <c r="F61" s="202" cm="1">
        <f t="array" aca="1" ref="F61" ca="1">D61*_xlfn.IFS(C61=1,$G$4,C61=2,$H$4,C61=3,$I$4,C61=4,$J$4,C61=5,$K$4)</f>
        <v>217236631.28522345</v>
      </c>
      <c r="G61" s="203">
        <f t="shared" ca="1" si="2"/>
        <v>-0.70097034568990668</v>
      </c>
      <c r="H61" s="203">
        <f t="shared" ca="1" si="3"/>
        <v>1.0569842645018426</v>
      </c>
      <c r="I61" s="204" cm="1">
        <f t="array" aca="1" ref="I61" ca="1">D61*_xlfn.IFS(C61=1,$G$5,C61=2,$H$5,C61=3,$I$5,C61=4,$J$5,C61=5,$K$5)</f>
        <v>434473262.57044691</v>
      </c>
      <c r="J61" s="205">
        <f t="shared" si="4"/>
        <v>1.02318</v>
      </c>
      <c r="K61" s="206" cm="1">
        <f t="array" aca="1" ref="K61" ca="1">D61*_xlfn.IFS(C61=1,$G$6,C61=2,$H$6,C61=3,$I$6,C61=4,$J$6,C61=5,$K$6)</f>
        <v>217236631.28522351</v>
      </c>
      <c r="L61" s="207">
        <f t="shared" ca="1" si="5"/>
        <v>1.1697488448892195</v>
      </c>
      <c r="M61" s="207">
        <f t="shared" ca="1" si="6"/>
        <v>1.4932827915438351</v>
      </c>
      <c r="N61" s="208" cm="1">
        <f t="array" aca="1" ref="N61" ca="1">D61*_xlfn.IFS(C61=1,$G$7,C61=2,$H$7,C61=3,$I$7,C61=4,$J$7,C61=5,$K$7)</f>
        <v>217236631.28522345</v>
      </c>
      <c r="O61" s="209">
        <f t="shared" ca="1" si="7"/>
        <v>0.80914606555105328</v>
      </c>
      <c r="P61" s="209">
        <f t="shared" ca="1" si="8"/>
        <v>1.0882218450035512</v>
      </c>
      <c r="Q61" s="200">
        <f t="shared" ca="1" si="9"/>
        <v>2321140581.0555563</v>
      </c>
      <c r="R61" s="200">
        <f>'14.3. More funds to invest'!G44</f>
        <v>23632349.876981869</v>
      </c>
      <c r="U61" s="211">
        <v>43</v>
      </c>
      <c r="V61" s="178">
        <v>5277635153.5972071</v>
      </c>
    </row>
    <row r="62" spans="1:22" x14ac:dyDescent="0.25">
      <c r="A62" s="198">
        <v>44</v>
      </c>
      <c r="B62" s="199">
        <v>2067</v>
      </c>
      <c r="C62" s="199" cm="1">
        <f t="array" ref="C62">_xlfn.IFS(AND(B62&gt;=2024,B62&lt;=2034),1,AND(B62&gt;=2035,B62&lt;=2044),2,AND(B62&gt;=2045,B62&lt;=2055),3,AND(B62&gt;=2056,B62&lt;=2062),4,B62&gt;=2063,5)</f>
        <v>5</v>
      </c>
      <c r="D62" s="200">
        <f t="shared" ca="1" si="10"/>
        <v>2344772930.932538</v>
      </c>
      <c r="E62" s="201" cm="1">
        <f t="array" aca="1" ref="E62" ca="1">D62*_xlfn.IFS(C62=1,$G$3,C62=2,$H$3,C62=3,$I$3,C62=4,$J$3,C62=5,$K$3)</f>
        <v>1172386465.466269</v>
      </c>
      <c r="F62" s="202" cm="1">
        <f t="array" aca="1" ref="F62" ca="1">D62*_xlfn.IFS(C62=1,$G$4,C62=2,$H$4,C62=3,$I$4,C62=4,$J$4,C62=5,$K$4)</f>
        <v>234477293.09325382</v>
      </c>
      <c r="G62" s="203">
        <f t="shared" ca="1" si="2"/>
        <v>0.3850598188401726</v>
      </c>
      <c r="H62" s="203">
        <f t="shared" ca="1" si="3"/>
        <v>1.0647552637770572</v>
      </c>
      <c r="I62" s="204" cm="1">
        <f t="array" aca="1" ref="I62" ca="1">D62*_xlfn.IFS(C62=1,$G$5,C62=2,$H$5,C62=3,$I$5,C62=4,$J$5,C62=5,$K$5)</f>
        <v>468954586.18650764</v>
      </c>
      <c r="J62" s="205">
        <f t="shared" si="4"/>
        <v>1.02318</v>
      </c>
      <c r="K62" s="206" cm="1">
        <f t="array" aca="1" ref="K62" ca="1">D62*_xlfn.IFS(C62=1,$G$6,C62=2,$H$6,C62=3,$I$6,C62=4,$J$6,C62=5,$K$6)</f>
        <v>234477293.09325388</v>
      </c>
      <c r="L62" s="207">
        <f t="shared" ca="1" si="5"/>
        <v>-0.67843659231216968</v>
      </c>
      <c r="M62" s="207">
        <f t="shared" ca="1" si="6"/>
        <v>0.90503076629507151</v>
      </c>
      <c r="N62" s="208" cm="1">
        <f t="array" aca="1" ref="N62" ca="1">D62*_xlfn.IFS(C62=1,$G$7,C62=2,$H$7,C62=3,$I$7,C62=4,$J$7,C62=5,$K$7)</f>
        <v>234477293.09325382</v>
      </c>
      <c r="O62" s="209">
        <f t="shared" ca="1" si="7"/>
        <v>0.51338752470135318</v>
      </c>
      <c r="P62" s="209">
        <f t="shared" ca="1" si="8"/>
        <v>1.0825779601887859</v>
      </c>
      <c r="Q62" s="200">
        <f t="shared" ca="1" si="9"/>
        <v>2367921464.932282</v>
      </c>
      <c r="R62" s="200">
        <f>'14.3. More funds to invest'!G45</f>
        <v>24457643.872061163</v>
      </c>
      <c r="U62" s="211">
        <v>44</v>
      </c>
      <c r="V62" s="178">
        <v>6661185275.2456322</v>
      </c>
    </row>
    <row r="63" spans="1:22" x14ac:dyDescent="0.25">
      <c r="A63" s="198">
        <v>45</v>
      </c>
      <c r="B63" s="199">
        <v>2068</v>
      </c>
      <c r="C63" s="199" cm="1">
        <f t="array" ref="C63">_xlfn.IFS(AND(B63&gt;=2024,B63&lt;=2034),1,AND(B63&gt;=2035,B63&lt;=2044),2,AND(B63&gt;=2045,B63&lt;=2055),3,AND(B63&gt;=2056,B63&lt;=2062),4,B63&gt;=2063,5)</f>
        <v>5</v>
      </c>
      <c r="D63" s="200">
        <f t="shared" ca="1" si="10"/>
        <v>2392379108.8043432</v>
      </c>
      <c r="E63" s="201" cm="1">
        <f t="array" aca="1" ref="E63" ca="1">D63*_xlfn.IFS(C63=1,$G$3,C63=2,$H$3,C63=3,$I$3,C63=4,$J$3,C63=5,$K$3)</f>
        <v>1196189554.4021716</v>
      </c>
      <c r="F63" s="202" cm="1">
        <f t="array" aca="1" ref="F63" ca="1">D63*_xlfn.IFS(C63=1,$G$4,C63=2,$H$4,C63=3,$I$4,C63=4,$J$4,C63=5,$K$4)</f>
        <v>239237910.88043433</v>
      </c>
      <c r="G63" s="203">
        <f t="shared" ca="1" si="2"/>
        <v>0.73421340221167408</v>
      </c>
      <c r="H63" s="203">
        <f t="shared" ca="1" si="3"/>
        <v>1.0672536034474773</v>
      </c>
      <c r="I63" s="204" cm="1">
        <f t="array" aca="1" ref="I63" ca="1">D63*_xlfn.IFS(C63=1,$G$5,C63=2,$H$5,C63=3,$I$5,C63=4,$J$5,C63=5,$K$5)</f>
        <v>478475821.76086867</v>
      </c>
      <c r="J63" s="205">
        <f t="shared" si="4"/>
        <v>1.02318</v>
      </c>
      <c r="K63" s="206" cm="1">
        <f t="array" aca="1" ref="K63" ca="1">D63*_xlfn.IFS(C63=1,$G$6,C63=2,$H$6,C63=3,$I$6,C63=4,$J$6,C63=5,$K$6)</f>
        <v>239237910.88043439</v>
      </c>
      <c r="L63" s="207">
        <f t="shared" ca="1" si="5"/>
        <v>0.8891605759081308</v>
      </c>
      <c r="M63" s="207">
        <f t="shared" ca="1" si="6"/>
        <v>1.4039754016213677</v>
      </c>
      <c r="N63" s="208" cm="1">
        <f t="array" aca="1" ref="N63" ca="1">D63*_xlfn.IFS(C63=1,$G$7,C63=2,$H$7,C63=3,$I$7,C63=4,$J$7,C63=5,$K$7)</f>
        <v>239237910.88043433</v>
      </c>
      <c r="O63" s="209">
        <f t="shared" ca="1" si="7"/>
        <v>-0.48673846329657749</v>
      </c>
      <c r="P63" s="209">
        <f t="shared" ca="1" si="8"/>
        <v>1.0634928109981758</v>
      </c>
      <c r="Q63" s="200">
        <f t="shared" ca="1" si="9"/>
        <v>2531395908.5308266</v>
      </c>
      <c r="R63" s="200">
        <f>'14.3. More funds to invest'!G46</f>
        <v>25315949.626943603</v>
      </c>
      <c r="U63" s="211">
        <v>45</v>
      </c>
      <c r="V63" s="178">
        <v>8338738158.7925158</v>
      </c>
    </row>
    <row r="64" spans="1:22" x14ac:dyDescent="0.25">
      <c r="A64" s="198">
        <v>46</v>
      </c>
      <c r="B64" s="199">
        <v>2069</v>
      </c>
      <c r="C64" s="199" cm="1">
        <f t="array" ref="C64">_xlfn.IFS(AND(B64&gt;=2024,B64&lt;=2034),1,AND(B64&gt;=2035,B64&lt;=2044),2,AND(B64&gt;=2045,B64&lt;=2055),3,AND(B64&gt;=2056,B64&lt;=2062),4,B64&gt;=2063,5)</f>
        <v>5</v>
      </c>
      <c r="D64" s="200">
        <f t="shared" ca="1" si="10"/>
        <v>2556711858.1577702</v>
      </c>
      <c r="E64" s="201" cm="1">
        <f t="array" aca="1" ref="E64" ca="1">D64*_xlfn.IFS(C64=1,$G$3,C64=2,$H$3,C64=3,$I$3,C64=4,$J$3,C64=5,$K$3)</f>
        <v>1278355929.0788851</v>
      </c>
      <c r="F64" s="202" cm="1">
        <f t="array" aca="1" ref="F64" ca="1">D64*_xlfn.IFS(C64=1,$G$4,C64=2,$H$4,C64=3,$I$4,C64=4,$J$4,C64=5,$K$4)</f>
        <v>255671185.81577703</v>
      </c>
      <c r="G64" s="203">
        <f t="shared" ca="1" si="2"/>
        <v>0.7752602320246661</v>
      </c>
      <c r="H64" s="203">
        <f t="shared" ca="1" si="3"/>
        <v>1.06754731065299</v>
      </c>
      <c r="I64" s="204" cm="1">
        <f t="array" aca="1" ref="I64" ca="1">D64*_xlfn.IFS(C64=1,$G$5,C64=2,$H$5,C64=3,$I$5,C64=4,$J$5,C64=5,$K$5)</f>
        <v>511342371.63155407</v>
      </c>
      <c r="J64" s="205">
        <f t="shared" si="4"/>
        <v>1.02318</v>
      </c>
      <c r="K64" s="206" cm="1">
        <f t="array" aca="1" ref="K64" ca="1">D64*_xlfn.IFS(C64=1,$G$6,C64=2,$H$6,C64=3,$I$6,C64=4,$J$6,C64=5,$K$6)</f>
        <v>255671185.81577709</v>
      </c>
      <c r="L64" s="207">
        <f t="shared" ca="1" si="5"/>
        <v>0.36112206081174153</v>
      </c>
      <c r="M64" s="207">
        <f t="shared" ca="1" si="6"/>
        <v>1.2359079990423516</v>
      </c>
      <c r="N64" s="208" cm="1">
        <f t="array" aca="1" ref="N64" ca="1">D64*_xlfn.IFS(C64=1,$G$7,C64=2,$H$7,C64=3,$I$7,C64=4,$J$7,C64=5,$K$7)</f>
        <v>255671185.81577703</v>
      </c>
      <c r="O64" s="209">
        <f t="shared" ca="1" si="7"/>
        <v>-0.42999151672108704</v>
      </c>
      <c r="P64" s="209">
        <f t="shared" ca="1" si="8"/>
        <v>1.0645756985088513</v>
      </c>
      <c r="Q64" s="200">
        <f t="shared" ca="1" si="9"/>
        <v>2662659698.6167316</v>
      </c>
      <c r="R64" s="200">
        <f>'14.3. More funds to invest'!G47</f>
        <v>26208587.612021357</v>
      </c>
      <c r="U64" s="211">
        <v>46</v>
      </c>
      <c r="V64" s="178">
        <v>6973811360.3432837</v>
      </c>
    </row>
    <row r="65" spans="1:22" x14ac:dyDescent="0.25">
      <c r="A65" s="198">
        <v>47</v>
      </c>
      <c r="B65" s="199">
        <v>2070</v>
      </c>
      <c r="C65" s="199" cm="1">
        <f t="array" ref="C65">_xlfn.IFS(AND(B65&gt;=2024,B65&lt;=2034),1,AND(B65&gt;=2035,B65&lt;=2044),2,AND(B65&gt;=2045,B65&lt;=2055),3,AND(B65&gt;=2056,B65&lt;=2062),4,B65&gt;=2063,5)</f>
        <v>5</v>
      </c>
      <c r="D65" s="200">
        <f t="shared" ca="1" si="10"/>
        <v>2688868286.2287531</v>
      </c>
      <c r="E65" s="201" cm="1">
        <f t="array" aca="1" ref="E65" ca="1">D65*_xlfn.IFS(C65=1,$G$3,C65=2,$H$3,C65=3,$I$3,C65=4,$J$3,C65=5,$K$3)</f>
        <v>1344434143.1143765</v>
      </c>
      <c r="F65" s="202" cm="1">
        <f t="array" aca="1" ref="F65" ca="1">D65*_xlfn.IFS(C65=1,$G$4,C65=2,$H$4,C65=3,$I$4,C65=4,$J$4,C65=5,$K$4)</f>
        <v>268886828.62287533</v>
      </c>
      <c r="G65" s="203">
        <f t="shared" ca="1" si="2"/>
        <v>-2.1015260235399289</v>
      </c>
      <c r="H65" s="203">
        <f t="shared" ca="1" si="3"/>
        <v>1.0469627038556157</v>
      </c>
      <c r="I65" s="204" cm="1">
        <f t="array" aca="1" ref="I65" ca="1">D65*_xlfn.IFS(C65=1,$G$5,C65=2,$H$5,C65=3,$I$5,C65=4,$J$5,C65=5,$K$5)</f>
        <v>537773657.24575067</v>
      </c>
      <c r="J65" s="205">
        <f t="shared" si="4"/>
        <v>1.02318</v>
      </c>
      <c r="K65" s="206" cm="1">
        <f t="array" aca="1" ref="K65" ca="1">D65*_xlfn.IFS(C65=1,$G$6,C65=2,$H$6,C65=3,$I$6,C65=4,$J$6,C65=5,$K$6)</f>
        <v>268886828.62287539</v>
      </c>
      <c r="L65" s="207">
        <f t="shared" ca="1" si="5"/>
        <v>1.9457472546461572</v>
      </c>
      <c r="M65" s="207">
        <f t="shared" ca="1" si="6"/>
        <v>1.7402724209073077</v>
      </c>
      <c r="N65" s="208" cm="1">
        <f t="array" aca="1" ref="N65" ca="1">D65*_xlfn.IFS(C65=1,$G$7,C65=2,$H$7,C65=3,$I$7,C65=4,$J$7,C65=5,$K$7)</f>
        <v>268886828.62287533</v>
      </c>
      <c r="O65" s="209">
        <f t="shared" ca="1" si="7"/>
        <v>1.1186371903849943</v>
      </c>
      <c r="P65" s="209">
        <f t="shared" ca="1" si="8"/>
        <v>1.0941277852165934</v>
      </c>
      <c r="Q65" s="200">
        <f t="shared" ca="1" si="9"/>
        <v>2938320757.333931</v>
      </c>
      <c r="R65" s="200">
        <f>'14.3. More funds to invest'!G48</f>
        <v>27136931.116502196</v>
      </c>
      <c r="U65" s="211">
        <v>47</v>
      </c>
      <c r="V65" s="178">
        <v>12213607384.173229</v>
      </c>
    </row>
    <row r="66" spans="1:22" x14ac:dyDescent="0.25">
      <c r="A66" s="198">
        <v>48</v>
      </c>
      <c r="B66" s="199">
        <v>2071</v>
      </c>
      <c r="C66" s="199" cm="1">
        <f t="array" ref="C66">_xlfn.IFS(AND(B66&gt;=2024,B66&lt;=2034),1,AND(B66&gt;=2035,B66&lt;=2044),2,AND(B66&gt;=2045,B66&lt;=2055),3,AND(B66&gt;=2056,B66&lt;=2062),4,B66&gt;=2063,5)</f>
        <v>5</v>
      </c>
      <c r="D66" s="200">
        <f t="shared" ca="1" si="10"/>
        <v>2965457688.4504333</v>
      </c>
      <c r="E66" s="201" cm="1">
        <f t="array" aca="1" ref="E66" ca="1">D66*_xlfn.IFS(C66=1,$G$3,C66=2,$H$3,C66=3,$I$3,C66=4,$J$3,C66=5,$K$3)</f>
        <v>1482728844.2252166</v>
      </c>
      <c r="F66" s="202" cm="1">
        <f t="array" aca="1" ref="F66" ca="1">D66*_xlfn.IFS(C66=1,$G$4,C66=2,$H$4,C66=3,$I$4,C66=4,$J$4,C66=5,$K$4)</f>
        <v>296545768.84504336</v>
      </c>
      <c r="G66" s="203">
        <f t="shared" ca="1" si="2"/>
        <v>-0.15450199444290902</v>
      </c>
      <c r="H66" s="203">
        <f t="shared" ca="1" si="3"/>
        <v>1.0608944737208523</v>
      </c>
      <c r="I66" s="204" cm="1">
        <f t="array" aca="1" ref="I66" ca="1">D66*_xlfn.IFS(C66=1,$G$5,C66=2,$H$5,C66=3,$I$5,C66=4,$J$5,C66=5,$K$5)</f>
        <v>593091537.69008672</v>
      </c>
      <c r="J66" s="205">
        <f t="shared" si="4"/>
        <v>1.02318</v>
      </c>
      <c r="K66" s="206" cm="1">
        <f t="array" aca="1" ref="K66" ca="1">D66*_xlfn.IFS(C66=1,$G$6,C66=2,$H$6,C66=3,$I$6,C66=4,$J$6,C66=5,$K$6)</f>
        <v>296545768.84504342</v>
      </c>
      <c r="L66" s="207">
        <f t="shared" ca="1" si="5"/>
        <v>1.6053990645834872</v>
      </c>
      <c r="M66" s="207">
        <f t="shared" ca="1" si="6"/>
        <v>1.6319442693787007</v>
      </c>
      <c r="N66" s="208" cm="1">
        <f t="array" aca="1" ref="N66" ca="1">D66*_xlfn.IFS(C66=1,$G$7,C66=2,$H$7,C66=3,$I$7,C66=4,$J$7,C66=5,$K$7)</f>
        <v>296545768.84504336</v>
      </c>
      <c r="O66" s="209">
        <f t="shared" ca="1" si="7"/>
        <v>-0.83086988594010469</v>
      </c>
      <c r="P66" s="209">
        <f t="shared" ca="1" si="8"/>
        <v>1.0569258388155249</v>
      </c>
      <c r="Q66" s="200">
        <f t="shared" ca="1" si="9"/>
        <v>3201545064.6908793</v>
      </c>
      <c r="R66" s="200">
        <f>'14.3. More funds to invest'!G49</f>
        <v>28102408.36116229</v>
      </c>
      <c r="U66" s="211">
        <v>48</v>
      </c>
      <c r="V66" s="178">
        <v>6387580401.4724045</v>
      </c>
    </row>
    <row r="67" spans="1:22" x14ac:dyDescent="0.25">
      <c r="A67" s="198">
        <v>49</v>
      </c>
      <c r="B67" s="199">
        <v>2072</v>
      </c>
      <c r="C67" s="199" cm="1">
        <f t="array" ref="C67">_xlfn.IFS(AND(B67&gt;=2024,B67&lt;=2034),1,AND(B67&gt;=2035,B67&lt;=2044),2,AND(B67&gt;=2045,B67&lt;=2055),3,AND(B67&gt;=2056,B67&lt;=2062),4,B67&gt;=2063,5)</f>
        <v>5</v>
      </c>
      <c r="D67" s="200">
        <f t="shared" ca="1" si="10"/>
        <v>3229647473.0520415</v>
      </c>
      <c r="E67" s="201" cm="1">
        <f t="array" aca="1" ref="E67" ca="1">D67*_xlfn.IFS(C67=1,$G$3,C67=2,$H$3,C67=3,$I$3,C67=4,$J$3,C67=5,$K$3)</f>
        <v>1614823736.5260208</v>
      </c>
      <c r="F67" s="202" cm="1">
        <f t="array" aca="1" ref="F67" ca="1">D67*_xlfn.IFS(C67=1,$G$4,C67=2,$H$4,C67=3,$I$4,C67=4,$J$4,C67=5,$K$4)</f>
        <v>322964747.30520415</v>
      </c>
      <c r="G67" s="203">
        <f t="shared" ca="1" si="2"/>
        <v>-1.7153934687777941</v>
      </c>
      <c r="H67" s="203">
        <f t="shared" ca="1" si="3"/>
        <v>1.0497256435060918</v>
      </c>
      <c r="I67" s="204" cm="1">
        <f t="array" aca="1" ref="I67" ca="1">D67*_xlfn.IFS(C67=1,$G$5,C67=2,$H$5,C67=3,$I$5,C67=4,$J$5,C67=5,$K$5)</f>
        <v>645929494.61040831</v>
      </c>
      <c r="J67" s="205">
        <f t="shared" si="4"/>
        <v>1.02318</v>
      </c>
      <c r="K67" s="206" cm="1">
        <f t="array" aca="1" ref="K67" ca="1">D67*_xlfn.IFS(C67=1,$G$6,C67=2,$H$6,C67=3,$I$6,C67=4,$J$6,C67=5,$K$6)</f>
        <v>322964747.30520427</v>
      </c>
      <c r="L67" s="207">
        <f t="shared" ca="1" si="5"/>
        <v>1.75271673660501</v>
      </c>
      <c r="M67" s="207">
        <f t="shared" ca="1" si="6"/>
        <v>1.6788334598123287</v>
      </c>
      <c r="N67" s="208" cm="1">
        <f t="array" aca="1" ref="N67" ca="1">D67*_xlfn.IFS(C67=1,$G$7,C67=2,$H$7,C67=3,$I$7,C67=4,$J$7,C67=5,$K$7)</f>
        <v>322964747.30520415</v>
      </c>
      <c r="O67" s="209">
        <f t="shared" ca="1" si="7"/>
        <v>0.83652360145268334</v>
      </c>
      <c r="P67" s="209">
        <f t="shared" ca="1" si="8"/>
        <v>1.0887442835397199</v>
      </c>
      <c r="Q67" s="200">
        <f t="shared" ca="1" si="9"/>
        <v>3508580300.5454373</v>
      </c>
      <c r="R67" s="200">
        <f>'14.3. More funds to invest'!G50</f>
        <v>29106504.695608795</v>
      </c>
      <c r="U67" s="211">
        <v>49</v>
      </c>
      <c r="V67" s="178">
        <v>4640021830.9398241</v>
      </c>
    </row>
    <row r="68" spans="1:22" x14ac:dyDescent="0.25">
      <c r="A68" s="198">
        <v>50</v>
      </c>
      <c r="B68" s="199">
        <v>2073</v>
      </c>
      <c r="C68" s="199" cm="1">
        <f t="array" ref="C68">_xlfn.IFS(AND(B68&gt;=2024,B68&lt;=2034),1,AND(B68&gt;=2035,B68&lt;=2044),2,AND(B68&gt;=2045,B68&lt;=2055),3,AND(B68&gt;=2056,B68&lt;=2062),4,B68&gt;=2063,5)</f>
        <v>5</v>
      </c>
      <c r="D68" s="200">
        <f t="shared" ca="1" si="10"/>
        <v>3537686805.241046</v>
      </c>
      <c r="E68" s="201" cm="1">
        <f t="array" aca="1" ref="E68" ca="1">D68*_xlfn.IFS(C68=1,$G$3,C68=2,$H$3,C68=3,$I$3,C68=4,$J$3,C68=5,$K$3)</f>
        <v>1768843402.620523</v>
      </c>
      <c r="F68" s="202" cm="1">
        <f t="array" aca="1" ref="F68" ca="1">D68*_xlfn.IFS(C68=1,$G$4,C68=2,$H$4,C68=3,$I$4,C68=4,$J$4,C68=5,$K$4)</f>
        <v>353768680.5241046</v>
      </c>
      <c r="G68" s="203">
        <f t="shared" ca="1" si="2"/>
        <v>-0.96773700292827403</v>
      </c>
      <c r="H68" s="203">
        <f t="shared" ca="1" si="3"/>
        <v>1.0550754376867535</v>
      </c>
      <c r="I68" s="204" cm="1">
        <f t="array" aca="1" ref="I68" ca="1">D68*_xlfn.IFS(C68=1,$G$5,C68=2,$H$5,C68=3,$I$5,C68=4,$J$5,C68=5,$K$5)</f>
        <v>707537361.04820919</v>
      </c>
      <c r="J68" s="205">
        <f t="shared" si="4"/>
        <v>1.02318</v>
      </c>
      <c r="K68" s="206" cm="1">
        <f t="array" aca="1" ref="K68" ca="1">D68*_xlfn.IFS(C68=1,$G$6,C68=2,$H$6,C68=3,$I$6,C68=4,$J$6,C68=5,$K$6)</f>
        <v>353768680.52410471</v>
      </c>
      <c r="L68" s="207">
        <f t="shared" ca="1" si="5"/>
        <v>-0.80496273539493013</v>
      </c>
      <c r="M68" s="207">
        <f t="shared" ca="1" si="6"/>
        <v>0.86475923378691966</v>
      </c>
      <c r="N68" s="208" cm="1">
        <f t="array" aca="1" ref="N68" ca="1">D68*_xlfn.IFS(C68=1,$G$7,C68=2,$H$7,C68=3,$I$7,C68=4,$J$7,C68=5,$K$7)</f>
        <v>353768680.5241046</v>
      </c>
      <c r="O68" s="209">
        <f t="shared" ca="1" si="7"/>
        <v>-1.1229109437565039</v>
      </c>
      <c r="P68" s="209">
        <f t="shared" ca="1" si="8"/>
        <v>1.0513528937815029</v>
      </c>
      <c r="Q68" s="200">
        <f t="shared" ca="1" si="9"/>
        <v>3543894584.2477803</v>
      </c>
      <c r="R68" s="200">
        <f>'14.3. More funds to invest'!G51</f>
        <v>30150764.883433133</v>
      </c>
      <c r="U68" s="211">
        <v>50</v>
      </c>
      <c r="V68" s="178">
        <v>5252827159.1668768</v>
      </c>
    </row>
    <row r="69" spans="1:22" x14ac:dyDescent="0.25">
      <c r="A69" s="198">
        <v>51</v>
      </c>
      <c r="B69" s="199">
        <v>2074</v>
      </c>
      <c r="C69" s="199" cm="1">
        <f t="array" ref="C69">_xlfn.IFS(AND(B69&gt;=2024,B69&lt;=2034),1,AND(B69&gt;=2035,B69&lt;=2044),2,AND(B69&gt;=2045,B69&lt;=2055),3,AND(B69&gt;=2056,B69&lt;=2062),4,B69&gt;=2063,5)</f>
        <v>5</v>
      </c>
      <c r="D69" s="200">
        <f t="shared" ca="1" si="10"/>
        <v>3574045349.1312137</v>
      </c>
      <c r="E69" s="201" cm="1">
        <f t="array" aca="1" ref="E69" ca="1">D69*_xlfn.IFS(C69=1,$G$3,C69=2,$H$3,C69=3,$I$3,C69=4,$J$3,C69=5,$K$3)</f>
        <v>1787022674.5656068</v>
      </c>
      <c r="F69" s="202" cm="1">
        <f t="array" aca="1" ref="F69" ca="1">D69*_xlfn.IFS(C69=1,$G$4,C69=2,$H$4,C69=3,$I$4,C69=4,$J$4,C69=5,$K$4)</f>
        <v>357404534.9131214</v>
      </c>
      <c r="G69" s="203">
        <f t="shared" ca="1" si="2"/>
        <v>-0.84493599608442793</v>
      </c>
      <c r="H69" s="203">
        <f t="shared" ca="1" si="3"/>
        <v>1.05595413016358</v>
      </c>
      <c r="I69" s="204" cm="1">
        <f t="array" aca="1" ref="I69" ca="1">D69*_xlfn.IFS(C69=1,$G$5,C69=2,$H$5,C69=3,$I$5,C69=4,$J$5,C69=5,$K$5)</f>
        <v>714809069.8262428</v>
      </c>
      <c r="J69" s="205">
        <f t="shared" si="4"/>
        <v>1.02318</v>
      </c>
      <c r="K69" s="206" cm="1">
        <f t="array" aca="1" ref="K69" ca="1">D69*_xlfn.IFS(C69=1,$G$6,C69=2,$H$6,C69=3,$I$6,C69=4,$J$6,C69=5,$K$6)</f>
        <v>357404534.91312146</v>
      </c>
      <c r="L69" s="207">
        <f t="shared" ca="1" si="5"/>
        <v>-0.13092990613833605</v>
      </c>
      <c r="M69" s="207">
        <f t="shared" ca="1" si="6"/>
        <v>1.0792946201790701</v>
      </c>
      <c r="N69" s="208" cm="1">
        <f t="array" aca="1" ref="N69" ca="1">D69*_xlfn.IFS(C69=1,$G$7,C69=2,$H$7,C69=3,$I$7,C69=4,$J$7,C69=5,$K$7)</f>
        <v>357404534.9131214</v>
      </c>
      <c r="O69" s="209">
        <f t="shared" ca="1" si="7"/>
        <v>0.33127427732611581</v>
      </c>
      <c r="P69" s="209">
        <f t="shared" ca="1" si="8"/>
        <v>1.0791027395291362</v>
      </c>
      <c r="Q69" s="200">
        <f t="shared" ca="1" si="9"/>
        <v>3667224817.9153461</v>
      </c>
      <c r="R69" s="200">
        <f>'14.3. More funds to invest'!G52</f>
        <v>31236795.478770465</v>
      </c>
      <c r="U69" s="211">
        <v>51</v>
      </c>
      <c r="V69" s="178">
        <v>6358704707.7806101</v>
      </c>
    </row>
    <row r="70" spans="1:22" x14ac:dyDescent="0.25">
      <c r="A70" s="198">
        <v>52</v>
      </c>
      <c r="B70" s="199">
        <v>2075</v>
      </c>
      <c r="C70" s="199" cm="1">
        <f t="array" ref="C70">_xlfn.IFS(AND(B70&gt;=2024,B70&lt;=2034),1,AND(B70&gt;=2035,B70&lt;=2044),2,AND(B70&gt;=2045,B70&lt;=2055),3,AND(B70&gt;=2056,B70&lt;=2062),4,B70&gt;=2063,5)</f>
        <v>5</v>
      </c>
      <c r="D70" s="200">
        <f t="shared" ca="1" si="10"/>
        <v>3698461613.3941164</v>
      </c>
      <c r="E70" s="201" cm="1">
        <f t="array" aca="1" ref="E70" ca="1">D70*_xlfn.IFS(C70=1,$G$3,C70=2,$H$3,C70=3,$I$3,C70=4,$J$3,C70=5,$K$3)</f>
        <v>1849230806.6970582</v>
      </c>
      <c r="F70" s="202" cm="1">
        <f t="array" aca="1" ref="F70" ca="1">D70*_xlfn.IFS(C70=1,$G$4,C70=2,$H$4,C70=3,$I$4,C70=4,$J$4,C70=5,$K$4)</f>
        <v>369846161.33941168</v>
      </c>
      <c r="G70" s="203">
        <f t="shared" ca="1" si="2"/>
        <v>4.9993401328243406E-3</v>
      </c>
      <c r="H70" s="203">
        <f t="shared" ca="1" si="3"/>
        <v>1.0620357723660148</v>
      </c>
      <c r="I70" s="204" cm="1">
        <f t="array" aca="1" ref="I70" ca="1">D70*_xlfn.IFS(C70=1,$G$5,C70=2,$H$5,C70=3,$I$5,C70=4,$J$5,C70=5,$K$5)</f>
        <v>739692322.67882335</v>
      </c>
      <c r="J70" s="205">
        <f t="shared" si="4"/>
        <v>1.02318</v>
      </c>
      <c r="K70" s="206" cm="1">
        <f t="array" aca="1" ref="K70" ca="1">D70*_xlfn.IFS(C70=1,$G$6,C70=2,$H$6,C70=3,$I$6,C70=4,$J$6,C70=5,$K$6)</f>
        <v>369846161.33941174</v>
      </c>
      <c r="L70" s="207">
        <f t="shared" ca="1" si="5"/>
        <v>-0.11768566607503797</v>
      </c>
      <c r="M70" s="207">
        <f t="shared" ca="1" si="6"/>
        <v>1.08351007977706</v>
      </c>
      <c r="N70" s="208" cm="1">
        <f t="array" aca="1" ref="N70" ca="1">D70*_xlfn.IFS(C70=1,$G$7,C70=2,$H$7,C70=3,$I$7,C70=4,$J$7,C70=5,$K$7)</f>
        <v>369846161.33941168</v>
      </c>
      <c r="O70" s="209">
        <f t="shared" ca="1" si="7"/>
        <v>1.47957810535011</v>
      </c>
      <c r="P70" s="209">
        <f t="shared" ca="1" si="8"/>
        <v>1.1010155286546919</v>
      </c>
      <c r="Q70" s="200">
        <f t="shared" ca="1" si="9"/>
        <v>3806797461.6564112</v>
      </c>
      <c r="R70" s="200">
        <f>'14.3. More funds to invest'!G53</f>
        <v>32366267.29792127</v>
      </c>
      <c r="U70" s="211">
        <v>52</v>
      </c>
      <c r="V70" s="178">
        <v>6213250779.383358</v>
      </c>
    </row>
    <row r="71" spans="1:22" x14ac:dyDescent="0.25">
      <c r="A71" s="198">
        <v>53</v>
      </c>
      <c r="B71" s="199">
        <v>2076</v>
      </c>
      <c r="C71" s="199" cm="1">
        <f t="array" ref="C71">_xlfn.IFS(AND(B71&gt;=2024,B71&lt;=2034),1,AND(B71&gt;=2035,B71&lt;=2044),2,AND(B71&gt;=2045,B71&lt;=2055),3,AND(B71&gt;=2056,B71&lt;=2062),4,B71&gt;=2063,5)</f>
        <v>5</v>
      </c>
      <c r="D71" s="200">
        <f t="shared" ca="1" si="10"/>
        <v>3839163728.9543324</v>
      </c>
      <c r="E71" s="201" cm="1">
        <f t="array" aca="1" ref="E71" ca="1">D71*_xlfn.IFS(C71=1,$G$3,C71=2,$H$3,C71=3,$I$3,C71=4,$J$3,C71=5,$K$3)</f>
        <v>1919581864.4771662</v>
      </c>
      <c r="F71" s="202" cm="1">
        <f t="array" aca="1" ref="F71" ca="1">D71*_xlfn.IFS(C71=1,$G$4,C71=2,$H$4,C71=3,$I$4,C71=4,$J$4,C71=5,$K$4)</f>
        <v>383916372.89543325</v>
      </c>
      <c r="G71" s="203">
        <f t="shared" ca="1" si="2"/>
        <v>0.25170480230585018</v>
      </c>
      <c r="H71" s="203">
        <f t="shared" ca="1" si="3"/>
        <v>1.0638010529543009</v>
      </c>
      <c r="I71" s="204" cm="1">
        <f t="array" aca="1" ref="I71" ca="1">D71*_xlfn.IFS(C71=1,$G$5,C71=2,$H$5,C71=3,$I$5,C71=4,$J$5,C71=5,$K$5)</f>
        <v>767832745.79086649</v>
      </c>
      <c r="J71" s="205">
        <f t="shared" si="4"/>
        <v>1.02318</v>
      </c>
      <c r="K71" s="206" cm="1">
        <f t="array" aca="1" ref="K71" ca="1">D71*_xlfn.IFS(C71=1,$G$6,C71=2,$H$6,C71=3,$I$6,C71=4,$J$6,C71=5,$K$6)</f>
        <v>383916372.89543337</v>
      </c>
      <c r="L71" s="207">
        <f t="shared" ca="1" si="5"/>
        <v>-0.52402074551500322</v>
      </c>
      <c r="M71" s="207">
        <f t="shared" ca="1" si="6"/>
        <v>0.95417920821033919</v>
      </c>
      <c r="N71" s="208" cm="1">
        <f t="array" aca="1" ref="N71" ca="1">D71*_xlfn.IFS(C71=1,$G$7,C71=2,$H$7,C71=3,$I$7,C71=4,$J$7,C71=5,$K$7)</f>
        <v>383916372.89543325</v>
      </c>
      <c r="O71" s="209">
        <f t="shared" ca="1" si="7"/>
        <v>2.3197878384559889</v>
      </c>
      <c r="P71" s="209">
        <f t="shared" ca="1" si="8"/>
        <v>1.1170490367328376</v>
      </c>
      <c r="Q71" s="200">
        <f t="shared" ca="1" si="9"/>
        <v>3908802050.285181</v>
      </c>
      <c r="R71" s="200">
        <f>'14.3. More funds to invest'!G54</f>
        <v>33540917.989838138</v>
      </c>
      <c r="U71" s="211">
        <v>53</v>
      </c>
      <c r="V71" s="178">
        <v>7258199733.5239372</v>
      </c>
    </row>
    <row r="72" spans="1:22" x14ac:dyDescent="0.25">
      <c r="A72" s="198">
        <v>54</v>
      </c>
      <c r="B72" s="199">
        <v>2077</v>
      </c>
      <c r="C72" s="199" cm="1">
        <f t="array" ref="C72">_xlfn.IFS(AND(B72&gt;=2024,B72&lt;=2034),1,AND(B72&gt;=2035,B72&lt;=2044),2,AND(B72&gt;=2045,B72&lt;=2055),3,AND(B72&gt;=2056,B72&lt;=2062),4,B72&gt;=2063,5)</f>
        <v>5</v>
      </c>
      <c r="D72" s="200">
        <f t="shared" ca="1" si="10"/>
        <v>3942342968.2750192</v>
      </c>
      <c r="E72" s="201" cm="1">
        <f t="array" aca="1" ref="E72" ca="1">D72*_xlfn.IFS(C72=1,$G$3,C72=2,$H$3,C72=3,$I$3,C72=4,$J$3,C72=5,$K$3)</f>
        <v>1971171484.1375096</v>
      </c>
      <c r="F72" s="202" cm="1">
        <f t="array" aca="1" ref="F72" ca="1">D72*_xlfn.IFS(C72=1,$G$4,C72=2,$H$4,C72=3,$I$4,C72=4,$J$4,C72=5,$K$4)</f>
        <v>394234296.82750195</v>
      </c>
      <c r="G72" s="203">
        <f t="shared" ca="1" si="2"/>
        <v>0.24334482736983928</v>
      </c>
      <c r="H72" s="203">
        <f t="shared" ca="1" si="3"/>
        <v>1.06374123384311</v>
      </c>
      <c r="I72" s="204" cm="1">
        <f t="array" aca="1" ref="I72" ca="1">D72*_xlfn.IFS(C72=1,$G$5,C72=2,$H$5,C72=3,$I$5,C72=4,$J$5,C72=5,$K$5)</f>
        <v>788468593.65500391</v>
      </c>
      <c r="J72" s="205">
        <f t="shared" si="4"/>
        <v>1.02318</v>
      </c>
      <c r="K72" s="206" cm="1">
        <f t="array" aca="1" ref="K72" ca="1">D72*_xlfn.IFS(C72=1,$G$6,C72=2,$H$6,C72=3,$I$6,C72=4,$J$6,C72=5,$K$6)</f>
        <v>394234296.82750207</v>
      </c>
      <c r="L72" s="207">
        <f t="shared" ca="1" si="5"/>
        <v>-0.93421584748800801</v>
      </c>
      <c r="M72" s="207">
        <f t="shared" ca="1" si="6"/>
        <v>0.82361974451922371</v>
      </c>
      <c r="N72" s="208" cm="1">
        <f t="array" aca="1" ref="N72" ca="1">D72*_xlfn.IFS(C72=1,$G$7,C72=2,$H$7,C72=3,$I$7,C72=4,$J$7,C72=5,$K$7)</f>
        <v>394234296.82750195</v>
      </c>
      <c r="O72" s="209">
        <f t="shared" ca="1" si="7"/>
        <v>-1.8109757903116661</v>
      </c>
      <c r="P72" s="209">
        <f t="shared" ca="1" si="8"/>
        <v>1.0382227277755109</v>
      </c>
      <c r="Q72" s="200">
        <f t="shared" ca="1" si="9"/>
        <v>3931282214.9926867</v>
      </c>
      <c r="R72" s="200">
        <f>'14.3. More funds to invest'!G55</f>
        <v>34762554.709431678</v>
      </c>
      <c r="U72" s="211">
        <v>54</v>
      </c>
      <c r="V72" s="178">
        <v>7291886160.6302042</v>
      </c>
    </row>
    <row r="73" spans="1:22" x14ac:dyDescent="0.25">
      <c r="A73" s="198">
        <v>55</v>
      </c>
      <c r="B73" s="199">
        <v>2078</v>
      </c>
      <c r="C73" s="199" cm="1">
        <f t="array" ref="C73">_xlfn.IFS(AND(B73&gt;=2024,B73&lt;=2034),1,AND(B73&gt;=2035,B73&lt;=2044),2,AND(B73&gt;=2045,B73&lt;=2055),3,AND(B73&gt;=2056,B73&lt;=2062),4,B73&gt;=2063,5)</f>
        <v>5</v>
      </c>
      <c r="D73" s="200">
        <f t="shared" ca="1" si="10"/>
        <v>3966044769.7021184</v>
      </c>
      <c r="E73" s="201" cm="1">
        <f t="array" aca="1" ref="E73" ca="1">D73*_xlfn.IFS(C73=1,$G$3,C73=2,$H$3,C73=3,$I$3,C73=4,$J$3,C73=5,$K$3)</f>
        <v>1983022384.8510592</v>
      </c>
      <c r="F73" s="202" cm="1">
        <f t="array" aca="1" ref="F73" ca="1">D73*_xlfn.IFS(C73=1,$G$4,C73=2,$H$4,C73=3,$I$4,C73=4,$J$4,C73=5,$K$4)</f>
        <v>396604476.97021186</v>
      </c>
      <c r="G73" s="203">
        <f t="shared" ca="1" si="2"/>
        <v>-1.2002302528934619</v>
      </c>
      <c r="H73" s="203">
        <f t="shared" ca="1" si="3"/>
        <v>1.0534118514108111</v>
      </c>
      <c r="I73" s="204" cm="1">
        <f t="array" aca="1" ref="I73" ca="1">D73*_xlfn.IFS(C73=1,$G$5,C73=2,$H$5,C73=3,$I$5,C73=4,$J$5,C73=5,$K$5)</f>
        <v>793208953.94042373</v>
      </c>
      <c r="J73" s="205">
        <f t="shared" si="4"/>
        <v>1.02318</v>
      </c>
      <c r="K73" s="206" cm="1">
        <f t="array" aca="1" ref="K73" ca="1">D73*_xlfn.IFS(C73=1,$G$6,C73=2,$H$6,C73=3,$I$6,C73=4,$J$6,C73=5,$K$6)</f>
        <v>396604476.97021198</v>
      </c>
      <c r="L73" s="207">
        <f t="shared" ca="1" si="5"/>
        <v>-1.2658683045015449</v>
      </c>
      <c r="M73" s="207">
        <f t="shared" ca="1" si="6"/>
        <v>0.71805932531563765</v>
      </c>
      <c r="N73" s="208" cm="1">
        <f t="array" aca="1" ref="N73" ca="1">D73*_xlfn.IFS(C73=1,$G$7,C73=2,$H$7,C73=3,$I$7,C73=4,$J$7,C73=5,$K$7)</f>
        <v>396604476.97021186</v>
      </c>
      <c r="O73" s="209">
        <f t="shared" ca="1" si="7"/>
        <v>-1.8721242988459179</v>
      </c>
      <c r="P73" s="209">
        <f t="shared" ca="1" si="8"/>
        <v>1.0370558463804023</v>
      </c>
      <c r="Q73" s="200">
        <f t="shared" ca="1" si="9"/>
        <v>3908492313.3998203</v>
      </c>
      <c r="R73" s="200">
        <f>'14.3. More funds to invest'!G56</f>
        <v>36033056.897808939</v>
      </c>
      <c r="U73" s="211">
        <v>55</v>
      </c>
      <c r="V73" s="178">
        <v>7081390964.6790638</v>
      </c>
    </row>
    <row r="74" spans="1:22" x14ac:dyDescent="0.25">
      <c r="A74" s="198">
        <v>56</v>
      </c>
      <c r="B74" s="199">
        <v>2079</v>
      </c>
      <c r="C74" s="199" cm="1">
        <f t="array" ref="C74">_xlfn.IFS(AND(B74&gt;=2024,B74&lt;=2034),1,AND(B74&gt;=2035,B74&lt;=2044),2,AND(B74&gt;=2045,B74&lt;=2055),3,AND(B74&gt;=2056,B74&lt;=2062),4,B74&gt;=2063,5)</f>
        <v>5</v>
      </c>
      <c r="D74" s="200">
        <f t="shared" ca="1" si="10"/>
        <v>3944525370.2976294</v>
      </c>
      <c r="E74" s="201" cm="1">
        <f t="array" aca="1" ref="E74" ca="1">D74*_xlfn.IFS(C74=1,$G$3,C74=2,$H$3,C74=3,$I$3,C74=4,$J$3,C74=5,$K$3)</f>
        <v>1972262685.1488147</v>
      </c>
      <c r="F74" s="202" cm="1">
        <f t="array" aca="1" ref="F74" ca="1">D74*_xlfn.IFS(C74=1,$G$4,C74=2,$H$4,C74=3,$I$4,C74=4,$J$4,C74=5,$K$4)</f>
        <v>394452537.02976298</v>
      </c>
      <c r="G74" s="203">
        <f t="shared" ca="1" si="2"/>
        <v>0.24659820538746594</v>
      </c>
      <c r="H74" s="203">
        <f t="shared" ca="1" si="3"/>
        <v>1.0637645131212026</v>
      </c>
      <c r="I74" s="204" cm="1">
        <f t="array" aca="1" ref="I74" ca="1">D74*_xlfn.IFS(C74=1,$G$5,C74=2,$H$5,C74=3,$I$5,C74=4,$J$5,C74=5,$K$5)</f>
        <v>788905074.05952597</v>
      </c>
      <c r="J74" s="205">
        <f t="shared" si="4"/>
        <v>1.02318</v>
      </c>
      <c r="K74" s="206" cm="1">
        <f t="array" aca="1" ref="K74" ca="1">D74*_xlfn.IFS(C74=1,$G$6,C74=2,$H$6,C74=3,$I$6,C74=4,$J$6,C74=5,$K$6)</f>
        <v>394452537.02976304</v>
      </c>
      <c r="L74" s="207">
        <f t="shared" ca="1" si="5"/>
        <v>-0.27989737134713077</v>
      </c>
      <c r="M74" s="207">
        <f t="shared" ca="1" si="6"/>
        <v>1.0318803232468627</v>
      </c>
      <c r="N74" s="208" cm="1">
        <f t="array" aca="1" ref="N74" ca="1">D74*_xlfn.IFS(C74=1,$G$7,C74=2,$H$7,C74=3,$I$7,C74=4,$J$7,C74=5,$K$7)</f>
        <v>394452537.02976298</v>
      </c>
      <c r="O74" s="209">
        <f t="shared" ca="1" si="7"/>
        <v>-0.56700206995587044</v>
      </c>
      <c r="P74" s="209">
        <f t="shared" ca="1" si="8"/>
        <v>1.0619611610600159</v>
      </c>
      <c r="Q74" s="200">
        <f t="shared" ca="1" si="9"/>
        <v>4024980275.450942</v>
      </c>
      <c r="R74" s="200">
        <f>'14.3. More funds to invest'!G57</f>
        <v>37354379.173721284</v>
      </c>
      <c r="U74" s="211">
        <v>56</v>
      </c>
      <c r="V74" s="178">
        <v>4590688127.2239599</v>
      </c>
    </row>
    <row r="75" spans="1:22" x14ac:dyDescent="0.25">
      <c r="A75" s="198">
        <v>57</v>
      </c>
      <c r="B75" s="199">
        <v>2080</v>
      </c>
      <c r="C75" s="199" cm="1">
        <f t="array" ref="C75">_xlfn.IFS(AND(B75&gt;=2024,B75&lt;=2034),1,AND(B75&gt;=2035,B75&lt;=2044),2,AND(B75&gt;=2045,B75&lt;=2055),3,AND(B75&gt;=2056,B75&lt;=2062),4,B75&gt;=2063,5)</f>
        <v>5</v>
      </c>
      <c r="D75" s="200">
        <f t="shared" ca="1" si="10"/>
        <v>4062334654.6246634</v>
      </c>
      <c r="E75" s="201" cm="1">
        <f t="array" aca="1" ref="E75" ca="1">D75*_xlfn.IFS(C75=1,$G$3,C75=2,$H$3,C75=3,$I$3,C75=4,$J$3,C75=5,$K$3)</f>
        <v>2031167327.3123317</v>
      </c>
      <c r="F75" s="202" cm="1">
        <f t="array" aca="1" ref="F75" ca="1">D75*_xlfn.IFS(C75=1,$G$4,C75=2,$H$4,C75=3,$I$4,C75=4,$J$4,C75=5,$K$4)</f>
        <v>406233465.46246636</v>
      </c>
      <c r="G75" s="203">
        <f t="shared" ca="1" si="2"/>
        <v>-0.10342333466154761</v>
      </c>
      <c r="H75" s="203">
        <f t="shared" ca="1" si="3"/>
        <v>1.0612599628583586</v>
      </c>
      <c r="I75" s="204" cm="1">
        <f t="array" aca="1" ref="I75" ca="1">D75*_xlfn.IFS(C75=1,$G$5,C75=2,$H$5,C75=3,$I$5,C75=4,$J$5,C75=5,$K$5)</f>
        <v>812466930.92493272</v>
      </c>
      <c r="J75" s="205">
        <f t="shared" si="4"/>
        <v>1.02318</v>
      </c>
      <c r="K75" s="206" cm="1">
        <f t="array" aca="1" ref="K75" ca="1">D75*_xlfn.IFS(C75=1,$G$6,C75=2,$H$6,C75=3,$I$6,C75=4,$J$6,C75=5,$K$6)</f>
        <v>406233465.46246648</v>
      </c>
      <c r="L75" s="207">
        <f t="shared" ca="1" si="5"/>
        <v>-1.7649419565437583</v>
      </c>
      <c r="M75" s="207">
        <f t="shared" ca="1" si="6"/>
        <v>0.55921104058578752</v>
      </c>
      <c r="N75" s="208" cm="1">
        <f t="array" aca="1" ref="N75" ca="1">D75*_xlfn.IFS(C75=1,$G$7,C75=2,$H$7,C75=3,$I$7,C75=4,$J$7,C75=5,$K$7)</f>
        <v>406233465.46246636</v>
      </c>
      <c r="O75" s="209">
        <f t="shared" ca="1" si="7"/>
        <v>7.1827782425910675E-2</v>
      </c>
      <c r="P75" s="209">
        <f t="shared" ca="1" si="8"/>
        <v>1.0741517882274274</v>
      </c>
      <c r="Q75" s="200">
        <f t="shared" ca="1" si="9"/>
        <v>3957113196.470993</v>
      </c>
      <c r="R75" s="200">
        <f>'14.3. More funds to invest'!G58</f>
        <v>38728554.340670139</v>
      </c>
      <c r="U75" s="211">
        <v>57</v>
      </c>
      <c r="V75" s="178">
        <v>4619606975.9197578</v>
      </c>
    </row>
    <row r="76" spans="1:22" x14ac:dyDescent="0.25">
      <c r="A76" s="198">
        <v>58</v>
      </c>
      <c r="B76" s="199">
        <v>2081</v>
      </c>
      <c r="C76" s="199" cm="1">
        <f t="array" ref="C76">_xlfn.IFS(AND(B76&gt;=2024,B76&lt;=2034),1,AND(B76&gt;=2035,B76&lt;=2044),2,AND(B76&gt;=2045,B76&lt;=2055),3,AND(B76&gt;=2056,B76&lt;=2062),4,B76&gt;=2063,5)</f>
        <v>5</v>
      </c>
      <c r="D76" s="200">
        <f t="shared" ca="1" si="10"/>
        <v>3995841750.8116632</v>
      </c>
      <c r="E76" s="201" cm="1">
        <f t="array" aca="1" ref="E76" ca="1">D76*_xlfn.IFS(C76=1,$G$3,C76=2,$H$3,C76=3,$I$3,C76=4,$J$3,C76=5,$K$3)</f>
        <v>1997920875.4058316</v>
      </c>
      <c r="F76" s="202" cm="1">
        <f t="array" aca="1" ref="F76" ca="1">D76*_xlfn.IFS(C76=1,$G$4,C76=2,$H$4,C76=3,$I$4,C76=4,$J$4,C76=5,$K$4)</f>
        <v>399584175.08116633</v>
      </c>
      <c r="G76" s="203">
        <f t="shared" ca="1" si="2"/>
        <v>-1.2651014810497592</v>
      </c>
      <c r="H76" s="203">
        <f t="shared" ca="1" si="3"/>
        <v>1.0529476706877987</v>
      </c>
      <c r="I76" s="204" cm="1">
        <f t="array" aca="1" ref="I76" ca="1">D76*_xlfn.IFS(C76=1,$G$5,C76=2,$H$5,C76=3,$I$5,C76=4,$J$5,C76=5,$K$5)</f>
        <v>799168350.16233265</v>
      </c>
      <c r="J76" s="205">
        <f t="shared" si="4"/>
        <v>1.02318</v>
      </c>
      <c r="K76" s="206" cm="1">
        <f t="array" aca="1" ref="K76" ca="1">D76*_xlfn.IFS(C76=1,$G$6,C76=2,$H$6,C76=3,$I$6,C76=4,$J$6,C76=5,$K$6)</f>
        <v>399584175.08116645</v>
      </c>
      <c r="L76" s="207">
        <f t="shared" ca="1" si="5"/>
        <v>0.73864660053271458</v>
      </c>
      <c r="M76" s="207">
        <f t="shared" ca="1" si="6"/>
        <v>1.3560688717566467</v>
      </c>
      <c r="N76" s="208" cm="1">
        <f t="array" aca="1" ref="N76" ca="1">D76*_xlfn.IFS(C76=1,$G$7,C76=2,$H$7,C76=3,$I$7,C76=4,$J$7,C76=5,$K$7)</f>
        <v>399584175.08116633</v>
      </c>
      <c r="O76" s="209">
        <f t="shared" ca="1" si="7"/>
        <v>1.0952410939657022</v>
      </c>
      <c r="P76" s="209">
        <f t="shared" ca="1" si="8"/>
        <v>1.0936813234747742</v>
      </c>
      <c r="Q76" s="200">
        <f t="shared" ca="1" si="9"/>
        <v>4215236585.2368202</v>
      </c>
      <c r="R76" s="200">
        <f>'14.3. More funds to invest'!G59</f>
        <v>40157696.514296949</v>
      </c>
      <c r="U76" s="211">
        <v>58</v>
      </c>
      <c r="V76" s="178">
        <v>2939922471.5880413</v>
      </c>
    </row>
    <row r="77" spans="1:22" x14ac:dyDescent="0.25">
      <c r="A77" s="198">
        <v>59</v>
      </c>
      <c r="B77" s="199">
        <v>2082</v>
      </c>
      <c r="C77" s="199" cm="1">
        <f t="array" ref="C77">_xlfn.IFS(AND(B77&gt;=2024,B77&lt;=2034),1,AND(B77&gt;=2035,B77&lt;=2044),2,AND(B77&gt;=2045,B77&lt;=2055),3,AND(B77&gt;=2056,B77&lt;=2062),4,B77&gt;=2063,5)</f>
        <v>5</v>
      </c>
      <c r="D77" s="200">
        <f t="shared" ca="1" si="10"/>
        <v>4255394281.7511172</v>
      </c>
      <c r="E77" s="201" cm="1">
        <f t="array" aca="1" ref="E77" ca="1">D77*_xlfn.IFS(C77=1,$G$3,C77=2,$H$3,C77=3,$I$3,C77=4,$J$3,C77=5,$K$3)</f>
        <v>2127697140.8755586</v>
      </c>
      <c r="F77" s="202" cm="1">
        <f t="array" aca="1" ref="F77" ca="1">D77*_xlfn.IFS(C77=1,$G$4,C77=2,$H$4,C77=3,$I$4,C77=4,$J$4,C77=5,$K$4)</f>
        <v>425539428.17511177</v>
      </c>
      <c r="G77" s="203">
        <f t="shared" ca="1" si="2"/>
        <v>-1.4688929474321277</v>
      </c>
      <c r="H77" s="203">
        <f t="shared" ca="1" si="3"/>
        <v>1.0514894576571896</v>
      </c>
      <c r="I77" s="204" cm="1">
        <f t="array" aca="1" ref="I77" ca="1">D77*_xlfn.IFS(C77=1,$G$5,C77=2,$H$5,C77=3,$I$5,C77=4,$J$5,C77=5,$K$5)</f>
        <v>851078856.35022354</v>
      </c>
      <c r="J77" s="205">
        <f t="shared" si="4"/>
        <v>1.02318</v>
      </c>
      <c r="K77" s="206" cm="1">
        <f t="array" aca="1" ref="K77" ca="1">D77*_xlfn.IFS(C77=1,$G$6,C77=2,$H$6,C77=3,$I$6,C77=4,$J$6,C77=5,$K$6)</f>
        <v>425539428.17511189</v>
      </c>
      <c r="L77" s="207">
        <f t="shared" ca="1" si="5"/>
        <v>0.29844194392727746</v>
      </c>
      <c r="M77" s="207">
        <f t="shared" ca="1" si="6"/>
        <v>1.2159577792440894</v>
      </c>
      <c r="N77" s="208" cm="1">
        <f t="array" aca="1" ref="N77" ca="1">D77*_xlfn.IFS(C77=1,$G$7,C77=2,$H$7,C77=3,$I$7,C77=4,$J$7,C77=5,$K$7)</f>
        <v>425539428.17511177</v>
      </c>
      <c r="O77" s="209">
        <f t="shared" ca="1" si="7"/>
        <v>0.43590181692272717</v>
      </c>
      <c r="P77" s="209">
        <f t="shared" ca="1" si="8"/>
        <v>1.0810993201865844</v>
      </c>
      <c r="Q77" s="200">
        <f t="shared" ca="1" si="9"/>
        <v>4423442592.2368889</v>
      </c>
      <c r="R77" s="200">
        <f>'14.3. More funds to invest'!G60</f>
        <v>41644004.37486884</v>
      </c>
      <c r="U77" s="211">
        <v>59</v>
      </c>
      <c r="V77" s="178">
        <v>6854184037.3843069</v>
      </c>
    </row>
    <row r="78" spans="1:22" x14ac:dyDescent="0.25">
      <c r="A78" s="198">
        <v>60</v>
      </c>
      <c r="B78" s="199">
        <v>2083</v>
      </c>
      <c r="C78" s="199" cm="1">
        <f t="array" ref="C78">_xlfn.IFS(AND(B78&gt;=2024,B78&lt;=2034),1,AND(B78&gt;=2035,B78&lt;=2044),2,AND(B78&gt;=2045,B78&lt;=2055),3,AND(B78&gt;=2056,B78&lt;=2062),4,B78&gt;=2063,5)</f>
        <v>5</v>
      </c>
      <c r="D78" s="200">
        <f t="shared" ca="1" si="10"/>
        <v>4465086596.6117573</v>
      </c>
      <c r="E78" s="201" cm="1">
        <f t="array" aca="1" ref="E78" ca="1">D78*_xlfn.IFS(C78=1,$G$3,C78=2,$H$3,C78=3,$I$3,C78=4,$J$3,C78=5,$K$3)</f>
        <v>2232543298.3058786</v>
      </c>
      <c r="F78" s="202" cm="1">
        <f t="array" aca="1" ref="F78" ca="1">D78*_xlfn.IFS(C78=1,$G$4,C78=2,$H$4,C78=3,$I$4,C78=4,$J$4,C78=5,$K$4)</f>
        <v>446508659.66117573</v>
      </c>
      <c r="G78" s="203">
        <f t="shared" ca="1" si="2"/>
        <v>-0.72199087630138969</v>
      </c>
      <c r="H78" s="203">
        <f t="shared" ca="1" si="3"/>
        <v>1.0568338538286575</v>
      </c>
      <c r="I78" s="204" cm="1">
        <f t="array" aca="1" ref="I78" ca="1">D78*_xlfn.IFS(C78=1,$G$5,C78=2,$H$5,C78=3,$I$5,C78=4,$J$5,C78=5,$K$5)</f>
        <v>893017319.32235146</v>
      </c>
      <c r="J78" s="205">
        <f t="shared" si="4"/>
        <v>1.02318</v>
      </c>
      <c r="K78" s="206" cm="1">
        <f t="array" aca="1" ref="K78" ca="1">D78*_xlfn.IFS(C78=1,$G$6,C78=2,$H$6,C78=3,$I$6,C78=4,$J$6,C78=5,$K$6)</f>
        <v>446508659.66117585</v>
      </c>
      <c r="L78" s="207">
        <f t="shared" ca="1" si="5"/>
        <v>0.24192956426315634</v>
      </c>
      <c r="M78" s="207">
        <f t="shared" ca="1" si="6"/>
        <v>1.1979706654405171</v>
      </c>
      <c r="N78" s="208" cm="1">
        <f t="array" aca="1" ref="N78" ca="1">D78*_xlfn.IFS(C78=1,$G$7,C78=2,$H$7,C78=3,$I$7,C78=4,$J$7,C78=5,$K$7)</f>
        <v>446508659.66117573</v>
      </c>
      <c r="O78" s="209">
        <f t="shared" ca="1" si="7"/>
        <v>1.3665662133408076</v>
      </c>
      <c r="P78" s="209">
        <f t="shared" ca="1" si="8"/>
        <v>1.0988589515382143</v>
      </c>
      <c r="Q78" s="200">
        <f t="shared" ca="1" si="9"/>
        <v>4643700540.3949757</v>
      </c>
      <c r="R78" s="200">
        <f>'14.3. More funds to invest'!G61</f>
        <v>43189764.549863577</v>
      </c>
      <c r="U78" s="211">
        <v>60</v>
      </c>
      <c r="V78" s="178">
        <v>4991388452.3238287</v>
      </c>
    </row>
    <row r="79" spans="1:22" x14ac:dyDescent="0.25">
      <c r="A79" s="198">
        <v>61</v>
      </c>
      <c r="B79" s="199">
        <v>2084</v>
      </c>
      <c r="C79" s="199" cm="1">
        <f t="array" ref="C79">_xlfn.IFS(AND(B79&gt;=2024,B79&lt;=2034),1,AND(B79&gt;=2035,B79&lt;=2044),2,AND(B79&gt;=2045,B79&lt;=2055),3,AND(B79&gt;=2056,B79&lt;=2062),4,B79&gt;=2063,5)</f>
        <v>5</v>
      </c>
      <c r="D79" s="200">
        <f t="shared" ca="1" si="10"/>
        <v>4686890304.9448395</v>
      </c>
      <c r="E79" s="201" cm="1">
        <f t="array" aca="1" ref="E79" ca="1">D79*_xlfn.IFS(C79=1,$G$3,C79=2,$H$3,C79=3,$I$3,C79=4,$J$3,C79=5,$K$3)</f>
        <v>2343445152.4724197</v>
      </c>
      <c r="F79" s="202" cm="1">
        <f t="array" aca="1" ref="F79" ca="1">D79*_xlfn.IFS(C79=1,$G$4,C79=2,$H$4,C79=3,$I$4,C79=4,$J$4,C79=5,$K$4)</f>
        <v>468689030.49448395</v>
      </c>
      <c r="G79" s="203">
        <f t="shared" ca="1" si="2"/>
        <v>0.68687301802529632</v>
      </c>
      <c r="H79" s="203">
        <f t="shared" ca="1" si="3"/>
        <v>1.0669148632326879</v>
      </c>
      <c r="I79" s="204" cm="1">
        <f t="array" aca="1" ref="I79" ca="1">D79*_xlfn.IFS(C79=1,$G$5,C79=2,$H$5,C79=3,$I$5,C79=4,$J$5,C79=5,$K$5)</f>
        <v>937378060.9889679</v>
      </c>
      <c r="J79" s="205">
        <f t="shared" si="4"/>
        <v>1.02318</v>
      </c>
      <c r="K79" s="206" cm="1">
        <f t="array" aca="1" ref="K79" ca="1">D79*_xlfn.IFS(C79=1,$G$6,C79=2,$H$6,C79=3,$I$6,C79=4,$J$6,C79=5,$K$6)</f>
        <v>468689030.49448413</v>
      </c>
      <c r="L79" s="207">
        <f t="shared" ca="1" si="5"/>
        <v>-0.18796264585426983</v>
      </c>
      <c r="M79" s="207">
        <f t="shared" ca="1" si="6"/>
        <v>1.0611418829222579</v>
      </c>
      <c r="N79" s="208" cm="1">
        <f t="array" aca="1" ref="N79" ca="1">D79*_xlfn.IFS(C79=1,$G$7,C79=2,$H$7,C79=3,$I$7,C79=4,$J$7,C79=5,$K$7)</f>
        <v>468689030.49448395</v>
      </c>
      <c r="O79" s="209">
        <f t="shared" ca="1" si="7"/>
        <v>-1.1266079925713381</v>
      </c>
      <c r="P79" s="209">
        <f t="shared" ca="1" si="8"/>
        <v>1.0512823439417398</v>
      </c>
      <c r="Q79" s="200">
        <f t="shared" ca="1" si="9"/>
        <v>4792672992.6657419</v>
      </c>
      <c r="R79" s="200">
        <f>'14.3. More funds to invest'!G62</f>
        <v>44797355.13185814</v>
      </c>
      <c r="U79" s="211">
        <v>61</v>
      </c>
      <c r="V79" s="178">
        <v>7074167757.7451239</v>
      </c>
    </row>
    <row r="80" spans="1:22" x14ac:dyDescent="0.25">
      <c r="A80" s="198">
        <v>62</v>
      </c>
      <c r="B80" s="199">
        <v>2085</v>
      </c>
      <c r="C80" s="199" cm="1">
        <f t="array" ref="C80">_xlfn.IFS(AND(B80&gt;=2024,B80&lt;=2034),1,AND(B80&gt;=2035,B80&lt;=2044),2,AND(B80&gt;=2045,B80&lt;=2055),3,AND(B80&gt;=2056,B80&lt;=2062),4,B80&gt;=2063,5)</f>
        <v>5</v>
      </c>
      <c r="D80" s="200">
        <f t="shared" ca="1" si="10"/>
        <v>4837470347.7975998</v>
      </c>
      <c r="E80" s="201" cm="1">
        <f t="array" aca="1" ref="E80" ca="1">D80*_xlfn.IFS(C80=1,$G$3,C80=2,$H$3,C80=3,$I$3,C80=4,$J$3,C80=5,$K$3)</f>
        <v>2418735173.8987999</v>
      </c>
      <c r="F80" s="202" cm="1">
        <f t="array" aca="1" ref="F80" ca="1">D80*_xlfn.IFS(C80=1,$G$4,C80=2,$H$4,C80=3,$I$4,C80=4,$J$4,C80=5,$K$4)</f>
        <v>483747034.77976</v>
      </c>
      <c r="G80" s="203">
        <f t="shared" ca="1" si="2"/>
        <v>0.96663347632429553</v>
      </c>
      <c r="H80" s="203">
        <f t="shared" ca="1" si="3"/>
        <v>1.0689166661196419</v>
      </c>
      <c r="I80" s="204" cm="1">
        <f t="array" aca="1" ref="I80" ca="1">D80*_xlfn.IFS(C80=1,$G$5,C80=2,$H$5,C80=3,$I$5,C80=4,$J$5,C80=5,$K$5)</f>
        <v>967494069.55952001</v>
      </c>
      <c r="J80" s="205">
        <f t="shared" si="4"/>
        <v>1.02318</v>
      </c>
      <c r="K80" s="206" cm="1">
        <f t="array" aca="1" ref="K80" ca="1">D80*_xlfn.IFS(C80=1,$G$6,C80=2,$H$6,C80=3,$I$6,C80=4,$J$6,C80=5,$K$6)</f>
        <v>483747034.77976012</v>
      </c>
      <c r="L80" s="207">
        <f t="shared" ca="1" si="5"/>
        <v>-1.4735718718628499</v>
      </c>
      <c r="M80" s="207">
        <f t="shared" ca="1" si="6"/>
        <v>0.65195013427218118</v>
      </c>
      <c r="N80" s="208" cm="1">
        <f t="array" aca="1" ref="N80" ca="1">D80*_xlfn.IFS(C80=1,$G$7,C80=2,$H$7,C80=3,$I$7,C80=4,$J$7,C80=5,$K$7)</f>
        <v>483747034.77976</v>
      </c>
      <c r="O80" s="209">
        <f t="shared" ca="1" si="7"/>
        <v>1.387511260474144</v>
      </c>
      <c r="P80" s="209">
        <f t="shared" ca="1" si="8"/>
        <v>1.0992586405315425</v>
      </c>
      <c r="Q80" s="200">
        <f t="shared" ca="1" si="9"/>
        <v>4772883075.7443514</v>
      </c>
      <c r="R80" s="200">
        <f>'14.3. More funds to invest'!G63</f>
        <v>46469249.337132454</v>
      </c>
      <c r="U80" s="211">
        <v>62</v>
      </c>
      <c r="V80" s="178">
        <v>3939397873.2760282</v>
      </c>
    </row>
    <row r="81" spans="1:22" x14ac:dyDescent="0.25">
      <c r="A81" s="217">
        <v>63</v>
      </c>
      <c r="B81" s="218">
        <v>2086</v>
      </c>
      <c r="C81" s="218" cm="1">
        <f t="array" ref="C81">_xlfn.IFS(AND(B81&gt;=2024,B81&lt;=2034),1,AND(B81&gt;=2035,B81&lt;=2044),2,AND(B81&gt;=2045,B81&lt;=2055),3,AND(B81&gt;=2056,B81&lt;=2062),4,B81&gt;=2063,5)</f>
        <v>5</v>
      </c>
      <c r="D81" s="219">
        <f t="shared" ca="1" si="10"/>
        <v>4819352325.0814838</v>
      </c>
      <c r="E81" s="220" cm="1">
        <f t="array" aca="1" ref="E81" ca="1">D81*_xlfn.IFS(C81=1,$G$3,C81=2,$H$3,C81=3,$I$3,C81=4,$J$3,C81=5,$K$3)</f>
        <v>2409676162.5407419</v>
      </c>
      <c r="F81" s="221" cm="1">
        <f t="array" aca="1" ref="F81" ca="1">D81*_xlfn.IFS(C81=1,$G$4,C81=2,$H$4,C81=3,$I$4,C81=4,$J$4,C81=5,$K$4)</f>
        <v>481935232.50814843</v>
      </c>
      <c r="G81" s="222">
        <f t="shared" ca="1" si="2"/>
        <v>2.62900312717947E-2</v>
      </c>
      <c r="H81" s="222">
        <f t="shared" ca="1" si="3"/>
        <v>1.0621881161505737</v>
      </c>
      <c r="I81" s="223" cm="1">
        <f t="array" aca="1" ref="I81" ca="1">D81*_xlfn.IFS(C81=1,$G$5,C81=2,$H$5,C81=3,$I$5,C81=4,$J$5,C81=5,$K$5)</f>
        <v>963870465.01629686</v>
      </c>
      <c r="J81" s="224">
        <f t="shared" si="4"/>
        <v>1.02318</v>
      </c>
      <c r="K81" s="225" cm="1">
        <f t="array" aca="1" ref="K81" ca="1">D81*_xlfn.IFS(C81=1,$G$6,C81=2,$H$6,C81=3,$I$6,C81=4,$J$6,C81=5,$K$6)</f>
        <v>481935232.50814855</v>
      </c>
      <c r="L81" s="226">
        <f t="shared" ca="1" si="5"/>
        <v>-2.0067499719227642</v>
      </c>
      <c r="M81" s="226">
        <f t="shared" ca="1" si="6"/>
        <v>0.48224687243203501</v>
      </c>
      <c r="N81" s="227" cm="1">
        <f t="array" aca="1" ref="N81" ca="1">D81*_xlfn.IFS(C81=1,$G$7,C81=2,$H$7,C81=3,$I$7,C81=4,$J$7,C81=5,$K$7)</f>
        <v>481935232.50814843</v>
      </c>
      <c r="O81" s="228">
        <f t="shared" ca="1" si="7"/>
        <v>0.52208412909004154</v>
      </c>
      <c r="P81" s="228">
        <f t="shared" ca="1" si="8"/>
        <v>1.0827439152726468</v>
      </c>
      <c r="Q81" s="219">
        <f t="shared" ca="1" si="9"/>
        <v>4662019220.8061018</v>
      </c>
      <c r="R81" s="219">
        <f>'14.3. More funds to invest'!G64</f>
        <v>48208019.310617775</v>
      </c>
      <c r="U81" s="211">
        <v>63</v>
      </c>
      <c r="V81" s="178">
        <v>5421403009.6904535</v>
      </c>
    </row>
    <row r="82" spans="1:22" x14ac:dyDescent="0.25">
      <c r="U82" s="211">
        <v>64</v>
      </c>
      <c r="V82" s="178">
        <v>5329466086.6953821</v>
      </c>
    </row>
    <row r="83" spans="1:22" x14ac:dyDescent="0.25">
      <c r="U83" s="211">
        <v>65</v>
      </c>
      <c r="V83" s="178">
        <v>12542138611.173235</v>
      </c>
    </row>
    <row r="84" spans="1:22" x14ac:dyDescent="0.25">
      <c r="U84" s="211">
        <v>66</v>
      </c>
      <c r="V84" s="178">
        <v>8929854807.1417561</v>
      </c>
    </row>
    <row r="85" spans="1:22" x14ac:dyDescent="0.25">
      <c r="U85" s="211">
        <v>67</v>
      </c>
      <c r="V85" s="178">
        <v>5218646280.4624348</v>
      </c>
    </row>
    <row r="86" spans="1:22" x14ac:dyDescent="0.25">
      <c r="U86" s="211">
        <v>68</v>
      </c>
      <c r="V86" s="178">
        <v>5811006594.4560318</v>
      </c>
    </row>
    <row r="87" spans="1:22" x14ac:dyDescent="0.25">
      <c r="U87" s="211">
        <v>69</v>
      </c>
      <c r="V87" s="178">
        <v>5823880705.8392973</v>
      </c>
    </row>
    <row r="88" spans="1:22" x14ac:dyDescent="0.25">
      <c r="U88" s="211">
        <v>70</v>
      </c>
      <c r="V88" s="178">
        <v>4934189772.0871048</v>
      </c>
    </row>
    <row r="89" spans="1:22" x14ac:dyDescent="0.25">
      <c r="U89" s="211">
        <v>71</v>
      </c>
      <c r="V89" s="178">
        <v>4892774015.6205521</v>
      </c>
    </row>
    <row r="90" spans="1:22" x14ac:dyDescent="0.25">
      <c r="U90" s="211">
        <v>72</v>
      </c>
      <c r="V90" s="178">
        <v>4837599325.8375092</v>
      </c>
    </row>
    <row r="91" spans="1:22" x14ac:dyDescent="0.25">
      <c r="U91" s="211">
        <v>73</v>
      </c>
      <c r="V91" s="178">
        <v>5357881704.3264217</v>
      </c>
    </row>
    <row r="92" spans="1:22" x14ac:dyDescent="0.25">
      <c r="U92" s="211">
        <v>74</v>
      </c>
      <c r="V92" s="178">
        <v>3931131187.3739829</v>
      </c>
    </row>
    <row r="93" spans="1:22" x14ac:dyDescent="0.25">
      <c r="U93" s="211">
        <v>75</v>
      </c>
      <c r="V93" s="178">
        <v>6072607155.6809969</v>
      </c>
    </row>
    <row r="94" spans="1:22" x14ac:dyDescent="0.25">
      <c r="U94" s="211">
        <v>76</v>
      </c>
      <c r="V94" s="178">
        <v>6060126613.4466009</v>
      </c>
    </row>
    <row r="95" spans="1:22" x14ac:dyDescent="0.25">
      <c r="U95" s="211">
        <v>77</v>
      </c>
      <c r="V95" s="178">
        <v>6102863755.7042465</v>
      </c>
    </row>
    <row r="96" spans="1:22" x14ac:dyDescent="0.25">
      <c r="U96" s="211">
        <v>78</v>
      </c>
      <c r="V96" s="178">
        <v>4004890221.8753829</v>
      </c>
    </row>
    <row r="97" spans="21:22" x14ac:dyDescent="0.25">
      <c r="U97" s="211">
        <v>79</v>
      </c>
      <c r="V97" s="178">
        <v>5575504791.5905104</v>
      </c>
    </row>
    <row r="98" spans="21:22" x14ac:dyDescent="0.25">
      <c r="U98" s="211">
        <v>80</v>
      </c>
      <c r="V98" s="178">
        <v>6434924362.3358793</v>
      </c>
    </row>
    <row r="99" spans="21:22" x14ac:dyDescent="0.25">
      <c r="U99" s="211">
        <v>81</v>
      </c>
      <c r="V99" s="178">
        <v>4827860324.5916405</v>
      </c>
    </row>
    <row r="100" spans="21:22" x14ac:dyDescent="0.25">
      <c r="U100" s="211">
        <v>82</v>
      </c>
      <c r="V100" s="178">
        <v>6503325002.3555489</v>
      </c>
    </row>
    <row r="101" spans="21:22" x14ac:dyDescent="0.25">
      <c r="U101" s="211">
        <v>83</v>
      </c>
      <c r="V101" s="178">
        <v>6995014313.1684065</v>
      </c>
    </row>
    <row r="102" spans="21:22" x14ac:dyDescent="0.25">
      <c r="U102" s="211">
        <v>84</v>
      </c>
      <c r="V102" s="178">
        <v>6966368412.0458508</v>
      </c>
    </row>
    <row r="103" spans="21:22" x14ac:dyDescent="0.25">
      <c r="U103" s="211">
        <v>85</v>
      </c>
      <c r="V103" s="178">
        <v>4094627736.3833675</v>
      </c>
    </row>
    <row r="104" spans="21:22" x14ac:dyDescent="0.25">
      <c r="U104" s="211">
        <v>86</v>
      </c>
      <c r="V104" s="178">
        <v>4805710295.6857243</v>
      </c>
    </row>
    <row r="105" spans="21:22" x14ac:dyDescent="0.25">
      <c r="U105" s="211">
        <v>87</v>
      </c>
      <c r="V105" s="178">
        <v>4112242177.790875</v>
      </c>
    </row>
    <row r="106" spans="21:22" x14ac:dyDescent="0.25">
      <c r="U106" s="211">
        <v>88</v>
      </c>
      <c r="V106" s="178">
        <v>10285978266.570042</v>
      </c>
    </row>
    <row r="107" spans="21:22" x14ac:dyDescent="0.25">
      <c r="U107" s="211">
        <v>89</v>
      </c>
      <c r="V107" s="178">
        <v>6446760361.0574951</v>
      </c>
    </row>
    <row r="108" spans="21:22" x14ac:dyDescent="0.25">
      <c r="U108" s="211">
        <v>90</v>
      </c>
      <c r="V108" s="178">
        <v>6020781802.8194771</v>
      </c>
    </row>
    <row r="109" spans="21:22" x14ac:dyDescent="0.25">
      <c r="U109" s="211">
        <v>91</v>
      </c>
      <c r="V109" s="178">
        <v>4811540048.4131403</v>
      </c>
    </row>
    <row r="110" spans="21:22" x14ac:dyDescent="0.25">
      <c r="U110" s="211">
        <v>92</v>
      </c>
      <c r="V110" s="178">
        <v>7949909975.9315195</v>
      </c>
    </row>
    <row r="111" spans="21:22" x14ac:dyDescent="0.25">
      <c r="U111" s="211">
        <v>93</v>
      </c>
      <c r="V111" s="178">
        <v>5279536398.2962818</v>
      </c>
    </row>
    <row r="112" spans="21:22" x14ac:dyDescent="0.25">
      <c r="U112" s="211">
        <v>94</v>
      </c>
      <c r="V112" s="178">
        <v>5019130854.0317526</v>
      </c>
    </row>
    <row r="113" spans="21:22" x14ac:dyDescent="0.25">
      <c r="U113" s="211">
        <v>95</v>
      </c>
      <c r="V113" s="178">
        <v>4705537599.7554474</v>
      </c>
    </row>
    <row r="114" spans="21:22" x14ac:dyDescent="0.25">
      <c r="U114" s="211">
        <v>96</v>
      </c>
      <c r="V114" s="178">
        <v>4905145241.8973007</v>
      </c>
    </row>
    <row r="115" spans="21:22" x14ac:dyDescent="0.25">
      <c r="U115" s="211">
        <v>97</v>
      </c>
      <c r="V115" s="178">
        <v>6310629120.3474836</v>
      </c>
    </row>
    <row r="116" spans="21:22" x14ac:dyDescent="0.25">
      <c r="U116" s="211">
        <v>98</v>
      </c>
      <c r="V116" s="178">
        <v>5809395800.6738024</v>
      </c>
    </row>
    <row r="117" spans="21:22" x14ac:dyDescent="0.25">
      <c r="U117" s="211">
        <v>99</v>
      </c>
      <c r="V117" s="178">
        <v>4642501568.8802595</v>
      </c>
    </row>
    <row r="118" spans="21:22" x14ac:dyDescent="0.25">
      <c r="U118" s="211">
        <v>100</v>
      </c>
      <c r="V118" s="178">
        <v>8742720609.9244251</v>
      </c>
    </row>
    <row r="119" spans="21:22" x14ac:dyDescent="0.25">
      <c r="U119" s="211">
        <v>101</v>
      </c>
      <c r="V119" s="178">
        <v>7118051688.9564695</v>
      </c>
    </row>
    <row r="120" spans="21:22" x14ac:dyDescent="0.25">
      <c r="U120" s="211">
        <v>102</v>
      </c>
      <c r="V120" s="178">
        <v>5634709723.8831568</v>
      </c>
    </row>
    <row r="121" spans="21:22" x14ac:dyDescent="0.25">
      <c r="U121" s="211">
        <v>103</v>
      </c>
      <c r="V121" s="178">
        <v>6283447969.5557327</v>
      </c>
    </row>
    <row r="122" spans="21:22" x14ac:dyDescent="0.25">
      <c r="U122" s="211">
        <v>104</v>
      </c>
      <c r="V122" s="178">
        <v>6747071687.213294</v>
      </c>
    </row>
    <row r="123" spans="21:22" x14ac:dyDescent="0.25">
      <c r="U123" s="211">
        <v>105</v>
      </c>
      <c r="V123" s="178">
        <v>5246841829.7518435</v>
      </c>
    </row>
    <row r="124" spans="21:22" x14ac:dyDescent="0.25">
      <c r="U124" s="211">
        <v>106</v>
      </c>
      <c r="V124" s="178">
        <v>4989550715.267745</v>
      </c>
    </row>
    <row r="125" spans="21:22" x14ac:dyDescent="0.25">
      <c r="U125" s="211">
        <v>107</v>
      </c>
      <c r="V125" s="178">
        <v>6562751468.6830711</v>
      </c>
    </row>
    <row r="126" spans="21:22" x14ac:dyDescent="0.25">
      <c r="U126" s="211">
        <v>108</v>
      </c>
      <c r="V126" s="178">
        <v>7743351843.4363241</v>
      </c>
    </row>
    <row r="127" spans="21:22" x14ac:dyDescent="0.25">
      <c r="U127" s="211">
        <v>109</v>
      </c>
      <c r="V127" s="178">
        <v>4119523089.7324834</v>
      </c>
    </row>
    <row r="128" spans="21:22" x14ac:dyDescent="0.25">
      <c r="U128" s="211">
        <v>110</v>
      </c>
      <c r="V128" s="178">
        <v>5239005709.7310476</v>
      </c>
    </row>
    <row r="129" spans="21:22" x14ac:dyDescent="0.25">
      <c r="U129" s="211">
        <v>111</v>
      </c>
      <c r="V129" s="178">
        <v>3178273620.4763589</v>
      </c>
    </row>
    <row r="130" spans="21:22" x14ac:dyDescent="0.25">
      <c r="U130" s="211">
        <v>112</v>
      </c>
      <c r="V130" s="178">
        <v>6410398502.0221338</v>
      </c>
    </row>
    <row r="131" spans="21:22" x14ac:dyDescent="0.25">
      <c r="U131" s="211">
        <v>113</v>
      </c>
      <c r="V131" s="178">
        <v>5894401605.2604151</v>
      </c>
    </row>
    <row r="132" spans="21:22" x14ac:dyDescent="0.25">
      <c r="U132" s="211">
        <v>114</v>
      </c>
      <c r="V132" s="178">
        <v>3238588576.6776204</v>
      </c>
    </row>
    <row r="133" spans="21:22" x14ac:dyDescent="0.25">
      <c r="U133" s="211">
        <v>115</v>
      </c>
      <c r="V133" s="178">
        <v>8469134060.2537241</v>
      </c>
    </row>
    <row r="134" spans="21:22" x14ac:dyDescent="0.25">
      <c r="U134" s="211">
        <v>116</v>
      </c>
      <c r="V134" s="178">
        <v>6562579448.9831066</v>
      </c>
    </row>
    <row r="135" spans="21:22" x14ac:dyDescent="0.25">
      <c r="U135" s="211">
        <v>117</v>
      </c>
      <c r="V135" s="178">
        <v>6061394479.3577375</v>
      </c>
    </row>
    <row r="136" spans="21:22" x14ac:dyDescent="0.25">
      <c r="U136" s="211">
        <v>118</v>
      </c>
      <c r="V136" s="178">
        <v>5631015822.2776175</v>
      </c>
    </row>
    <row r="137" spans="21:22" x14ac:dyDescent="0.25">
      <c r="U137" s="211">
        <v>119</v>
      </c>
      <c r="V137" s="178">
        <v>9870721256.1810722</v>
      </c>
    </row>
    <row r="138" spans="21:22" x14ac:dyDescent="0.25">
      <c r="U138" s="211">
        <v>120</v>
      </c>
      <c r="V138" s="178">
        <v>3567923723.810462</v>
      </c>
    </row>
    <row r="139" spans="21:22" x14ac:dyDescent="0.25">
      <c r="U139" s="211">
        <v>121</v>
      </c>
      <c r="V139" s="178">
        <v>5363347768.888545</v>
      </c>
    </row>
    <row r="140" spans="21:22" x14ac:dyDescent="0.25">
      <c r="U140" s="211">
        <v>122</v>
      </c>
      <c r="V140" s="178">
        <v>6098608852.2893753</v>
      </c>
    </row>
    <row r="141" spans="21:22" x14ac:dyDescent="0.25">
      <c r="U141" s="211">
        <v>123</v>
      </c>
      <c r="V141" s="178">
        <v>5162559272.0215549</v>
      </c>
    </row>
    <row r="142" spans="21:22" x14ac:dyDescent="0.25">
      <c r="U142" s="211">
        <v>124</v>
      </c>
      <c r="V142" s="178">
        <v>5838393082.8163157</v>
      </c>
    </row>
    <row r="143" spans="21:22" x14ac:dyDescent="0.25">
      <c r="U143" s="211">
        <v>125</v>
      </c>
      <c r="V143" s="178">
        <v>6351867199.7113991</v>
      </c>
    </row>
    <row r="144" spans="21:22" x14ac:dyDescent="0.25">
      <c r="U144" s="211">
        <v>126</v>
      </c>
      <c r="V144" s="178">
        <v>3700963566.8292389</v>
      </c>
    </row>
    <row r="145" spans="21:22" x14ac:dyDescent="0.25">
      <c r="U145" s="211">
        <v>127</v>
      </c>
      <c r="V145" s="178">
        <v>4592614976.6813488</v>
      </c>
    </row>
    <row r="146" spans="21:22" x14ac:dyDescent="0.25">
      <c r="U146" s="211">
        <v>128</v>
      </c>
      <c r="V146" s="178">
        <v>6400356467.8466806</v>
      </c>
    </row>
    <row r="147" spans="21:22" x14ac:dyDescent="0.25">
      <c r="U147" s="211">
        <v>129</v>
      </c>
      <c r="V147" s="178">
        <v>4765261178.5105562</v>
      </c>
    </row>
    <row r="148" spans="21:22" x14ac:dyDescent="0.25">
      <c r="U148" s="211">
        <v>130</v>
      </c>
      <c r="V148" s="178">
        <v>5984550131.9574404</v>
      </c>
    </row>
    <row r="149" spans="21:22" x14ac:dyDescent="0.25">
      <c r="U149" s="211">
        <v>131</v>
      </c>
      <c r="V149" s="178">
        <v>8512652111.462656</v>
      </c>
    </row>
    <row r="150" spans="21:22" x14ac:dyDescent="0.25">
      <c r="U150" s="211">
        <v>132</v>
      </c>
      <c r="V150" s="178">
        <v>8141947172.7670727</v>
      </c>
    </row>
    <row r="151" spans="21:22" x14ac:dyDescent="0.25">
      <c r="U151" s="211">
        <v>133</v>
      </c>
      <c r="V151" s="178">
        <v>7212123891.4787483</v>
      </c>
    </row>
    <row r="152" spans="21:22" x14ac:dyDescent="0.25">
      <c r="U152" s="211">
        <v>134</v>
      </c>
      <c r="V152" s="178">
        <v>5235029407.0101862</v>
      </c>
    </row>
    <row r="153" spans="21:22" x14ac:dyDescent="0.25">
      <c r="U153" s="211">
        <v>135</v>
      </c>
      <c r="V153" s="178">
        <v>5481056703.5738611</v>
      </c>
    </row>
    <row r="154" spans="21:22" x14ac:dyDescent="0.25">
      <c r="U154" s="211">
        <v>136</v>
      </c>
      <c r="V154" s="178">
        <v>6617655242.123951</v>
      </c>
    </row>
    <row r="155" spans="21:22" x14ac:dyDescent="0.25">
      <c r="U155" s="211">
        <v>137</v>
      </c>
      <c r="V155" s="178">
        <v>5744849819.2614822</v>
      </c>
    </row>
    <row r="156" spans="21:22" x14ac:dyDescent="0.25">
      <c r="U156" s="211">
        <v>138</v>
      </c>
      <c r="V156" s="178">
        <v>4666285463.6240492</v>
      </c>
    </row>
    <row r="157" spans="21:22" x14ac:dyDescent="0.25">
      <c r="U157" s="211">
        <v>139</v>
      </c>
      <c r="V157" s="178">
        <v>5998257694.5311127</v>
      </c>
    </row>
    <row r="158" spans="21:22" x14ac:dyDescent="0.25">
      <c r="U158" s="211">
        <v>140</v>
      </c>
      <c r="V158" s="178">
        <v>5903309754.7127371</v>
      </c>
    </row>
    <row r="159" spans="21:22" x14ac:dyDescent="0.25">
      <c r="U159" s="211">
        <v>141</v>
      </c>
      <c r="V159" s="178">
        <v>5777301198.5017576</v>
      </c>
    </row>
    <row r="160" spans="21:22" x14ac:dyDescent="0.25">
      <c r="U160" s="211">
        <v>142</v>
      </c>
      <c r="V160" s="178">
        <v>5373558647.6386108</v>
      </c>
    </row>
    <row r="161" spans="21:22" x14ac:dyDescent="0.25">
      <c r="U161" s="211">
        <v>143</v>
      </c>
      <c r="V161" s="178">
        <v>2842253186.7430105</v>
      </c>
    </row>
    <row r="162" spans="21:22" x14ac:dyDescent="0.25">
      <c r="U162" s="211">
        <v>144</v>
      </c>
      <c r="V162" s="178">
        <v>5400113989.5233383</v>
      </c>
    </row>
    <row r="163" spans="21:22" x14ac:dyDescent="0.25">
      <c r="U163" s="211">
        <v>145</v>
      </c>
      <c r="V163" s="178">
        <v>4104230379.011415</v>
      </c>
    </row>
    <row r="164" spans="21:22" x14ac:dyDescent="0.25">
      <c r="U164" s="211">
        <v>146</v>
      </c>
      <c r="V164" s="178">
        <v>5174840719.7093668</v>
      </c>
    </row>
    <row r="165" spans="21:22" x14ac:dyDescent="0.25">
      <c r="U165" s="211">
        <v>147</v>
      </c>
      <c r="V165" s="178">
        <v>4480781246.9800062</v>
      </c>
    </row>
    <row r="166" spans="21:22" x14ac:dyDescent="0.25">
      <c r="U166" s="211">
        <v>148</v>
      </c>
      <c r="V166" s="178">
        <v>5531470467.1896763</v>
      </c>
    </row>
    <row r="167" spans="21:22" x14ac:dyDescent="0.25">
      <c r="U167" s="211">
        <v>149</v>
      </c>
      <c r="V167" s="178">
        <v>3616393524.4249287</v>
      </c>
    </row>
    <row r="168" spans="21:22" x14ac:dyDescent="0.25">
      <c r="U168" s="211">
        <v>150</v>
      </c>
      <c r="V168" s="178">
        <v>8148408731.5549288</v>
      </c>
    </row>
    <row r="169" spans="21:22" x14ac:dyDescent="0.25">
      <c r="U169" s="211">
        <v>151</v>
      </c>
      <c r="V169" s="178">
        <v>6042300351.4019413</v>
      </c>
    </row>
    <row r="170" spans="21:22" x14ac:dyDescent="0.25">
      <c r="U170" s="211">
        <v>152</v>
      </c>
      <c r="V170" s="178">
        <v>4189225800.2648697</v>
      </c>
    </row>
    <row r="171" spans="21:22" x14ac:dyDescent="0.25">
      <c r="U171" s="211">
        <v>153</v>
      </c>
      <c r="V171" s="178">
        <v>6653774717.4531374</v>
      </c>
    </row>
    <row r="172" spans="21:22" x14ac:dyDescent="0.25">
      <c r="U172" s="211">
        <v>154</v>
      </c>
      <c r="V172" s="178">
        <v>4427133991.7758007</v>
      </c>
    </row>
    <row r="173" spans="21:22" x14ac:dyDescent="0.25">
      <c r="U173" s="211">
        <v>155</v>
      </c>
      <c r="V173" s="178">
        <v>5670518098.0672894</v>
      </c>
    </row>
    <row r="174" spans="21:22" x14ac:dyDescent="0.25">
      <c r="U174" s="211">
        <v>156</v>
      </c>
      <c r="V174" s="178">
        <v>4822500305.5569906</v>
      </c>
    </row>
    <row r="175" spans="21:22" x14ac:dyDescent="0.25">
      <c r="U175" s="211">
        <v>157</v>
      </c>
      <c r="V175" s="178">
        <v>4865032079.3810205</v>
      </c>
    </row>
    <row r="176" spans="21:22" x14ac:dyDescent="0.25">
      <c r="U176" s="211">
        <v>158</v>
      </c>
      <c r="V176" s="178">
        <v>8148527091.6137362</v>
      </c>
    </row>
    <row r="177" spans="21:22" x14ac:dyDescent="0.25">
      <c r="U177" s="211">
        <v>159</v>
      </c>
      <c r="V177" s="178">
        <v>5672708364.613658</v>
      </c>
    </row>
    <row r="178" spans="21:22" x14ac:dyDescent="0.25">
      <c r="U178" s="211">
        <v>160</v>
      </c>
      <c r="V178" s="178">
        <v>4897577752.5498657</v>
      </c>
    </row>
    <row r="179" spans="21:22" x14ac:dyDescent="0.25">
      <c r="U179" s="211">
        <v>161</v>
      </c>
      <c r="V179" s="178">
        <v>4828824928.1043406</v>
      </c>
    </row>
    <row r="180" spans="21:22" x14ac:dyDescent="0.25">
      <c r="U180" s="211">
        <v>162</v>
      </c>
      <c r="V180" s="178">
        <v>6073331703.0511255</v>
      </c>
    </row>
    <row r="181" spans="21:22" x14ac:dyDescent="0.25">
      <c r="U181" s="211">
        <v>163</v>
      </c>
      <c r="V181" s="178">
        <v>3399406012.2564054</v>
      </c>
    </row>
    <row r="182" spans="21:22" x14ac:dyDescent="0.25">
      <c r="U182" s="211">
        <v>164</v>
      </c>
      <c r="V182" s="178">
        <v>4411647494.09797</v>
      </c>
    </row>
    <row r="183" spans="21:22" x14ac:dyDescent="0.25">
      <c r="U183" s="211">
        <v>165</v>
      </c>
      <c r="V183" s="178">
        <v>9210035920.7031345</v>
      </c>
    </row>
    <row r="184" spans="21:22" x14ac:dyDescent="0.25">
      <c r="U184" s="211">
        <v>166</v>
      </c>
      <c r="V184" s="178">
        <v>5633363399.7202044</v>
      </c>
    </row>
    <row r="185" spans="21:22" x14ac:dyDescent="0.25">
      <c r="U185" s="211">
        <v>167</v>
      </c>
      <c r="V185" s="178">
        <v>4773983106.7014284</v>
      </c>
    </row>
    <row r="186" spans="21:22" x14ac:dyDescent="0.25">
      <c r="U186" s="211">
        <v>168</v>
      </c>
      <c r="V186" s="178">
        <v>4252535652.6667976</v>
      </c>
    </row>
    <row r="187" spans="21:22" x14ac:dyDescent="0.25">
      <c r="U187" s="211">
        <v>169</v>
      </c>
      <c r="V187" s="178">
        <v>3401166099.9018269</v>
      </c>
    </row>
    <row r="188" spans="21:22" x14ac:dyDescent="0.25">
      <c r="U188" s="211">
        <v>170</v>
      </c>
      <c r="V188" s="178">
        <v>4784354755.2861786</v>
      </c>
    </row>
    <row r="189" spans="21:22" x14ac:dyDescent="0.25">
      <c r="U189" s="211">
        <v>171</v>
      </c>
      <c r="V189" s="178">
        <v>5067436793.376399</v>
      </c>
    </row>
    <row r="190" spans="21:22" x14ac:dyDescent="0.25">
      <c r="U190" s="211">
        <v>172</v>
      </c>
      <c r="V190" s="178">
        <v>5193708873.0539989</v>
      </c>
    </row>
    <row r="191" spans="21:22" x14ac:dyDescent="0.25">
      <c r="U191" s="211">
        <v>173</v>
      </c>
      <c r="V191" s="178">
        <v>4008505982.0051332</v>
      </c>
    </row>
    <row r="192" spans="21:22" x14ac:dyDescent="0.25">
      <c r="U192" s="211">
        <v>174</v>
      </c>
      <c r="V192" s="178">
        <v>7944195855.1099014</v>
      </c>
    </row>
    <row r="193" spans="21:22" x14ac:dyDescent="0.25">
      <c r="U193" s="211">
        <v>175</v>
      </c>
      <c r="V193" s="178">
        <v>5724116987.4720373</v>
      </c>
    </row>
    <row r="194" spans="21:22" x14ac:dyDescent="0.25">
      <c r="U194" s="211">
        <v>176</v>
      </c>
      <c r="V194" s="178">
        <v>5377454627.7695837</v>
      </c>
    </row>
    <row r="195" spans="21:22" x14ac:dyDescent="0.25">
      <c r="U195" s="211">
        <v>177</v>
      </c>
      <c r="V195" s="178">
        <v>8123833691.4558105</v>
      </c>
    </row>
    <row r="196" spans="21:22" x14ac:dyDescent="0.25">
      <c r="U196" s="211">
        <v>178</v>
      </c>
      <c r="V196" s="178">
        <v>5217395023.1991529</v>
      </c>
    </row>
    <row r="197" spans="21:22" x14ac:dyDescent="0.25">
      <c r="U197" s="211">
        <v>179</v>
      </c>
      <c r="V197" s="178">
        <v>4101945991.2910528</v>
      </c>
    </row>
    <row r="198" spans="21:22" x14ac:dyDescent="0.25">
      <c r="U198" s="211">
        <v>180</v>
      </c>
      <c r="V198" s="178">
        <v>5759419380.5302763</v>
      </c>
    </row>
    <row r="199" spans="21:22" x14ac:dyDescent="0.25">
      <c r="U199" s="211">
        <v>181</v>
      </c>
      <c r="V199" s="178">
        <v>4806862207.0470409</v>
      </c>
    </row>
    <row r="200" spans="21:22" x14ac:dyDescent="0.25">
      <c r="U200" s="211">
        <v>182</v>
      </c>
      <c r="V200" s="178">
        <v>6249596032.1546307</v>
      </c>
    </row>
    <row r="201" spans="21:22" x14ac:dyDescent="0.25">
      <c r="U201" s="211">
        <v>183</v>
      </c>
      <c r="V201" s="178">
        <v>8593736934.6867867</v>
      </c>
    </row>
    <row r="202" spans="21:22" x14ac:dyDescent="0.25">
      <c r="U202" s="211">
        <v>184</v>
      </c>
      <c r="V202" s="178">
        <v>8862161489.7397995</v>
      </c>
    </row>
    <row r="203" spans="21:22" x14ac:dyDescent="0.25">
      <c r="U203" s="211">
        <v>185</v>
      </c>
      <c r="V203" s="178">
        <v>8009655256.7299051</v>
      </c>
    </row>
    <row r="204" spans="21:22" x14ac:dyDescent="0.25">
      <c r="U204" s="211">
        <v>186</v>
      </c>
      <c r="V204" s="178">
        <v>6472745775.5138893</v>
      </c>
    </row>
    <row r="205" spans="21:22" x14ac:dyDescent="0.25">
      <c r="U205" s="211">
        <v>187</v>
      </c>
      <c r="V205" s="178">
        <v>6787573229.5543289</v>
      </c>
    </row>
    <row r="206" spans="21:22" x14ac:dyDescent="0.25">
      <c r="U206" s="211">
        <v>188</v>
      </c>
      <c r="V206" s="178">
        <v>4522976101.8500481</v>
      </c>
    </row>
    <row r="207" spans="21:22" x14ac:dyDescent="0.25">
      <c r="U207" s="211">
        <v>189</v>
      </c>
      <c r="V207" s="178">
        <v>8547666221.9252958</v>
      </c>
    </row>
    <row r="208" spans="21:22" x14ac:dyDescent="0.25">
      <c r="U208" s="211">
        <v>190</v>
      </c>
      <c r="V208" s="178">
        <v>4824405243.3477068</v>
      </c>
    </row>
    <row r="209" spans="21:22" x14ac:dyDescent="0.25">
      <c r="U209" s="211">
        <v>191</v>
      </c>
      <c r="V209" s="178">
        <v>3534732562.0914879</v>
      </c>
    </row>
    <row r="210" spans="21:22" x14ac:dyDescent="0.25">
      <c r="U210" s="211">
        <v>192</v>
      </c>
      <c r="V210" s="178">
        <v>4352158889.5959015</v>
      </c>
    </row>
    <row r="211" spans="21:22" x14ac:dyDescent="0.25">
      <c r="U211" s="211">
        <v>193</v>
      </c>
      <c r="V211" s="178">
        <v>7638815863.161109</v>
      </c>
    </row>
    <row r="212" spans="21:22" x14ac:dyDescent="0.25">
      <c r="U212" s="211">
        <v>194</v>
      </c>
      <c r="V212" s="178">
        <v>6553256234.0892506</v>
      </c>
    </row>
    <row r="213" spans="21:22" x14ac:dyDescent="0.25">
      <c r="U213" s="211">
        <v>195</v>
      </c>
      <c r="V213" s="178">
        <v>5683618501.7600832</v>
      </c>
    </row>
    <row r="214" spans="21:22" x14ac:dyDescent="0.25">
      <c r="U214" s="211">
        <v>196</v>
      </c>
      <c r="V214" s="178">
        <v>4477635917.5994177</v>
      </c>
    </row>
    <row r="215" spans="21:22" x14ac:dyDescent="0.25">
      <c r="U215" s="211">
        <v>197</v>
      </c>
      <c r="V215" s="178">
        <v>4440332959.9306021</v>
      </c>
    </row>
    <row r="216" spans="21:22" x14ac:dyDescent="0.25">
      <c r="U216" s="211">
        <v>198</v>
      </c>
      <c r="V216" s="178">
        <v>6520265790.5926695</v>
      </c>
    </row>
    <row r="217" spans="21:22" x14ac:dyDescent="0.25">
      <c r="U217" s="211">
        <v>199</v>
      </c>
      <c r="V217" s="178">
        <v>6606737540.7433271</v>
      </c>
    </row>
    <row r="218" spans="21:22" x14ac:dyDescent="0.25">
      <c r="U218" s="211">
        <v>200</v>
      </c>
      <c r="V218" s="178">
        <v>5987213957.6552992</v>
      </c>
    </row>
    <row r="219" spans="21:22" x14ac:dyDescent="0.25">
      <c r="U219" s="211">
        <v>201</v>
      </c>
      <c r="V219" s="178">
        <v>5254744248.1246176</v>
      </c>
    </row>
    <row r="220" spans="21:22" x14ac:dyDescent="0.25">
      <c r="U220" s="211">
        <v>202</v>
      </c>
      <c r="V220" s="178">
        <v>4971122613.6773615</v>
      </c>
    </row>
    <row r="221" spans="21:22" x14ac:dyDescent="0.25">
      <c r="U221" s="211">
        <v>203</v>
      </c>
      <c r="V221" s="178">
        <v>5896239476.0807791</v>
      </c>
    </row>
    <row r="222" spans="21:22" x14ac:dyDescent="0.25">
      <c r="U222" s="211">
        <v>204</v>
      </c>
      <c r="V222" s="178">
        <v>6527173419.9722853</v>
      </c>
    </row>
    <row r="223" spans="21:22" x14ac:dyDescent="0.25">
      <c r="U223" s="211">
        <v>205</v>
      </c>
      <c r="V223" s="178">
        <v>3943214472.178143</v>
      </c>
    </row>
    <row r="224" spans="21:22" x14ac:dyDescent="0.25">
      <c r="U224" s="211">
        <v>206</v>
      </c>
      <c r="V224" s="178">
        <v>5986872654.3831654</v>
      </c>
    </row>
    <row r="225" spans="21:22" x14ac:dyDescent="0.25">
      <c r="U225" s="211">
        <v>207</v>
      </c>
      <c r="V225" s="178">
        <v>4998923008.2274504</v>
      </c>
    </row>
    <row r="226" spans="21:22" x14ac:dyDescent="0.25">
      <c r="U226" s="211">
        <v>208</v>
      </c>
      <c r="V226" s="178">
        <v>4903292463.3590002</v>
      </c>
    </row>
    <row r="227" spans="21:22" x14ac:dyDescent="0.25">
      <c r="U227" s="211">
        <v>209</v>
      </c>
      <c r="V227" s="178">
        <v>5597483513.0287752</v>
      </c>
    </row>
    <row r="228" spans="21:22" x14ac:dyDescent="0.25">
      <c r="U228" s="211">
        <v>210</v>
      </c>
      <c r="V228" s="178">
        <v>6046509105.2086658</v>
      </c>
    </row>
    <row r="229" spans="21:22" x14ac:dyDescent="0.25">
      <c r="U229" s="211">
        <v>211</v>
      </c>
      <c r="V229" s="178">
        <v>5775331595.1928616</v>
      </c>
    </row>
    <row r="230" spans="21:22" x14ac:dyDescent="0.25">
      <c r="U230" s="211">
        <v>212</v>
      </c>
      <c r="V230" s="178">
        <v>4369820689.5539131</v>
      </c>
    </row>
    <row r="231" spans="21:22" x14ac:dyDescent="0.25">
      <c r="U231" s="211">
        <v>213</v>
      </c>
      <c r="V231" s="178">
        <v>5967518593.3610039</v>
      </c>
    </row>
    <row r="232" spans="21:22" x14ac:dyDescent="0.25">
      <c r="U232" s="211">
        <v>214</v>
      </c>
      <c r="V232" s="178">
        <v>6944506709.3275528</v>
      </c>
    </row>
    <row r="233" spans="21:22" x14ac:dyDescent="0.25">
      <c r="U233" s="211">
        <v>215</v>
      </c>
      <c r="V233" s="178">
        <v>5023530059.994504</v>
      </c>
    </row>
    <row r="234" spans="21:22" x14ac:dyDescent="0.25">
      <c r="U234" s="211">
        <v>216</v>
      </c>
      <c r="V234" s="178">
        <v>5949199505.2487726</v>
      </c>
    </row>
    <row r="235" spans="21:22" x14ac:dyDescent="0.25">
      <c r="U235" s="211">
        <v>217</v>
      </c>
      <c r="V235" s="178">
        <v>5071988611.7737608</v>
      </c>
    </row>
    <row r="236" spans="21:22" x14ac:dyDescent="0.25">
      <c r="U236" s="211">
        <v>218</v>
      </c>
      <c r="V236" s="178">
        <v>8002734073.1100512</v>
      </c>
    </row>
    <row r="237" spans="21:22" x14ac:dyDescent="0.25">
      <c r="U237" s="211">
        <v>219</v>
      </c>
      <c r="V237" s="178">
        <v>4809286565.9235239</v>
      </c>
    </row>
    <row r="238" spans="21:22" x14ac:dyDescent="0.25">
      <c r="U238" s="211">
        <v>220</v>
      </c>
      <c r="V238" s="178">
        <v>5676160326.6038818</v>
      </c>
    </row>
    <row r="239" spans="21:22" x14ac:dyDescent="0.25">
      <c r="U239" s="211">
        <v>221</v>
      </c>
      <c r="V239" s="178">
        <v>4120134884.0820303</v>
      </c>
    </row>
    <row r="240" spans="21:22" x14ac:dyDescent="0.25">
      <c r="U240" s="211">
        <v>222</v>
      </c>
      <c r="V240" s="178">
        <v>4869617284.3241282</v>
      </c>
    </row>
    <row r="241" spans="21:22" x14ac:dyDescent="0.25">
      <c r="U241" s="211">
        <v>223</v>
      </c>
      <c r="V241" s="178">
        <v>4788900907.5524244</v>
      </c>
    </row>
    <row r="242" spans="21:22" x14ac:dyDescent="0.25">
      <c r="U242" s="211">
        <v>224</v>
      </c>
      <c r="V242" s="178">
        <v>4388099553.8426647</v>
      </c>
    </row>
    <row r="243" spans="21:22" x14ac:dyDescent="0.25">
      <c r="U243" s="211">
        <v>225</v>
      </c>
      <c r="V243" s="178">
        <v>4548860845.1317339</v>
      </c>
    </row>
    <row r="244" spans="21:22" x14ac:dyDescent="0.25">
      <c r="U244" s="211">
        <v>226</v>
      </c>
      <c r="V244" s="178">
        <v>4653993688.4230652</v>
      </c>
    </row>
    <row r="245" spans="21:22" x14ac:dyDescent="0.25">
      <c r="U245" s="211">
        <v>227</v>
      </c>
      <c r="V245" s="178">
        <v>6743995556.1762991</v>
      </c>
    </row>
    <row r="246" spans="21:22" x14ac:dyDescent="0.25">
      <c r="U246" s="211">
        <v>228</v>
      </c>
      <c r="V246" s="178">
        <v>7461428537.3507318</v>
      </c>
    </row>
    <row r="247" spans="21:22" x14ac:dyDescent="0.25">
      <c r="U247" s="211">
        <v>229</v>
      </c>
      <c r="V247" s="178">
        <v>5148645326.4827538</v>
      </c>
    </row>
    <row r="248" spans="21:22" x14ac:dyDescent="0.25">
      <c r="U248" s="211">
        <v>230</v>
      </c>
      <c r="V248" s="178">
        <v>6161707098.1102781</v>
      </c>
    </row>
    <row r="249" spans="21:22" x14ac:dyDescent="0.25">
      <c r="U249" s="211">
        <v>231</v>
      </c>
      <c r="V249" s="178">
        <v>4422393255.6864147</v>
      </c>
    </row>
    <row r="250" spans="21:22" x14ac:dyDescent="0.25">
      <c r="U250" s="211">
        <v>232</v>
      </c>
      <c r="V250" s="178">
        <v>5087400147.9990444</v>
      </c>
    </row>
    <row r="251" spans="21:22" x14ac:dyDescent="0.25">
      <c r="U251" s="211">
        <v>233</v>
      </c>
      <c r="V251" s="178">
        <v>7730721840.4915476</v>
      </c>
    </row>
    <row r="252" spans="21:22" x14ac:dyDescent="0.25">
      <c r="U252" s="211">
        <v>234</v>
      </c>
      <c r="V252" s="178">
        <v>4091780060.9209752</v>
      </c>
    </row>
    <row r="253" spans="21:22" x14ac:dyDescent="0.25">
      <c r="U253" s="211">
        <v>235</v>
      </c>
      <c r="V253" s="178">
        <v>6417720191.1760826</v>
      </c>
    </row>
    <row r="254" spans="21:22" x14ac:dyDescent="0.25">
      <c r="U254" s="211">
        <v>236</v>
      </c>
      <c r="V254" s="178">
        <v>4962711389.0982208</v>
      </c>
    </row>
    <row r="255" spans="21:22" x14ac:dyDescent="0.25">
      <c r="U255" s="211">
        <v>237</v>
      </c>
      <c r="V255" s="178">
        <v>3446654786.7651129</v>
      </c>
    </row>
    <row r="256" spans="21:22" x14ac:dyDescent="0.25">
      <c r="U256" s="211">
        <v>238</v>
      </c>
      <c r="V256" s="178">
        <v>6177398372.2264023</v>
      </c>
    </row>
    <row r="257" spans="21:22" x14ac:dyDescent="0.25">
      <c r="U257" s="211">
        <v>239</v>
      </c>
      <c r="V257" s="178">
        <v>7125609620.3774443</v>
      </c>
    </row>
    <row r="258" spans="21:22" x14ac:dyDescent="0.25">
      <c r="U258" s="211">
        <v>240</v>
      </c>
      <c r="V258" s="178">
        <v>5506531974.8150301</v>
      </c>
    </row>
    <row r="259" spans="21:22" x14ac:dyDescent="0.25">
      <c r="U259" s="211">
        <v>241</v>
      </c>
      <c r="V259" s="178">
        <v>8157150729.3434067</v>
      </c>
    </row>
    <row r="260" spans="21:22" x14ac:dyDescent="0.25">
      <c r="U260" s="211">
        <v>242</v>
      </c>
      <c r="V260" s="178">
        <v>4336750180.3530464</v>
      </c>
    </row>
    <row r="261" spans="21:22" x14ac:dyDescent="0.25">
      <c r="U261" s="211">
        <v>243</v>
      </c>
      <c r="V261" s="178">
        <v>5076981329.1774197</v>
      </c>
    </row>
    <row r="262" spans="21:22" x14ac:dyDescent="0.25">
      <c r="U262" s="211">
        <v>244</v>
      </c>
      <c r="V262" s="178">
        <v>5531085481.0262222</v>
      </c>
    </row>
    <row r="263" spans="21:22" x14ac:dyDescent="0.25">
      <c r="U263" s="211">
        <v>245</v>
      </c>
      <c r="V263" s="178">
        <v>3892524011.9498043</v>
      </c>
    </row>
    <row r="264" spans="21:22" x14ac:dyDescent="0.25">
      <c r="U264" s="211">
        <v>246</v>
      </c>
      <c r="V264" s="178">
        <v>6816841326.946166</v>
      </c>
    </row>
    <row r="265" spans="21:22" x14ac:dyDescent="0.25">
      <c r="U265" s="211">
        <v>247</v>
      </c>
      <c r="V265" s="178">
        <v>5217408740.4072847</v>
      </c>
    </row>
    <row r="266" spans="21:22" x14ac:dyDescent="0.25">
      <c r="U266" s="211">
        <v>248</v>
      </c>
      <c r="V266" s="178">
        <v>3265200076.482204</v>
      </c>
    </row>
    <row r="267" spans="21:22" x14ac:dyDescent="0.25">
      <c r="U267" s="211">
        <v>249</v>
      </c>
      <c r="V267" s="178">
        <v>7402041554.4143028</v>
      </c>
    </row>
    <row r="268" spans="21:22" x14ac:dyDescent="0.25">
      <c r="U268" s="211">
        <v>250</v>
      </c>
      <c r="V268" s="178">
        <v>6314871918.9648428</v>
      </c>
    </row>
    <row r="269" spans="21:22" x14ac:dyDescent="0.25">
      <c r="U269" s="211">
        <v>251</v>
      </c>
      <c r="V269" s="178">
        <v>7816620355.231328</v>
      </c>
    </row>
    <row r="270" spans="21:22" x14ac:dyDescent="0.25">
      <c r="U270" s="211">
        <v>252</v>
      </c>
      <c r="V270" s="178">
        <v>4775791288.6381092</v>
      </c>
    </row>
    <row r="271" spans="21:22" x14ac:dyDescent="0.25">
      <c r="U271" s="211">
        <v>253</v>
      </c>
      <c r="V271" s="178">
        <v>6074099286.3663549</v>
      </c>
    </row>
    <row r="272" spans="21:22" x14ac:dyDescent="0.25">
      <c r="U272" s="211">
        <v>254</v>
      </c>
      <c r="V272" s="178">
        <v>5267536649.8867359</v>
      </c>
    </row>
    <row r="273" spans="21:22" x14ac:dyDescent="0.25">
      <c r="U273" s="211">
        <v>255</v>
      </c>
      <c r="V273" s="178">
        <v>4796374722.4374037</v>
      </c>
    </row>
    <row r="274" spans="21:22" x14ac:dyDescent="0.25">
      <c r="U274" s="211">
        <v>256</v>
      </c>
      <c r="V274" s="178">
        <v>5508565286.7054224</v>
      </c>
    </row>
    <row r="275" spans="21:22" x14ac:dyDescent="0.25">
      <c r="U275" s="211">
        <v>257</v>
      </c>
      <c r="V275" s="178">
        <v>3712426416.3172593</v>
      </c>
    </row>
    <row r="276" spans="21:22" x14ac:dyDescent="0.25">
      <c r="U276" s="211">
        <v>258</v>
      </c>
      <c r="V276" s="178">
        <v>4498548048.3803015</v>
      </c>
    </row>
    <row r="277" spans="21:22" x14ac:dyDescent="0.25">
      <c r="U277" s="211">
        <v>259</v>
      </c>
      <c r="V277" s="178">
        <v>4852194009.1694679</v>
      </c>
    </row>
    <row r="278" spans="21:22" x14ac:dyDescent="0.25">
      <c r="U278" s="211">
        <v>260</v>
      </c>
      <c r="V278" s="178">
        <v>5582996340.7381039</v>
      </c>
    </row>
    <row r="279" spans="21:22" x14ac:dyDescent="0.25">
      <c r="U279" s="211">
        <v>261</v>
      </c>
      <c r="V279" s="178">
        <v>5418384433.1863337</v>
      </c>
    </row>
    <row r="280" spans="21:22" x14ac:dyDescent="0.25">
      <c r="U280" s="211">
        <v>262</v>
      </c>
      <c r="V280" s="178">
        <v>5391905977.1093473</v>
      </c>
    </row>
    <row r="281" spans="21:22" x14ac:dyDescent="0.25">
      <c r="U281" s="211">
        <v>263</v>
      </c>
      <c r="V281" s="178">
        <v>5515769041.8553429</v>
      </c>
    </row>
    <row r="282" spans="21:22" x14ac:dyDescent="0.25">
      <c r="U282" s="211">
        <v>264</v>
      </c>
      <c r="V282" s="178">
        <v>4295771033.9342022</v>
      </c>
    </row>
    <row r="283" spans="21:22" x14ac:dyDescent="0.25">
      <c r="U283" s="211">
        <v>265</v>
      </c>
      <c r="V283" s="178">
        <v>6914369178.388732</v>
      </c>
    </row>
    <row r="284" spans="21:22" x14ac:dyDescent="0.25">
      <c r="U284" s="211">
        <v>266</v>
      </c>
      <c r="V284" s="178">
        <v>6332600107.1335859</v>
      </c>
    </row>
    <row r="285" spans="21:22" x14ac:dyDescent="0.25">
      <c r="U285" s="211">
        <v>267</v>
      </c>
      <c r="V285" s="178">
        <v>5453722872.2799892</v>
      </c>
    </row>
    <row r="286" spans="21:22" x14ac:dyDescent="0.25">
      <c r="U286" s="211">
        <v>268</v>
      </c>
      <c r="V286" s="178">
        <v>4155283320.1710744</v>
      </c>
    </row>
    <row r="287" spans="21:22" x14ac:dyDescent="0.25">
      <c r="U287" s="211">
        <v>269</v>
      </c>
      <c r="V287" s="178">
        <v>11421381380.633175</v>
      </c>
    </row>
    <row r="288" spans="21:22" x14ac:dyDescent="0.25">
      <c r="U288" s="211">
        <v>270</v>
      </c>
      <c r="V288" s="178">
        <v>4414786388.2516508</v>
      </c>
    </row>
    <row r="289" spans="21:22" x14ac:dyDescent="0.25">
      <c r="U289" s="211">
        <v>271</v>
      </c>
      <c r="V289" s="178">
        <v>3055047681.8822999</v>
      </c>
    </row>
    <row r="290" spans="21:22" x14ac:dyDescent="0.25">
      <c r="U290" s="211">
        <v>272</v>
      </c>
      <c r="V290" s="178">
        <v>7483290761.5943737</v>
      </c>
    </row>
    <row r="291" spans="21:22" x14ac:dyDescent="0.25">
      <c r="U291" s="211">
        <v>273</v>
      </c>
      <c r="V291" s="178">
        <v>4343865703.4255238</v>
      </c>
    </row>
    <row r="292" spans="21:22" x14ac:dyDescent="0.25">
      <c r="U292" s="211">
        <v>274</v>
      </c>
      <c r="V292" s="178">
        <v>4108398779.6961465</v>
      </c>
    </row>
    <row r="293" spans="21:22" x14ac:dyDescent="0.25">
      <c r="U293" s="211">
        <v>275</v>
      </c>
      <c r="V293" s="178">
        <v>6554398472.767107</v>
      </c>
    </row>
    <row r="294" spans="21:22" x14ac:dyDescent="0.25">
      <c r="U294" s="211">
        <v>276</v>
      </c>
      <c r="V294" s="178">
        <v>4186756605.8865051</v>
      </c>
    </row>
    <row r="295" spans="21:22" x14ac:dyDescent="0.25">
      <c r="U295" s="211">
        <v>277</v>
      </c>
      <c r="V295" s="178">
        <v>7398912072.0006409</v>
      </c>
    </row>
    <row r="296" spans="21:22" x14ac:dyDescent="0.25">
      <c r="U296" s="211">
        <v>278</v>
      </c>
      <c r="V296" s="178">
        <v>3720387955.5566702</v>
      </c>
    </row>
    <row r="297" spans="21:22" x14ac:dyDescent="0.25">
      <c r="U297" s="211">
        <v>279</v>
      </c>
      <c r="V297" s="178">
        <v>5082582793.7385502</v>
      </c>
    </row>
    <row r="298" spans="21:22" x14ac:dyDescent="0.25">
      <c r="U298" s="211">
        <v>280</v>
      </c>
      <c r="V298" s="178">
        <v>5967405481.242897</v>
      </c>
    </row>
    <row r="299" spans="21:22" x14ac:dyDescent="0.25">
      <c r="U299" s="211">
        <v>281</v>
      </c>
      <c r="V299" s="178">
        <v>4980737564.8890963</v>
      </c>
    </row>
    <row r="300" spans="21:22" x14ac:dyDescent="0.25">
      <c r="U300" s="211">
        <v>282</v>
      </c>
      <c r="V300" s="178">
        <v>5902030738.8378429</v>
      </c>
    </row>
    <row r="301" spans="21:22" x14ac:dyDescent="0.25">
      <c r="U301" s="211">
        <v>283</v>
      </c>
      <c r="V301" s="178">
        <v>5701830987.7996941</v>
      </c>
    </row>
    <row r="302" spans="21:22" x14ac:dyDescent="0.25">
      <c r="U302" s="211">
        <v>284</v>
      </c>
      <c r="V302" s="178">
        <v>5388384223.5022125</v>
      </c>
    </row>
    <row r="303" spans="21:22" x14ac:dyDescent="0.25">
      <c r="U303" s="211">
        <v>285</v>
      </c>
      <c r="V303" s="178">
        <v>6910417790.8815651</v>
      </c>
    </row>
    <row r="304" spans="21:22" x14ac:dyDescent="0.25">
      <c r="U304" s="211">
        <v>286</v>
      </c>
      <c r="V304" s="178">
        <v>8827409621.2280197</v>
      </c>
    </row>
    <row r="305" spans="21:22" x14ac:dyDescent="0.25">
      <c r="U305" s="211">
        <v>287</v>
      </c>
      <c r="V305" s="178">
        <v>4684014206.0474062</v>
      </c>
    </row>
    <row r="306" spans="21:22" x14ac:dyDescent="0.25">
      <c r="U306" s="211">
        <v>288</v>
      </c>
      <c r="V306" s="178">
        <v>6638138481.0606651</v>
      </c>
    </row>
    <row r="307" spans="21:22" x14ac:dyDescent="0.25">
      <c r="U307" s="211">
        <v>289</v>
      </c>
      <c r="V307" s="178">
        <v>7455254208.8197632</v>
      </c>
    </row>
    <row r="308" spans="21:22" x14ac:dyDescent="0.25">
      <c r="U308" s="211">
        <v>290</v>
      </c>
      <c r="V308" s="178">
        <v>7325512194.4843588</v>
      </c>
    </row>
    <row r="309" spans="21:22" x14ac:dyDescent="0.25">
      <c r="U309" s="211">
        <v>291</v>
      </c>
      <c r="V309" s="178">
        <v>5756137039.87006</v>
      </c>
    </row>
    <row r="310" spans="21:22" x14ac:dyDescent="0.25">
      <c r="U310" s="211">
        <v>292</v>
      </c>
      <c r="V310" s="178">
        <v>5649635613.6696281</v>
      </c>
    </row>
    <row r="311" spans="21:22" x14ac:dyDescent="0.25">
      <c r="U311" s="211">
        <v>293</v>
      </c>
      <c r="V311" s="178">
        <v>4842375251.6967583</v>
      </c>
    </row>
    <row r="312" spans="21:22" x14ac:dyDescent="0.25">
      <c r="U312" s="211">
        <v>294</v>
      </c>
      <c r="V312" s="178">
        <v>4828782238.129859</v>
      </c>
    </row>
    <row r="313" spans="21:22" x14ac:dyDescent="0.25">
      <c r="U313" s="211">
        <v>295</v>
      </c>
      <c r="V313" s="178">
        <v>6583852437.9974575</v>
      </c>
    </row>
    <row r="314" spans="21:22" x14ac:dyDescent="0.25">
      <c r="U314" s="211">
        <v>296</v>
      </c>
      <c r="V314" s="178">
        <v>6056723265.7286358</v>
      </c>
    </row>
    <row r="315" spans="21:22" x14ac:dyDescent="0.25">
      <c r="U315" s="211">
        <v>297</v>
      </c>
      <c r="V315" s="178">
        <v>4905337656.7383718</v>
      </c>
    </row>
    <row r="316" spans="21:22" x14ac:dyDescent="0.25">
      <c r="U316" s="211">
        <v>298</v>
      </c>
      <c r="V316" s="178">
        <v>5319138131.8586998</v>
      </c>
    </row>
    <row r="317" spans="21:22" x14ac:dyDescent="0.25">
      <c r="U317" s="211">
        <v>299</v>
      </c>
      <c r="V317" s="178">
        <v>6338503515.795433</v>
      </c>
    </row>
    <row r="318" spans="21:22" x14ac:dyDescent="0.25">
      <c r="U318" s="211">
        <v>300</v>
      </c>
      <c r="V318" s="178">
        <v>6578756969.4760885</v>
      </c>
    </row>
    <row r="319" spans="21:22" x14ac:dyDescent="0.25">
      <c r="U319" s="211">
        <v>301</v>
      </c>
      <c r="V319" s="178">
        <v>6968575598.5166168</v>
      </c>
    </row>
    <row r="320" spans="21:22" x14ac:dyDescent="0.25">
      <c r="U320" s="211">
        <v>302</v>
      </c>
      <c r="V320" s="178">
        <v>5392153878.7556982</v>
      </c>
    </row>
    <row r="321" spans="21:22" x14ac:dyDescent="0.25">
      <c r="U321" s="211">
        <v>303</v>
      </c>
      <c r="V321" s="178">
        <v>4005071196.782938</v>
      </c>
    </row>
    <row r="322" spans="21:22" x14ac:dyDescent="0.25">
      <c r="U322" s="211">
        <v>304</v>
      </c>
      <c r="V322" s="178">
        <v>6632124043.0882025</v>
      </c>
    </row>
    <row r="323" spans="21:22" x14ac:dyDescent="0.25">
      <c r="U323" s="211">
        <v>305</v>
      </c>
      <c r="V323" s="178">
        <v>4385491334.196413</v>
      </c>
    </row>
    <row r="324" spans="21:22" x14ac:dyDescent="0.25">
      <c r="U324" s="211">
        <v>306</v>
      </c>
      <c r="V324" s="178">
        <v>5395715903.2858696</v>
      </c>
    </row>
    <row r="325" spans="21:22" x14ac:dyDescent="0.25">
      <c r="U325" s="211">
        <v>307</v>
      </c>
      <c r="V325" s="178">
        <v>4640166546.1919384</v>
      </c>
    </row>
    <row r="326" spans="21:22" x14ac:dyDescent="0.25">
      <c r="U326" s="211">
        <v>308</v>
      </c>
      <c r="V326" s="178">
        <v>5339817918.8432426</v>
      </c>
    </row>
    <row r="327" spans="21:22" x14ac:dyDescent="0.25">
      <c r="U327" s="211">
        <v>309</v>
      </c>
      <c r="V327" s="178">
        <v>5623743489.0774221</v>
      </c>
    </row>
    <row r="328" spans="21:22" x14ac:dyDescent="0.25">
      <c r="U328" s="211">
        <v>310</v>
      </c>
      <c r="V328" s="178">
        <v>4834099010.8032799</v>
      </c>
    </row>
    <row r="329" spans="21:22" x14ac:dyDescent="0.25">
      <c r="U329" s="211">
        <v>311</v>
      </c>
      <c r="V329" s="178">
        <v>5077845240.3974533</v>
      </c>
    </row>
    <row r="330" spans="21:22" x14ac:dyDescent="0.25">
      <c r="U330" s="211">
        <v>312</v>
      </c>
      <c r="V330" s="178">
        <v>6278842307.6176634</v>
      </c>
    </row>
    <row r="331" spans="21:22" x14ac:dyDescent="0.25">
      <c r="U331" s="211">
        <v>313</v>
      </c>
      <c r="V331" s="178">
        <v>4896904279.0547562</v>
      </c>
    </row>
    <row r="332" spans="21:22" x14ac:dyDescent="0.25">
      <c r="U332" s="211">
        <v>314</v>
      </c>
      <c r="V332" s="178">
        <v>5792325968.1808453</v>
      </c>
    </row>
    <row r="333" spans="21:22" x14ac:dyDescent="0.25">
      <c r="U333" s="211">
        <v>315</v>
      </c>
      <c r="V333" s="178">
        <v>5797814582.4591942</v>
      </c>
    </row>
    <row r="334" spans="21:22" x14ac:dyDescent="0.25">
      <c r="U334" s="211">
        <v>316</v>
      </c>
      <c r="V334" s="178">
        <v>6624083294.7766819</v>
      </c>
    </row>
    <row r="335" spans="21:22" x14ac:dyDescent="0.25">
      <c r="U335" s="211">
        <v>317</v>
      </c>
      <c r="V335" s="178">
        <v>6226668104.655756</v>
      </c>
    </row>
    <row r="336" spans="21:22" x14ac:dyDescent="0.25">
      <c r="U336" s="211">
        <v>318</v>
      </c>
      <c r="V336" s="178">
        <v>6002828178.8525343</v>
      </c>
    </row>
    <row r="337" spans="21:22" x14ac:dyDescent="0.25">
      <c r="U337" s="211">
        <v>319</v>
      </c>
      <c r="V337" s="178">
        <v>4047702834.7042694</v>
      </c>
    </row>
    <row r="338" spans="21:22" x14ac:dyDescent="0.25">
      <c r="U338" s="211">
        <v>320</v>
      </c>
      <c r="V338" s="178">
        <v>5448656540.1236229</v>
      </c>
    </row>
    <row r="339" spans="21:22" x14ac:dyDescent="0.25">
      <c r="U339" s="211">
        <v>321</v>
      </c>
      <c r="V339" s="178">
        <v>4318421141.3095922</v>
      </c>
    </row>
    <row r="340" spans="21:22" x14ac:dyDescent="0.25">
      <c r="U340" s="211">
        <v>322</v>
      </c>
      <c r="V340" s="178">
        <v>7244961094.8324194</v>
      </c>
    </row>
    <row r="341" spans="21:22" x14ac:dyDescent="0.25">
      <c r="U341" s="211">
        <v>323</v>
      </c>
      <c r="V341" s="178">
        <v>4938093812.1695223</v>
      </c>
    </row>
    <row r="342" spans="21:22" x14ac:dyDescent="0.25">
      <c r="U342" s="211">
        <v>324</v>
      </c>
      <c r="V342" s="178">
        <v>4384890631.8101902</v>
      </c>
    </row>
    <row r="343" spans="21:22" x14ac:dyDescent="0.25">
      <c r="U343" s="211">
        <v>325</v>
      </c>
      <c r="V343" s="178">
        <v>6133344795.586009</v>
      </c>
    </row>
    <row r="344" spans="21:22" x14ac:dyDescent="0.25">
      <c r="U344" s="211">
        <v>326</v>
      </c>
      <c r="V344" s="178">
        <v>6657609705.3286314</v>
      </c>
    </row>
    <row r="345" spans="21:22" x14ac:dyDescent="0.25">
      <c r="U345" s="211">
        <v>327</v>
      </c>
      <c r="V345" s="178">
        <v>4509668385.8369303</v>
      </c>
    </row>
    <row r="346" spans="21:22" x14ac:dyDescent="0.25">
      <c r="U346" s="211">
        <v>328</v>
      </c>
      <c r="V346" s="178">
        <v>5604045611.8823586</v>
      </c>
    </row>
    <row r="347" spans="21:22" x14ac:dyDescent="0.25">
      <c r="U347" s="211">
        <v>329</v>
      </c>
      <c r="V347" s="178">
        <v>6683867970.2731771</v>
      </c>
    </row>
    <row r="348" spans="21:22" x14ac:dyDescent="0.25">
      <c r="U348" s="211">
        <v>330</v>
      </c>
      <c r="V348" s="178">
        <v>8120779317.2794952</v>
      </c>
    </row>
    <row r="349" spans="21:22" x14ac:dyDescent="0.25">
      <c r="U349" s="211">
        <v>331</v>
      </c>
      <c r="V349" s="178">
        <v>5934194444.7222891</v>
      </c>
    </row>
    <row r="350" spans="21:22" x14ac:dyDescent="0.25">
      <c r="U350" s="211">
        <v>332</v>
      </c>
      <c r="V350" s="178">
        <v>8337504163.7413597</v>
      </c>
    </row>
    <row r="351" spans="21:22" x14ac:dyDescent="0.25">
      <c r="U351" s="211">
        <v>333</v>
      </c>
      <c r="V351" s="178">
        <v>6686200773.9444456</v>
      </c>
    </row>
    <row r="352" spans="21:22" x14ac:dyDescent="0.25">
      <c r="U352" s="211">
        <v>334</v>
      </c>
      <c r="V352" s="178">
        <v>7476665802.6570139</v>
      </c>
    </row>
    <row r="353" spans="21:22" x14ac:dyDescent="0.25">
      <c r="U353" s="211">
        <v>335</v>
      </c>
      <c r="V353" s="178">
        <v>8236541427.2286634</v>
      </c>
    </row>
    <row r="354" spans="21:22" x14ac:dyDescent="0.25">
      <c r="U354" s="211">
        <v>336</v>
      </c>
      <c r="V354" s="178">
        <v>5059589815.1398602</v>
      </c>
    </row>
    <row r="355" spans="21:22" x14ac:dyDescent="0.25">
      <c r="U355" s="211">
        <v>337</v>
      </c>
      <c r="V355" s="178">
        <v>4144865834.5003824</v>
      </c>
    </row>
    <row r="356" spans="21:22" x14ac:dyDescent="0.25">
      <c r="U356" s="211">
        <v>338</v>
      </c>
      <c r="V356" s="178">
        <v>4512068952.5764561</v>
      </c>
    </row>
    <row r="357" spans="21:22" x14ac:dyDescent="0.25">
      <c r="U357" s="211">
        <v>339</v>
      </c>
      <c r="V357" s="178">
        <v>5071897132.5803566</v>
      </c>
    </row>
    <row r="358" spans="21:22" x14ac:dyDescent="0.25">
      <c r="U358" s="211">
        <v>340</v>
      </c>
      <c r="V358" s="178">
        <v>5801902158.3187304</v>
      </c>
    </row>
    <row r="359" spans="21:22" x14ac:dyDescent="0.25">
      <c r="U359" s="211">
        <v>341</v>
      </c>
      <c r="V359" s="178">
        <v>3586817598.4109812</v>
      </c>
    </row>
    <row r="360" spans="21:22" x14ac:dyDescent="0.25">
      <c r="U360" s="211">
        <v>342</v>
      </c>
      <c r="V360" s="178">
        <v>4408220989.8732243</v>
      </c>
    </row>
    <row r="361" spans="21:22" x14ac:dyDescent="0.25">
      <c r="U361" s="211">
        <v>343</v>
      </c>
      <c r="V361" s="178">
        <v>4204241664.386138</v>
      </c>
    </row>
    <row r="362" spans="21:22" x14ac:dyDescent="0.25">
      <c r="U362" s="211">
        <v>344</v>
      </c>
      <c r="V362" s="178">
        <v>6277780679.7440758</v>
      </c>
    </row>
    <row r="363" spans="21:22" x14ac:dyDescent="0.25">
      <c r="U363" s="211">
        <v>345</v>
      </c>
      <c r="V363" s="178">
        <v>7515610761.0557442</v>
      </c>
    </row>
    <row r="364" spans="21:22" x14ac:dyDescent="0.25">
      <c r="U364" s="211">
        <v>346</v>
      </c>
      <c r="V364" s="178">
        <v>7748104935.1561632</v>
      </c>
    </row>
    <row r="365" spans="21:22" x14ac:dyDescent="0.25">
      <c r="U365" s="211">
        <v>347</v>
      </c>
      <c r="V365" s="178">
        <v>5099685859.5892038</v>
      </c>
    </row>
    <row r="366" spans="21:22" x14ac:dyDescent="0.25">
      <c r="U366" s="211">
        <v>348</v>
      </c>
      <c r="V366" s="178">
        <v>5547501258.6277256</v>
      </c>
    </row>
    <row r="367" spans="21:22" x14ac:dyDescent="0.25">
      <c r="U367" s="211">
        <v>349</v>
      </c>
      <c r="V367" s="178">
        <v>4776343824.6359291</v>
      </c>
    </row>
    <row r="368" spans="21:22" x14ac:dyDescent="0.25">
      <c r="U368" s="211">
        <v>350</v>
      </c>
      <c r="V368" s="178">
        <v>7199834451.1818638</v>
      </c>
    </row>
    <row r="369" spans="21:22" x14ac:dyDescent="0.25">
      <c r="U369" s="211">
        <v>351</v>
      </c>
      <c r="V369" s="178">
        <v>7773296550.2181892</v>
      </c>
    </row>
    <row r="370" spans="21:22" x14ac:dyDescent="0.25">
      <c r="U370" s="211">
        <v>352</v>
      </c>
      <c r="V370" s="178">
        <v>5126147390.7979126</v>
      </c>
    </row>
    <row r="371" spans="21:22" x14ac:dyDescent="0.25">
      <c r="U371" s="211">
        <v>353</v>
      </c>
      <c r="V371" s="178">
        <v>7803708003.1772213</v>
      </c>
    </row>
    <row r="372" spans="21:22" x14ac:dyDescent="0.25">
      <c r="U372" s="211">
        <v>354</v>
      </c>
      <c r="V372" s="178">
        <v>8623095765.7933788</v>
      </c>
    </row>
    <row r="373" spans="21:22" x14ac:dyDescent="0.25">
      <c r="U373" s="211">
        <v>355</v>
      </c>
      <c r="V373" s="178">
        <v>7519186684.6804361</v>
      </c>
    </row>
    <row r="374" spans="21:22" x14ac:dyDescent="0.25">
      <c r="U374" s="211">
        <v>356</v>
      </c>
      <c r="V374" s="178">
        <v>5146403978.9352741</v>
      </c>
    </row>
    <row r="375" spans="21:22" x14ac:dyDescent="0.25">
      <c r="U375" s="211">
        <v>357</v>
      </c>
      <c r="V375" s="178">
        <v>8172347639.9863577</v>
      </c>
    </row>
    <row r="376" spans="21:22" x14ac:dyDescent="0.25">
      <c r="U376" s="211">
        <v>358</v>
      </c>
      <c r="V376" s="178">
        <v>4059513371.9388604</v>
      </c>
    </row>
    <row r="377" spans="21:22" x14ac:dyDescent="0.25">
      <c r="U377" s="211">
        <v>359</v>
      </c>
      <c r="V377" s="178">
        <v>6666200692.0464115</v>
      </c>
    </row>
    <row r="378" spans="21:22" x14ac:dyDescent="0.25">
      <c r="U378" s="211">
        <v>360</v>
      </c>
      <c r="V378" s="178">
        <v>5171540241.2314014</v>
      </c>
    </row>
    <row r="379" spans="21:22" x14ac:dyDescent="0.25">
      <c r="U379" s="211">
        <v>361</v>
      </c>
      <c r="V379" s="178">
        <v>5230679833.4938288</v>
      </c>
    </row>
    <row r="380" spans="21:22" x14ac:dyDescent="0.25">
      <c r="U380" s="211">
        <v>362</v>
      </c>
      <c r="V380" s="178">
        <v>5149874117.2534456</v>
      </c>
    </row>
    <row r="381" spans="21:22" x14ac:dyDescent="0.25">
      <c r="U381" s="211">
        <v>363</v>
      </c>
      <c r="V381" s="178">
        <v>4626532630.7941971</v>
      </c>
    </row>
    <row r="382" spans="21:22" x14ac:dyDescent="0.25">
      <c r="U382" s="211">
        <v>364</v>
      </c>
      <c r="V382" s="178">
        <v>3742973316.6128616</v>
      </c>
    </row>
    <row r="383" spans="21:22" x14ac:dyDescent="0.25">
      <c r="U383" s="211">
        <v>365</v>
      </c>
      <c r="V383" s="178">
        <v>5142268758.3647976</v>
      </c>
    </row>
    <row r="384" spans="21:22" x14ac:dyDescent="0.25">
      <c r="U384" s="211">
        <v>366</v>
      </c>
      <c r="V384" s="178">
        <v>5826265343.1582813</v>
      </c>
    </row>
    <row r="385" spans="21:22" x14ac:dyDescent="0.25">
      <c r="U385" s="211">
        <v>367</v>
      </c>
      <c r="V385" s="178">
        <v>5526808838.3165903</v>
      </c>
    </row>
    <row r="386" spans="21:22" x14ac:dyDescent="0.25">
      <c r="U386" s="211">
        <v>368</v>
      </c>
      <c r="V386" s="178">
        <v>5775477578.2706575</v>
      </c>
    </row>
    <row r="387" spans="21:22" x14ac:dyDescent="0.25">
      <c r="U387" s="211">
        <v>369</v>
      </c>
      <c r="V387" s="178">
        <v>4862211803.8762417</v>
      </c>
    </row>
    <row r="388" spans="21:22" x14ac:dyDescent="0.25">
      <c r="U388" s="211">
        <v>370</v>
      </c>
      <c r="V388" s="178">
        <v>6053286028.1103382</v>
      </c>
    </row>
    <row r="389" spans="21:22" x14ac:dyDescent="0.25">
      <c r="U389" s="211">
        <v>371</v>
      </c>
      <c r="V389" s="178">
        <v>4141816786.9618649</v>
      </c>
    </row>
    <row r="390" spans="21:22" x14ac:dyDescent="0.25">
      <c r="U390" s="211">
        <v>372</v>
      </c>
      <c r="V390" s="178">
        <v>5425412927.9451742</v>
      </c>
    </row>
    <row r="391" spans="21:22" x14ac:dyDescent="0.25">
      <c r="U391" s="211">
        <v>373</v>
      </c>
      <c r="V391" s="178">
        <v>8154753194.3724365</v>
      </c>
    </row>
    <row r="392" spans="21:22" x14ac:dyDescent="0.25">
      <c r="U392" s="211">
        <v>374</v>
      </c>
      <c r="V392" s="178">
        <v>4396699233.112175</v>
      </c>
    </row>
    <row r="393" spans="21:22" x14ac:dyDescent="0.25">
      <c r="U393" s="211">
        <v>375</v>
      </c>
      <c r="V393" s="178">
        <v>5130354160.8622913</v>
      </c>
    </row>
    <row r="394" spans="21:22" x14ac:dyDescent="0.25">
      <c r="U394" s="211">
        <v>376</v>
      </c>
      <c r="V394" s="178">
        <v>4689733384.744133</v>
      </c>
    </row>
    <row r="395" spans="21:22" x14ac:dyDescent="0.25">
      <c r="U395" s="211">
        <v>377</v>
      </c>
      <c r="V395" s="178">
        <v>4533819167.4901447</v>
      </c>
    </row>
    <row r="396" spans="21:22" x14ac:dyDescent="0.25">
      <c r="U396" s="211">
        <v>378</v>
      </c>
      <c r="V396" s="178">
        <v>4866815598.5740595</v>
      </c>
    </row>
    <row r="397" spans="21:22" x14ac:dyDescent="0.25">
      <c r="U397" s="211">
        <v>379</v>
      </c>
      <c r="V397" s="178">
        <v>6077146986.4235878</v>
      </c>
    </row>
    <row r="398" spans="21:22" x14ac:dyDescent="0.25">
      <c r="U398" s="211">
        <v>380</v>
      </c>
      <c r="V398" s="178">
        <v>4775691155.4029484</v>
      </c>
    </row>
    <row r="399" spans="21:22" x14ac:dyDescent="0.25">
      <c r="U399" s="211">
        <v>381</v>
      </c>
      <c r="V399" s="178">
        <v>7363287111.5785637</v>
      </c>
    </row>
    <row r="400" spans="21:22" x14ac:dyDescent="0.25">
      <c r="U400" s="211">
        <v>382</v>
      </c>
      <c r="V400" s="178">
        <v>5600619097.5389881</v>
      </c>
    </row>
    <row r="401" spans="21:22" x14ac:dyDescent="0.25">
      <c r="U401" s="211">
        <v>383</v>
      </c>
      <c r="V401" s="178">
        <v>5021467042.9625282</v>
      </c>
    </row>
    <row r="402" spans="21:22" x14ac:dyDescent="0.25">
      <c r="U402" s="211">
        <v>384</v>
      </c>
      <c r="V402" s="178">
        <v>4135018275.7378798</v>
      </c>
    </row>
    <row r="403" spans="21:22" x14ac:dyDescent="0.25">
      <c r="U403" s="211">
        <v>385</v>
      </c>
      <c r="V403" s="178">
        <v>3937989763.7739019</v>
      </c>
    </row>
    <row r="404" spans="21:22" x14ac:dyDescent="0.25">
      <c r="U404" s="211">
        <v>386</v>
      </c>
      <c r="V404" s="178">
        <v>4846598056.1676683</v>
      </c>
    </row>
    <row r="405" spans="21:22" x14ac:dyDescent="0.25">
      <c r="U405" s="211">
        <v>387</v>
      </c>
      <c r="V405" s="178">
        <v>4676449772.2282543</v>
      </c>
    </row>
    <row r="406" spans="21:22" x14ac:dyDescent="0.25">
      <c r="U406" s="211">
        <v>388</v>
      </c>
      <c r="V406" s="178">
        <v>4908417038.838357</v>
      </c>
    </row>
    <row r="407" spans="21:22" x14ac:dyDescent="0.25">
      <c r="U407" s="211">
        <v>389</v>
      </c>
      <c r="V407" s="178">
        <v>4645155028.0073309</v>
      </c>
    </row>
    <row r="408" spans="21:22" x14ac:dyDescent="0.25">
      <c r="U408" s="211">
        <v>390</v>
      </c>
      <c r="V408" s="178">
        <v>6681280027.3897333</v>
      </c>
    </row>
    <row r="409" spans="21:22" x14ac:dyDescent="0.25">
      <c r="U409" s="211">
        <v>391</v>
      </c>
      <c r="V409" s="178">
        <v>4004211996.0491438</v>
      </c>
    </row>
    <row r="410" spans="21:22" x14ac:dyDescent="0.25">
      <c r="U410" s="211">
        <v>392</v>
      </c>
      <c r="V410" s="178">
        <v>6248668858.6116419</v>
      </c>
    </row>
    <row r="411" spans="21:22" x14ac:dyDescent="0.25">
      <c r="U411" s="211">
        <v>393</v>
      </c>
      <c r="V411" s="178">
        <v>5322726362.6421938</v>
      </c>
    </row>
    <row r="412" spans="21:22" x14ac:dyDescent="0.25">
      <c r="U412" s="211">
        <v>394</v>
      </c>
      <c r="V412" s="178">
        <v>4675817958.3998976</v>
      </c>
    </row>
    <row r="413" spans="21:22" x14ac:dyDescent="0.25">
      <c r="U413" s="211">
        <v>395</v>
      </c>
      <c r="V413" s="178">
        <v>4275901171.4264569</v>
      </c>
    </row>
    <row r="414" spans="21:22" x14ac:dyDescent="0.25">
      <c r="U414" s="211">
        <v>396</v>
      </c>
      <c r="V414" s="178">
        <v>6807879276.0987244</v>
      </c>
    </row>
    <row r="415" spans="21:22" x14ac:dyDescent="0.25">
      <c r="U415" s="211">
        <v>397</v>
      </c>
      <c r="V415" s="178">
        <v>8442879942.9586782</v>
      </c>
    </row>
    <row r="416" spans="21:22" x14ac:dyDescent="0.25">
      <c r="U416" s="211">
        <v>398</v>
      </c>
      <c r="V416" s="178">
        <v>4070829574.7498288</v>
      </c>
    </row>
    <row r="417" spans="21:22" x14ac:dyDescent="0.25">
      <c r="U417" s="211">
        <v>399</v>
      </c>
      <c r="V417" s="178">
        <v>5634285811.1796675</v>
      </c>
    </row>
    <row r="418" spans="21:22" x14ac:dyDescent="0.25">
      <c r="U418" s="211">
        <v>400</v>
      </c>
      <c r="V418" s="178">
        <v>4119637524.2736287</v>
      </c>
    </row>
    <row r="419" spans="21:22" x14ac:dyDescent="0.25">
      <c r="U419" s="211">
        <v>401</v>
      </c>
      <c r="V419" s="178">
        <v>9026498910.9743767</v>
      </c>
    </row>
    <row r="420" spans="21:22" x14ac:dyDescent="0.25">
      <c r="U420" s="211">
        <v>402</v>
      </c>
      <c r="V420" s="178">
        <v>4683422573.487833</v>
      </c>
    </row>
    <row r="421" spans="21:22" x14ac:dyDescent="0.25">
      <c r="U421" s="211">
        <v>403</v>
      </c>
      <c r="V421" s="178">
        <v>6049791930.6760597</v>
      </c>
    </row>
    <row r="422" spans="21:22" x14ac:dyDescent="0.25">
      <c r="U422" s="211">
        <v>404</v>
      </c>
      <c r="V422" s="178">
        <v>5927456876.2564754</v>
      </c>
    </row>
    <row r="423" spans="21:22" x14ac:dyDescent="0.25">
      <c r="U423" s="211">
        <v>405</v>
      </c>
      <c r="V423" s="178">
        <v>3889306190.2164559</v>
      </c>
    </row>
    <row r="424" spans="21:22" x14ac:dyDescent="0.25">
      <c r="U424" s="211">
        <v>406</v>
      </c>
      <c r="V424" s="178">
        <v>7056372019.8487558</v>
      </c>
    </row>
    <row r="425" spans="21:22" x14ac:dyDescent="0.25">
      <c r="U425" s="211">
        <v>407</v>
      </c>
      <c r="V425" s="178">
        <v>7052824603.1107864</v>
      </c>
    </row>
    <row r="426" spans="21:22" x14ac:dyDescent="0.25">
      <c r="U426" s="211">
        <v>408</v>
      </c>
      <c r="V426" s="178">
        <v>4736810408.1435747</v>
      </c>
    </row>
    <row r="427" spans="21:22" x14ac:dyDescent="0.25">
      <c r="U427" s="211">
        <v>409</v>
      </c>
      <c r="V427" s="178">
        <v>5611242809.4490166</v>
      </c>
    </row>
    <row r="428" spans="21:22" x14ac:dyDescent="0.25">
      <c r="U428" s="211">
        <v>410</v>
      </c>
      <c r="V428" s="178">
        <v>7041750294.3256378</v>
      </c>
    </row>
    <row r="429" spans="21:22" x14ac:dyDescent="0.25">
      <c r="U429" s="211">
        <v>411</v>
      </c>
      <c r="V429" s="178">
        <v>8475936289.9865398</v>
      </c>
    </row>
    <row r="430" spans="21:22" x14ac:dyDescent="0.25">
      <c r="U430" s="211">
        <v>412</v>
      </c>
      <c r="V430" s="178">
        <v>4092478474.7510228</v>
      </c>
    </row>
    <row r="431" spans="21:22" x14ac:dyDescent="0.25">
      <c r="U431" s="211">
        <v>413</v>
      </c>
      <c r="V431" s="178">
        <v>4018958015.5956221</v>
      </c>
    </row>
    <row r="432" spans="21:22" x14ac:dyDescent="0.25">
      <c r="U432" s="211">
        <v>414</v>
      </c>
      <c r="V432" s="178">
        <v>4866801162.6214561</v>
      </c>
    </row>
    <row r="433" spans="21:22" x14ac:dyDescent="0.25">
      <c r="U433" s="211">
        <v>415</v>
      </c>
      <c r="V433" s="178">
        <v>7731063439.7285128</v>
      </c>
    </row>
    <row r="434" spans="21:22" x14ac:dyDescent="0.25">
      <c r="U434" s="211">
        <v>416</v>
      </c>
      <c r="V434" s="178">
        <v>3349875640.0674844</v>
      </c>
    </row>
    <row r="435" spans="21:22" x14ac:dyDescent="0.25">
      <c r="U435" s="211">
        <v>417</v>
      </c>
      <c r="V435" s="178">
        <v>4993129978.2932816</v>
      </c>
    </row>
    <row r="436" spans="21:22" x14ac:dyDescent="0.25">
      <c r="U436" s="211">
        <v>418</v>
      </c>
      <c r="V436" s="178">
        <v>4961886965.1570225</v>
      </c>
    </row>
    <row r="437" spans="21:22" x14ac:dyDescent="0.25">
      <c r="U437" s="211">
        <v>419</v>
      </c>
      <c r="V437" s="178">
        <v>6630986755.5727215</v>
      </c>
    </row>
    <row r="438" spans="21:22" x14ac:dyDescent="0.25">
      <c r="U438" s="211">
        <v>420</v>
      </c>
      <c r="V438" s="178">
        <v>4981703706.2763805</v>
      </c>
    </row>
    <row r="439" spans="21:22" x14ac:dyDescent="0.25">
      <c r="U439" s="211">
        <v>421</v>
      </c>
      <c r="V439" s="178">
        <v>6161127913.6200714</v>
      </c>
    </row>
    <row r="440" spans="21:22" x14ac:dyDescent="0.25">
      <c r="U440" s="211">
        <v>422</v>
      </c>
      <c r="V440" s="178">
        <v>7893805514.7483244</v>
      </c>
    </row>
    <row r="441" spans="21:22" x14ac:dyDescent="0.25">
      <c r="U441" s="211">
        <v>423</v>
      </c>
      <c r="V441" s="178">
        <v>6815435228.9591103</v>
      </c>
    </row>
    <row r="442" spans="21:22" x14ac:dyDescent="0.25">
      <c r="U442" s="211">
        <v>424</v>
      </c>
      <c r="V442" s="178">
        <v>5603877739.9913788</v>
      </c>
    </row>
    <row r="443" spans="21:22" x14ac:dyDescent="0.25">
      <c r="U443" s="211">
        <v>425</v>
      </c>
      <c r="V443" s="178">
        <v>6610061149.0757227</v>
      </c>
    </row>
    <row r="444" spans="21:22" x14ac:dyDescent="0.25">
      <c r="U444" s="211">
        <v>426</v>
      </c>
      <c r="V444" s="178">
        <v>4463987425.379631</v>
      </c>
    </row>
    <row r="445" spans="21:22" x14ac:dyDescent="0.25">
      <c r="U445" s="211">
        <v>427</v>
      </c>
      <c r="V445" s="178">
        <v>5626226728.3197794</v>
      </c>
    </row>
    <row r="446" spans="21:22" x14ac:dyDescent="0.25">
      <c r="U446" s="211">
        <v>428</v>
      </c>
      <c r="V446" s="178">
        <v>4065452479.5803323</v>
      </c>
    </row>
    <row r="447" spans="21:22" x14ac:dyDescent="0.25">
      <c r="U447" s="211">
        <v>429</v>
      </c>
      <c r="V447" s="178">
        <v>4006974884.4369674</v>
      </c>
    </row>
    <row r="448" spans="21:22" x14ac:dyDescent="0.25">
      <c r="U448" s="211">
        <v>430</v>
      </c>
      <c r="V448" s="178">
        <v>6863730325.0721931</v>
      </c>
    </row>
    <row r="449" spans="21:22" x14ac:dyDescent="0.25">
      <c r="U449" s="211">
        <v>431</v>
      </c>
      <c r="V449" s="178">
        <v>5920712260.1346073</v>
      </c>
    </row>
    <row r="450" spans="21:22" x14ac:dyDescent="0.25">
      <c r="U450" s="211">
        <v>432</v>
      </c>
      <c r="V450" s="178">
        <v>5836352571.4540663</v>
      </c>
    </row>
    <row r="451" spans="21:22" x14ac:dyDescent="0.25">
      <c r="U451" s="211">
        <v>433</v>
      </c>
      <c r="V451" s="178">
        <v>3868164417.3016171</v>
      </c>
    </row>
    <row r="452" spans="21:22" x14ac:dyDescent="0.25">
      <c r="U452" s="211">
        <v>434</v>
      </c>
      <c r="V452" s="178">
        <v>6867258311.5490608</v>
      </c>
    </row>
    <row r="453" spans="21:22" x14ac:dyDescent="0.25">
      <c r="U453" s="211">
        <v>435</v>
      </c>
      <c r="V453" s="178">
        <v>5203352796.6772499</v>
      </c>
    </row>
    <row r="454" spans="21:22" x14ac:dyDescent="0.25">
      <c r="U454" s="211">
        <v>436</v>
      </c>
      <c r="V454" s="178">
        <v>5586972862.8651772</v>
      </c>
    </row>
    <row r="455" spans="21:22" x14ac:dyDescent="0.25">
      <c r="U455" s="211">
        <v>437</v>
      </c>
      <c r="V455" s="178">
        <v>4383186188.9116783</v>
      </c>
    </row>
    <row r="456" spans="21:22" x14ac:dyDescent="0.25">
      <c r="U456" s="211">
        <v>438</v>
      </c>
      <c r="V456" s="178">
        <v>4366126571.8382225</v>
      </c>
    </row>
    <row r="457" spans="21:22" x14ac:dyDescent="0.25">
      <c r="U457" s="211">
        <v>439</v>
      </c>
      <c r="V457" s="178">
        <v>4799879046.9905758</v>
      </c>
    </row>
    <row r="458" spans="21:22" x14ac:dyDescent="0.25">
      <c r="U458" s="211">
        <v>440</v>
      </c>
      <c r="V458" s="178">
        <v>3627164648.3626919</v>
      </c>
    </row>
    <row r="459" spans="21:22" x14ac:dyDescent="0.25">
      <c r="U459" s="211">
        <v>441</v>
      </c>
      <c r="V459" s="178">
        <v>7774820204.5787544</v>
      </c>
    </row>
    <row r="460" spans="21:22" x14ac:dyDescent="0.25">
      <c r="U460" s="211">
        <v>442</v>
      </c>
      <c r="V460" s="178">
        <v>5346772980.6998911</v>
      </c>
    </row>
    <row r="461" spans="21:22" x14ac:dyDescent="0.25">
      <c r="U461" s="211">
        <v>443</v>
      </c>
      <c r="V461" s="178">
        <v>4388088533.3435507</v>
      </c>
    </row>
    <row r="462" spans="21:22" x14ac:dyDescent="0.25">
      <c r="U462" s="211">
        <v>444</v>
      </c>
      <c r="V462" s="178">
        <v>6956283294.1852283</v>
      </c>
    </row>
    <row r="463" spans="21:22" x14ac:dyDescent="0.25">
      <c r="U463" s="211">
        <v>445</v>
      </c>
      <c r="V463" s="178">
        <v>8451166971.9488344</v>
      </c>
    </row>
    <row r="464" spans="21:22" x14ac:dyDescent="0.25">
      <c r="U464" s="211">
        <v>446</v>
      </c>
      <c r="V464" s="178">
        <v>4538057098.2058296</v>
      </c>
    </row>
    <row r="465" spans="21:22" x14ac:dyDescent="0.25">
      <c r="U465" s="211">
        <v>447</v>
      </c>
      <c r="V465" s="178">
        <v>6133210226.6769505</v>
      </c>
    </row>
    <row r="466" spans="21:22" x14ac:dyDescent="0.25">
      <c r="U466" s="211">
        <v>448</v>
      </c>
      <c r="V466" s="178">
        <v>6328462906.555768</v>
      </c>
    </row>
    <row r="467" spans="21:22" x14ac:dyDescent="0.25">
      <c r="U467" s="211">
        <v>449</v>
      </c>
      <c r="V467" s="178">
        <v>6555582739.3092356</v>
      </c>
    </row>
    <row r="468" spans="21:22" x14ac:dyDescent="0.25">
      <c r="U468" s="211">
        <v>450</v>
      </c>
      <c r="V468" s="178">
        <v>4344876013.7493086</v>
      </c>
    </row>
    <row r="469" spans="21:22" x14ac:dyDescent="0.25">
      <c r="U469" s="211">
        <v>451</v>
      </c>
      <c r="V469" s="178">
        <v>4824096395.8228693</v>
      </c>
    </row>
    <row r="470" spans="21:22" x14ac:dyDescent="0.25">
      <c r="U470" s="211">
        <v>452</v>
      </c>
      <c r="V470" s="178">
        <v>5808683280.2551098</v>
      </c>
    </row>
    <row r="471" spans="21:22" x14ac:dyDescent="0.25">
      <c r="U471" s="211">
        <v>453</v>
      </c>
      <c r="V471" s="178">
        <v>5544593712.9107971</v>
      </c>
    </row>
    <row r="472" spans="21:22" x14ac:dyDescent="0.25">
      <c r="U472" s="211">
        <v>454</v>
      </c>
      <c r="V472" s="178">
        <v>5650411547.312088</v>
      </c>
    </row>
    <row r="473" spans="21:22" x14ac:dyDescent="0.25">
      <c r="U473" s="211">
        <v>455</v>
      </c>
      <c r="V473" s="178">
        <v>6564386984.6976995</v>
      </c>
    </row>
    <row r="474" spans="21:22" x14ac:dyDescent="0.25">
      <c r="U474" s="211">
        <v>456</v>
      </c>
      <c r="V474" s="178">
        <v>5958758163.0438633</v>
      </c>
    </row>
    <row r="475" spans="21:22" x14ac:dyDescent="0.25">
      <c r="U475" s="211">
        <v>457</v>
      </c>
      <c r="V475" s="178">
        <v>5338791447.5643711</v>
      </c>
    </row>
    <row r="476" spans="21:22" x14ac:dyDescent="0.25">
      <c r="U476" s="211">
        <v>458</v>
      </c>
      <c r="V476" s="178">
        <v>3783520444.7874923</v>
      </c>
    </row>
    <row r="477" spans="21:22" x14ac:dyDescent="0.25">
      <c r="U477" s="211">
        <v>459</v>
      </c>
      <c r="V477" s="178">
        <v>3556306997.2741394</v>
      </c>
    </row>
    <row r="478" spans="21:22" x14ac:dyDescent="0.25">
      <c r="U478" s="211">
        <v>460</v>
      </c>
      <c r="V478" s="178">
        <v>5782154900.4595633</v>
      </c>
    </row>
    <row r="479" spans="21:22" x14ac:dyDescent="0.25">
      <c r="U479" s="211">
        <v>461</v>
      </c>
      <c r="V479" s="178">
        <v>6048867968.7041254</v>
      </c>
    </row>
    <row r="480" spans="21:22" x14ac:dyDescent="0.25">
      <c r="U480" s="211">
        <v>462</v>
      </c>
      <c r="V480" s="178">
        <v>5326112098.3131857</v>
      </c>
    </row>
    <row r="481" spans="21:22" x14ac:dyDescent="0.25">
      <c r="U481" s="211">
        <v>463</v>
      </c>
      <c r="V481" s="178">
        <v>6140876503.9080372</v>
      </c>
    </row>
    <row r="482" spans="21:22" x14ac:dyDescent="0.25">
      <c r="U482" s="211">
        <v>464</v>
      </c>
      <c r="V482" s="178">
        <v>4795679019.49788</v>
      </c>
    </row>
    <row r="483" spans="21:22" x14ac:dyDescent="0.25">
      <c r="U483" s="211">
        <v>465</v>
      </c>
      <c r="V483" s="178">
        <v>5806914118.9535131</v>
      </c>
    </row>
    <row r="484" spans="21:22" x14ac:dyDescent="0.25">
      <c r="U484" s="211">
        <v>466</v>
      </c>
      <c r="V484" s="178">
        <v>6967033528.2343416</v>
      </c>
    </row>
    <row r="485" spans="21:22" x14ac:dyDescent="0.25">
      <c r="U485" s="211">
        <v>467</v>
      </c>
      <c r="V485" s="178">
        <v>5567098044.1668491</v>
      </c>
    </row>
    <row r="486" spans="21:22" x14ac:dyDescent="0.25">
      <c r="U486" s="211">
        <v>468</v>
      </c>
      <c r="V486" s="178">
        <v>3078353895.8572178</v>
      </c>
    </row>
    <row r="487" spans="21:22" x14ac:dyDescent="0.25">
      <c r="U487" s="211">
        <v>469</v>
      </c>
      <c r="V487" s="178">
        <v>5893897644.628171</v>
      </c>
    </row>
    <row r="488" spans="21:22" x14ac:dyDescent="0.25">
      <c r="U488" s="211">
        <v>470</v>
      </c>
      <c r="V488" s="178">
        <v>5091644142.3061762</v>
      </c>
    </row>
    <row r="489" spans="21:22" x14ac:dyDescent="0.25">
      <c r="U489" s="211">
        <v>471</v>
      </c>
      <c r="V489" s="178">
        <v>5145489203.4107809</v>
      </c>
    </row>
    <row r="490" spans="21:22" x14ac:dyDescent="0.25">
      <c r="U490" s="211">
        <v>472</v>
      </c>
      <c r="V490" s="178">
        <v>5931942780.4122887</v>
      </c>
    </row>
    <row r="491" spans="21:22" x14ac:dyDescent="0.25">
      <c r="U491" s="211">
        <v>473</v>
      </c>
      <c r="V491" s="178">
        <v>3956654226.7492352</v>
      </c>
    </row>
    <row r="492" spans="21:22" x14ac:dyDescent="0.25">
      <c r="U492" s="211">
        <v>474</v>
      </c>
      <c r="V492" s="178">
        <v>5427505103.2800665</v>
      </c>
    </row>
    <row r="493" spans="21:22" x14ac:dyDescent="0.25">
      <c r="U493" s="211">
        <v>475</v>
      </c>
      <c r="V493" s="178">
        <v>7276673701.1628628</v>
      </c>
    </row>
    <row r="494" spans="21:22" x14ac:dyDescent="0.25">
      <c r="U494" s="211">
        <v>476</v>
      </c>
      <c r="V494" s="178">
        <v>5084760454.3527727</v>
      </c>
    </row>
    <row r="495" spans="21:22" x14ac:dyDescent="0.25">
      <c r="U495" s="211">
        <v>477</v>
      </c>
      <c r="V495" s="178">
        <v>4650330148.3668394</v>
      </c>
    </row>
    <row r="496" spans="21:22" x14ac:dyDescent="0.25">
      <c r="U496" s="211">
        <v>478</v>
      </c>
      <c r="V496" s="178">
        <v>7016575340.4637785</v>
      </c>
    </row>
    <row r="497" spans="21:22" x14ac:dyDescent="0.25">
      <c r="U497" s="211">
        <v>479</v>
      </c>
      <c r="V497" s="178">
        <v>6318105591.9268827</v>
      </c>
    </row>
    <row r="498" spans="21:22" x14ac:dyDescent="0.25">
      <c r="U498" s="211">
        <v>480</v>
      </c>
      <c r="V498" s="178">
        <v>6168837324.3987656</v>
      </c>
    </row>
    <row r="499" spans="21:22" x14ac:dyDescent="0.25">
      <c r="U499" s="211">
        <v>481</v>
      </c>
      <c r="V499" s="178">
        <v>5095052830.7810621</v>
      </c>
    </row>
    <row r="500" spans="21:22" x14ac:dyDescent="0.25">
      <c r="U500" s="211">
        <v>482</v>
      </c>
      <c r="V500" s="178">
        <v>6694136051.110323</v>
      </c>
    </row>
    <row r="501" spans="21:22" x14ac:dyDescent="0.25">
      <c r="U501" s="211">
        <v>483</v>
      </c>
      <c r="V501" s="178">
        <v>3560349804.0284863</v>
      </c>
    </row>
    <row r="502" spans="21:22" x14ac:dyDescent="0.25">
      <c r="U502" s="211">
        <v>484</v>
      </c>
      <c r="V502" s="178">
        <v>4741615762.090023</v>
      </c>
    </row>
    <row r="503" spans="21:22" x14ac:dyDescent="0.25">
      <c r="U503" s="211">
        <v>485</v>
      </c>
      <c r="V503" s="178">
        <v>6171769144.7514467</v>
      </c>
    </row>
    <row r="504" spans="21:22" x14ac:dyDescent="0.25">
      <c r="U504" s="211">
        <v>486</v>
      </c>
      <c r="V504" s="178">
        <v>5652086617.9955769</v>
      </c>
    </row>
    <row r="505" spans="21:22" x14ac:dyDescent="0.25">
      <c r="U505" s="211">
        <v>487</v>
      </c>
      <c r="V505" s="178">
        <v>5478763937.5391855</v>
      </c>
    </row>
    <row r="506" spans="21:22" x14ac:dyDescent="0.25">
      <c r="U506" s="211">
        <v>488</v>
      </c>
      <c r="V506" s="178">
        <v>5809838052.8737698</v>
      </c>
    </row>
    <row r="507" spans="21:22" x14ac:dyDescent="0.25">
      <c r="U507" s="211">
        <v>489</v>
      </c>
      <c r="V507" s="178">
        <v>5004694445.649147</v>
      </c>
    </row>
    <row r="508" spans="21:22" x14ac:dyDescent="0.25">
      <c r="U508" s="211">
        <v>490</v>
      </c>
      <c r="V508" s="178">
        <v>6703237987.8230257</v>
      </c>
    </row>
    <row r="509" spans="21:22" x14ac:dyDescent="0.25">
      <c r="U509" s="211">
        <v>491</v>
      </c>
      <c r="V509" s="178">
        <v>5705057787.4868183</v>
      </c>
    </row>
    <row r="510" spans="21:22" x14ac:dyDescent="0.25">
      <c r="U510" s="211">
        <v>492</v>
      </c>
      <c r="V510" s="178">
        <v>5777080956.8755436</v>
      </c>
    </row>
    <row r="511" spans="21:22" x14ac:dyDescent="0.25">
      <c r="U511" s="211">
        <v>493</v>
      </c>
      <c r="V511" s="178">
        <v>5460933042.0466032</v>
      </c>
    </row>
    <row r="512" spans="21:22" x14ac:dyDescent="0.25">
      <c r="U512" s="211">
        <v>494</v>
      </c>
      <c r="V512" s="178">
        <v>5014812499.22855</v>
      </c>
    </row>
    <row r="513" spans="21:22" x14ac:dyDescent="0.25">
      <c r="U513" s="211">
        <v>495</v>
      </c>
      <c r="V513" s="178">
        <v>6147595763.2110386</v>
      </c>
    </row>
    <row r="514" spans="21:22" x14ac:dyDescent="0.25">
      <c r="U514" s="211">
        <v>496</v>
      </c>
      <c r="V514" s="178">
        <v>8549548639.9417305</v>
      </c>
    </row>
    <row r="515" spans="21:22" x14ac:dyDescent="0.25">
      <c r="U515" s="211">
        <v>497</v>
      </c>
      <c r="V515" s="178">
        <v>6337442436.062891</v>
      </c>
    </row>
    <row r="516" spans="21:22" x14ac:dyDescent="0.25">
      <c r="U516" s="211">
        <v>498</v>
      </c>
      <c r="V516" s="178">
        <v>6097104540.5984221</v>
      </c>
    </row>
    <row r="517" spans="21:22" x14ac:dyDescent="0.25">
      <c r="U517" s="211">
        <v>499</v>
      </c>
      <c r="V517" s="178">
        <v>4058633739.9463744</v>
      </c>
    </row>
    <row r="518" spans="21:22" x14ac:dyDescent="0.25">
      <c r="U518" s="211">
        <v>500</v>
      </c>
      <c r="V518" s="178">
        <v>5366445623.5491505</v>
      </c>
    </row>
    <row r="519" spans="21:22" x14ac:dyDescent="0.25">
      <c r="U519" s="211">
        <v>501</v>
      </c>
      <c r="V519" s="178">
        <v>6300664690.1888437</v>
      </c>
    </row>
    <row r="520" spans="21:22" x14ac:dyDescent="0.25">
      <c r="U520" s="211">
        <v>502</v>
      </c>
      <c r="V520" s="178">
        <v>5945735195.4771729</v>
      </c>
    </row>
    <row r="521" spans="21:22" x14ac:dyDescent="0.25">
      <c r="U521" s="211">
        <v>503</v>
      </c>
      <c r="V521" s="178">
        <v>6606146916.3613634</v>
      </c>
    </row>
    <row r="522" spans="21:22" x14ac:dyDescent="0.25">
      <c r="U522" s="211">
        <v>504</v>
      </c>
      <c r="V522" s="178">
        <v>4716578952.6281328</v>
      </c>
    </row>
    <row r="523" spans="21:22" x14ac:dyDescent="0.25">
      <c r="U523" s="211">
        <v>505</v>
      </c>
      <c r="V523" s="178">
        <v>6533176913.7281704</v>
      </c>
    </row>
    <row r="524" spans="21:22" x14ac:dyDescent="0.25">
      <c r="U524" s="211">
        <v>506</v>
      </c>
      <c r="V524" s="178">
        <v>3955369312.2049584</v>
      </c>
    </row>
    <row r="525" spans="21:22" x14ac:dyDescent="0.25">
      <c r="U525" s="211">
        <v>507</v>
      </c>
      <c r="V525" s="178">
        <v>5121846731.7780981</v>
      </c>
    </row>
    <row r="526" spans="21:22" x14ac:dyDescent="0.25">
      <c r="U526" s="211">
        <v>508</v>
      </c>
      <c r="V526" s="178">
        <v>5009091796.9725122</v>
      </c>
    </row>
    <row r="527" spans="21:22" x14ac:dyDescent="0.25">
      <c r="U527" s="211">
        <v>509</v>
      </c>
      <c r="V527" s="178">
        <v>5244057064.9183731</v>
      </c>
    </row>
    <row r="528" spans="21:22" x14ac:dyDescent="0.25">
      <c r="U528" s="211">
        <v>510</v>
      </c>
      <c r="V528" s="178">
        <v>3656224386.899682</v>
      </c>
    </row>
    <row r="529" spans="21:22" x14ac:dyDescent="0.25">
      <c r="U529" s="211">
        <v>511</v>
      </c>
      <c r="V529" s="178">
        <v>5751351818.037344</v>
      </c>
    </row>
    <row r="530" spans="21:22" x14ac:dyDescent="0.25">
      <c r="U530" s="211">
        <v>512</v>
      </c>
      <c r="V530" s="178">
        <v>5716633636.2490807</v>
      </c>
    </row>
    <row r="531" spans="21:22" x14ac:dyDescent="0.25">
      <c r="U531" s="211">
        <v>513</v>
      </c>
      <c r="V531" s="178">
        <v>6587601737.0026169</v>
      </c>
    </row>
    <row r="532" spans="21:22" x14ac:dyDescent="0.25">
      <c r="U532" s="211">
        <v>514</v>
      </c>
      <c r="V532" s="178">
        <v>7234552584.8722286</v>
      </c>
    </row>
    <row r="533" spans="21:22" x14ac:dyDescent="0.25">
      <c r="U533" s="211">
        <v>515</v>
      </c>
      <c r="V533" s="178">
        <v>6426795444.1222515</v>
      </c>
    </row>
    <row r="534" spans="21:22" x14ac:dyDescent="0.25">
      <c r="U534" s="211">
        <v>516</v>
      </c>
      <c r="V534" s="178">
        <v>7428909788.0401278</v>
      </c>
    </row>
    <row r="535" spans="21:22" x14ac:dyDescent="0.25">
      <c r="U535" s="211">
        <v>517</v>
      </c>
      <c r="V535" s="178">
        <v>6829253260.0122089</v>
      </c>
    </row>
    <row r="536" spans="21:22" x14ac:dyDescent="0.25">
      <c r="U536" s="211">
        <v>518</v>
      </c>
      <c r="V536" s="178">
        <v>5502324512.2668467</v>
      </c>
    </row>
    <row r="537" spans="21:22" x14ac:dyDescent="0.25">
      <c r="U537" s="211">
        <v>519</v>
      </c>
      <c r="V537" s="178">
        <v>4713986934.1699276</v>
      </c>
    </row>
    <row r="538" spans="21:22" x14ac:dyDescent="0.25">
      <c r="U538" s="211">
        <v>520</v>
      </c>
      <c r="V538" s="178">
        <v>6578460840.1622229</v>
      </c>
    </row>
    <row r="539" spans="21:22" x14ac:dyDescent="0.25">
      <c r="U539" s="211">
        <v>521</v>
      </c>
      <c r="V539" s="178">
        <v>3400847296.7011151</v>
      </c>
    </row>
    <row r="540" spans="21:22" x14ac:dyDescent="0.25">
      <c r="U540" s="211">
        <v>522</v>
      </c>
      <c r="V540" s="178">
        <v>3812969996.9552588</v>
      </c>
    </row>
    <row r="541" spans="21:22" x14ac:dyDescent="0.25">
      <c r="U541" s="211">
        <v>523</v>
      </c>
      <c r="V541" s="178">
        <v>6706870694.3728151</v>
      </c>
    </row>
    <row r="542" spans="21:22" x14ac:dyDescent="0.25">
      <c r="U542" s="211">
        <v>524</v>
      </c>
      <c r="V542" s="178">
        <v>10683035749.412233</v>
      </c>
    </row>
    <row r="543" spans="21:22" x14ac:dyDescent="0.25">
      <c r="U543" s="211">
        <v>525</v>
      </c>
      <c r="V543" s="178">
        <v>5833130883.1908741</v>
      </c>
    </row>
    <row r="544" spans="21:22" x14ac:dyDescent="0.25">
      <c r="U544" s="211">
        <v>526</v>
      </c>
      <c r="V544" s="178">
        <v>6362484949.828558</v>
      </c>
    </row>
    <row r="545" spans="21:22" x14ac:dyDescent="0.25">
      <c r="U545" s="211">
        <v>527</v>
      </c>
      <c r="V545" s="178">
        <v>9001157406.5558434</v>
      </c>
    </row>
    <row r="546" spans="21:22" x14ac:dyDescent="0.25">
      <c r="U546" s="211">
        <v>528</v>
      </c>
      <c r="V546" s="178">
        <v>4752326188.0827131</v>
      </c>
    </row>
    <row r="547" spans="21:22" x14ac:dyDescent="0.25">
      <c r="U547" s="211">
        <v>529</v>
      </c>
      <c r="V547" s="178">
        <v>3712473026.1762629</v>
      </c>
    </row>
    <row r="548" spans="21:22" x14ac:dyDescent="0.25">
      <c r="U548" s="211">
        <v>530</v>
      </c>
      <c r="V548" s="178">
        <v>4143139034.1597228</v>
      </c>
    </row>
    <row r="549" spans="21:22" x14ac:dyDescent="0.25">
      <c r="U549" s="211">
        <v>531</v>
      </c>
      <c r="V549" s="178">
        <v>7472936156.2183237</v>
      </c>
    </row>
    <row r="550" spans="21:22" x14ac:dyDescent="0.25">
      <c r="U550" s="211">
        <v>532</v>
      </c>
      <c r="V550" s="178">
        <v>6008524515.2574644</v>
      </c>
    </row>
    <row r="551" spans="21:22" x14ac:dyDescent="0.25">
      <c r="U551" s="211">
        <v>533</v>
      </c>
      <c r="V551" s="178">
        <v>6624295560.1910543</v>
      </c>
    </row>
    <row r="552" spans="21:22" x14ac:dyDescent="0.25">
      <c r="U552" s="211">
        <v>534</v>
      </c>
      <c r="V552" s="178">
        <v>5277995760.3025761</v>
      </c>
    </row>
    <row r="553" spans="21:22" x14ac:dyDescent="0.25">
      <c r="U553" s="211">
        <v>535</v>
      </c>
      <c r="V553" s="178">
        <v>7626475378.3648615</v>
      </c>
    </row>
    <row r="554" spans="21:22" x14ac:dyDescent="0.25">
      <c r="U554" s="211">
        <v>536</v>
      </c>
      <c r="V554" s="178">
        <v>6448692366.8684597</v>
      </c>
    </row>
    <row r="555" spans="21:22" x14ac:dyDescent="0.25">
      <c r="U555" s="211">
        <v>537</v>
      </c>
      <c r="V555" s="178">
        <v>5794366869.3308544</v>
      </c>
    </row>
    <row r="556" spans="21:22" x14ac:dyDescent="0.25">
      <c r="U556" s="211">
        <v>538</v>
      </c>
      <c r="V556" s="178">
        <v>4460287016.1667356</v>
      </c>
    </row>
    <row r="557" spans="21:22" x14ac:dyDescent="0.25">
      <c r="U557" s="211">
        <v>539</v>
      </c>
      <c r="V557" s="178">
        <v>5240301295.5808487</v>
      </c>
    </row>
    <row r="558" spans="21:22" x14ac:dyDescent="0.25">
      <c r="U558" s="211">
        <v>540</v>
      </c>
      <c r="V558" s="178">
        <v>8771232346.5116005</v>
      </c>
    </row>
    <row r="559" spans="21:22" x14ac:dyDescent="0.25">
      <c r="U559" s="211">
        <v>541</v>
      </c>
      <c r="V559" s="178">
        <v>5795822599.9236946</v>
      </c>
    </row>
    <row r="560" spans="21:22" x14ac:dyDescent="0.25">
      <c r="U560" s="211">
        <v>542</v>
      </c>
      <c r="V560" s="178">
        <v>3899926112.6491814</v>
      </c>
    </row>
    <row r="561" spans="21:22" x14ac:dyDescent="0.25">
      <c r="U561" s="211">
        <v>543</v>
      </c>
      <c r="V561" s="178">
        <v>6728341486.4740171</v>
      </c>
    </row>
    <row r="562" spans="21:22" x14ac:dyDescent="0.25">
      <c r="U562" s="211">
        <v>544</v>
      </c>
      <c r="V562" s="178">
        <v>6234161325.9611645</v>
      </c>
    </row>
    <row r="563" spans="21:22" x14ac:dyDescent="0.25">
      <c r="U563" s="211">
        <v>545</v>
      </c>
      <c r="V563" s="178">
        <v>6002608235.2292929</v>
      </c>
    </row>
    <row r="564" spans="21:22" x14ac:dyDescent="0.25">
      <c r="U564" s="211">
        <v>546</v>
      </c>
      <c r="V564" s="178">
        <v>8694064704.4893379</v>
      </c>
    </row>
    <row r="565" spans="21:22" x14ac:dyDescent="0.25">
      <c r="U565" s="211">
        <v>547</v>
      </c>
      <c r="V565" s="178">
        <v>8239804308.9240551</v>
      </c>
    </row>
    <row r="566" spans="21:22" x14ac:dyDescent="0.25">
      <c r="U566" s="211">
        <v>548</v>
      </c>
      <c r="V566" s="178">
        <v>4265502388.11273</v>
      </c>
    </row>
    <row r="567" spans="21:22" x14ac:dyDescent="0.25">
      <c r="U567" s="211">
        <v>549</v>
      </c>
      <c r="V567" s="178">
        <v>5545908204.0081263</v>
      </c>
    </row>
    <row r="568" spans="21:22" x14ac:dyDescent="0.25">
      <c r="U568" s="211">
        <v>550</v>
      </c>
      <c r="V568" s="178">
        <v>4138608394.0767674</v>
      </c>
    </row>
    <row r="569" spans="21:22" x14ac:dyDescent="0.25">
      <c r="U569" s="211">
        <v>551</v>
      </c>
      <c r="V569" s="178">
        <v>4056340446.7745891</v>
      </c>
    </row>
    <row r="570" spans="21:22" x14ac:dyDescent="0.25">
      <c r="U570" s="211">
        <v>552</v>
      </c>
      <c r="V570" s="178">
        <v>6038634567.8019285</v>
      </c>
    </row>
    <row r="571" spans="21:22" x14ac:dyDescent="0.25">
      <c r="U571" s="211">
        <v>553</v>
      </c>
      <c r="V571" s="178">
        <v>6587761182.7499857</v>
      </c>
    </row>
    <row r="572" spans="21:22" x14ac:dyDescent="0.25">
      <c r="U572" s="211">
        <v>554</v>
      </c>
      <c r="V572" s="178">
        <v>5734972190.6848125</v>
      </c>
    </row>
    <row r="573" spans="21:22" x14ac:dyDescent="0.25">
      <c r="U573" s="211">
        <v>555</v>
      </c>
      <c r="V573" s="178">
        <v>6893275994.7605934</v>
      </c>
    </row>
    <row r="574" spans="21:22" x14ac:dyDescent="0.25">
      <c r="U574" s="211">
        <v>556</v>
      </c>
      <c r="V574" s="178">
        <v>6067179556.8666306</v>
      </c>
    </row>
    <row r="575" spans="21:22" x14ac:dyDescent="0.25">
      <c r="U575" s="211">
        <v>557</v>
      </c>
      <c r="V575" s="178">
        <v>4203663495.5941272</v>
      </c>
    </row>
    <row r="576" spans="21:22" x14ac:dyDescent="0.25">
      <c r="U576" s="211">
        <v>558</v>
      </c>
      <c r="V576" s="178">
        <v>5738363256.8826561</v>
      </c>
    </row>
    <row r="577" spans="21:22" x14ac:dyDescent="0.25">
      <c r="U577" s="211">
        <v>559</v>
      </c>
      <c r="V577" s="178">
        <v>4395892121.8615608</v>
      </c>
    </row>
    <row r="578" spans="21:22" x14ac:dyDescent="0.25">
      <c r="U578" s="211">
        <v>560</v>
      </c>
      <c r="V578" s="178">
        <v>4442208441.4661942</v>
      </c>
    </row>
    <row r="579" spans="21:22" x14ac:dyDescent="0.25">
      <c r="U579" s="211">
        <v>561</v>
      </c>
      <c r="V579" s="178">
        <v>3419734618.334146</v>
      </c>
    </row>
    <row r="580" spans="21:22" x14ac:dyDescent="0.25">
      <c r="U580" s="211">
        <v>562</v>
      </c>
      <c r="V580" s="178">
        <v>7195608579.7267637</v>
      </c>
    </row>
    <row r="581" spans="21:22" x14ac:dyDescent="0.25">
      <c r="U581" s="211">
        <v>563</v>
      </c>
      <c r="V581" s="178">
        <v>7509346737.2513189</v>
      </c>
    </row>
    <row r="582" spans="21:22" x14ac:dyDescent="0.25">
      <c r="U582" s="211">
        <v>564</v>
      </c>
      <c r="V582" s="178">
        <v>3893039116.4301443</v>
      </c>
    </row>
    <row r="583" spans="21:22" x14ac:dyDescent="0.25">
      <c r="U583" s="211">
        <v>565</v>
      </c>
      <c r="V583" s="178">
        <v>4203203883.0602474</v>
      </c>
    </row>
    <row r="584" spans="21:22" x14ac:dyDescent="0.25">
      <c r="U584" s="211">
        <v>566</v>
      </c>
      <c r="V584" s="178">
        <v>4841312621.5623236</v>
      </c>
    </row>
    <row r="585" spans="21:22" x14ac:dyDescent="0.25">
      <c r="U585" s="211">
        <v>567</v>
      </c>
      <c r="V585" s="178">
        <v>8369224444.7871056</v>
      </c>
    </row>
    <row r="586" spans="21:22" x14ac:dyDescent="0.25">
      <c r="U586" s="211">
        <v>568</v>
      </c>
      <c r="V586" s="178">
        <v>7159893722.35499</v>
      </c>
    </row>
    <row r="587" spans="21:22" x14ac:dyDescent="0.25">
      <c r="U587" s="211">
        <v>569</v>
      </c>
      <c r="V587" s="178">
        <v>3644353024.3112593</v>
      </c>
    </row>
    <row r="588" spans="21:22" x14ac:dyDescent="0.25">
      <c r="U588" s="211">
        <v>570</v>
      </c>
      <c r="V588" s="178">
        <v>5571453464.2081432</v>
      </c>
    </row>
    <row r="589" spans="21:22" x14ac:dyDescent="0.25">
      <c r="U589" s="211">
        <v>571</v>
      </c>
      <c r="V589" s="178">
        <v>5938996045.7507076</v>
      </c>
    </row>
    <row r="590" spans="21:22" x14ac:dyDescent="0.25">
      <c r="U590" s="211">
        <v>572</v>
      </c>
      <c r="V590" s="178">
        <v>4356549573.9382362</v>
      </c>
    </row>
    <row r="591" spans="21:22" x14ac:dyDescent="0.25">
      <c r="U591" s="211">
        <v>573</v>
      </c>
      <c r="V591" s="178">
        <v>4048478403.802206</v>
      </c>
    </row>
    <row r="592" spans="21:22" x14ac:dyDescent="0.25">
      <c r="U592" s="211">
        <v>574</v>
      </c>
      <c r="V592" s="178">
        <v>6868781107.6927204</v>
      </c>
    </row>
    <row r="593" spans="21:22" x14ac:dyDescent="0.25">
      <c r="U593" s="211">
        <v>575</v>
      </c>
      <c r="V593" s="178">
        <v>7807045674.8247328</v>
      </c>
    </row>
    <row r="594" spans="21:22" x14ac:dyDescent="0.25">
      <c r="U594" s="211">
        <v>576</v>
      </c>
      <c r="V594" s="178">
        <v>5488558989.8024998</v>
      </c>
    </row>
    <row r="595" spans="21:22" x14ac:dyDescent="0.25">
      <c r="U595" s="211">
        <v>577</v>
      </c>
      <c r="V595" s="178">
        <v>3951266910.3331175</v>
      </c>
    </row>
    <row r="596" spans="21:22" x14ac:dyDescent="0.25">
      <c r="U596" s="211">
        <v>578</v>
      </c>
      <c r="V596" s="178">
        <v>3093899624.8304491</v>
      </c>
    </row>
    <row r="597" spans="21:22" x14ac:dyDescent="0.25">
      <c r="U597" s="211">
        <v>579</v>
      </c>
      <c r="V597" s="178">
        <v>6675215630.3288193</v>
      </c>
    </row>
    <row r="598" spans="21:22" x14ac:dyDescent="0.25">
      <c r="U598" s="211">
        <v>580</v>
      </c>
      <c r="V598" s="178">
        <v>12036382633.779701</v>
      </c>
    </row>
    <row r="599" spans="21:22" x14ac:dyDescent="0.25">
      <c r="U599" s="211">
        <v>581</v>
      </c>
      <c r="V599" s="178">
        <v>6858344875.9362841</v>
      </c>
    </row>
    <row r="600" spans="21:22" x14ac:dyDescent="0.25">
      <c r="U600" s="211">
        <v>582</v>
      </c>
      <c r="V600" s="178">
        <v>6910386083.5279446</v>
      </c>
    </row>
    <row r="601" spans="21:22" x14ac:dyDescent="0.25">
      <c r="U601" s="211">
        <v>583</v>
      </c>
      <c r="V601" s="178">
        <v>6559673421.3861828</v>
      </c>
    </row>
    <row r="602" spans="21:22" x14ac:dyDescent="0.25">
      <c r="U602" s="211">
        <v>584</v>
      </c>
      <c r="V602" s="178">
        <v>8225685052.830863</v>
      </c>
    </row>
    <row r="603" spans="21:22" x14ac:dyDescent="0.25">
      <c r="U603" s="211">
        <v>585</v>
      </c>
      <c r="V603" s="178">
        <v>4378522190.5501204</v>
      </c>
    </row>
    <row r="604" spans="21:22" x14ac:dyDescent="0.25">
      <c r="U604" s="211">
        <v>586</v>
      </c>
      <c r="V604" s="178">
        <v>5378975222.7177715</v>
      </c>
    </row>
    <row r="605" spans="21:22" x14ac:dyDescent="0.25">
      <c r="U605" s="211">
        <v>587</v>
      </c>
      <c r="V605" s="178">
        <v>3519150413.7257061</v>
      </c>
    </row>
    <row r="606" spans="21:22" x14ac:dyDescent="0.25">
      <c r="U606" s="211">
        <v>588</v>
      </c>
      <c r="V606" s="178">
        <v>9199369760.0506458</v>
      </c>
    </row>
    <row r="607" spans="21:22" x14ac:dyDescent="0.25">
      <c r="U607" s="211">
        <v>589</v>
      </c>
      <c r="V607" s="178">
        <v>5156459172.2840633</v>
      </c>
    </row>
    <row r="608" spans="21:22" x14ac:dyDescent="0.25">
      <c r="U608" s="211">
        <v>590</v>
      </c>
      <c r="V608" s="178">
        <v>5639460706.4817905</v>
      </c>
    </row>
    <row r="609" spans="21:22" x14ac:dyDescent="0.25">
      <c r="U609" s="211">
        <v>591</v>
      </c>
      <c r="V609" s="178">
        <v>7347739019.7948036</v>
      </c>
    </row>
    <row r="610" spans="21:22" x14ac:dyDescent="0.25">
      <c r="U610" s="211">
        <v>592</v>
      </c>
      <c r="V610" s="178">
        <v>6405883694.1698761</v>
      </c>
    </row>
    <row r="611" spans="21:22" x14ac:dyDescent="0.25">
      <c r="U611" s="211">
        <v>593</v>
      </c>
      <c r="V611" s="178">
        <v>5787247907.9975281</v>
      </c>
    </row>
    <row r="612" spans="21:22" x14ac:dyDescent="0.25">
      <c r="U612" s="211">
        <v>594</v>
      </c>
      <c r="V612" s="178">
        <v>7016239431.6769381</v>
      </c>
    </row>
    <row r="613" spans="21:22" x14ac:dyDescent="0.25">
      <c r="U613" s="211">
        <v>595</v>
      </c>
      <c r="V613" s="178">
        <v>8032707176.7855444</v>
      </c>
    </row>
    <row r="614" spans="21:22" x14ac:dyDescent="0.25">
      <c r="U614" s="211">
        <v>596</v>
      </c>
      <c r="V614" s="178">
        <v>6288596911.1658821</v>
      </c>
    </row>
    <row r="615" spans="21:22" x14ac:dyDescent="0.25">
      <c r="U615" s="211">
        <v>597</v>
      </c>
      <c r="V615" s="178">
        <v>3588044680.2646847</v>
      </c>
    </row>
    <row r="616" spans="21:22" x14ac:dyDescent="0.25">
      <c r="U616" s="211">
        <v>598</v>
      </c>
      <c r="V616" s="178">
        <v>6827901393.7811775</v>
      </c>
    </row>
    <row r="617" spans="21:22" x14ac:dyDescent="0.25">
      <c r="U617" s="211">
        <v>599</v>
      </c>
      <c r="V617" s="178">
        <v>4515248793.0744944</v>
      </c>
    </row>
    <row r="618" spans="21:22" x14ac:dyDescent="0.25">
      <c r="U618" s="211">
        <v>600</v>
      </c>
      <c r="V618" s="178">
        <v>4841022829.8196106</v>
      </c>
    </row>
    <row r="619" spans="21:22" x14ac:dyDescent="0.25">
      <c r="U619" s="211">
        <v>601</v>
      </c>
      <c r="V619" s="178">
        <v>4074735820.0608525</v>
      </c>
    </row>
    <row r="620" spans="21:22" x14ac:dyDescent="0.25">
      <c r="U620" s="211">
        <v>602</v>
      </c>
      <c r="V620" s="178">
        <v>4612022680.0894241</v>
      </c>
    </row>
    <row r="621" spans="21:22" x14ac:dyDescent="0.25">
      <c r="U621" s="211">
        <v>603</v>
      </c>
      <c r="V621" s="178">
        <v>4821924948.2004881</v>
      </c>
    </row>
    <row r="622" spans="21:22" x14ac:dyDescent="0.25">
      <c r="U622" s="211">
        <v>604</v>
      </c>
      <c r="V622" s="178">
        <v>3722338191.5551949</v>
      </c>
    </row>
    <row r="623" spans="21:22" x14ac:dyDescent="0.25">
      <c r="U623" s="211">
        <v>605</v>
      </c>
      <c r="V623" s="178">
        <v>7893808901.6398363</v>
      </c>
    </row>
    <row r="624" spans="21:22" x14ac:dyDescent="0.25">
      <c r="U624" s="211">
        <v>606</v>
      </c>
      <c r="V624" s="178">
        <v>5511820253.2218065</v>
      </c>
    </row>
    <row r="625" spans="21:22" x14ac:dyDescent="0.25">
      <c r="U625" s="211">
        <v>607</v>
      </c>
      <c r="V625" s="178">
        <v>5508696863.2322235</v>
      </c>
    </row>
    <row r="626" spans="21:22" x14ac:dyDescent="0.25">
      <c r="U626" s="211">
        <v>608</v>
      </c>
      <c r="V626" s="178">
        <v>4675456546.7128458</v>
      </c>
    </row>
    <row r="627" spans="21:22" x14ac:dyDescent="0.25">
      <c r="U627" s="211">
        <v>609</v>
      </c>
      <c r="V627" s="178">
        <v>3474533557.9631019</v>
      </c>
    </row>
    <row r="628" spans="21:22" x14ac:dyDescent="0.25">
      <c r="U628" s="211">
        <v>610</v>
      </c>
      <c r="V628" s="178">
        <v>5401037894.5123682</v>
      </c>
    </row>
    <row r="629" spans="21:22" x14ac:dyDescent="0.25">
      <c r="U629" s="211">
        <v>611</v>
      </c>
      <c r="V629" s="178">
        <v>6185616252.8441916</v>
      </c>
    </row>
    <row r="630" spans="21:22" x14ac:dyDescent="0.25">
      <c r="U630" s="211">
        <v>612</v>
      </c>
      <c r="V630" s="178">
        <v>3596321170.7453976</v>
      </c>
    </row>
    <row r="631" spans="21:22" x14ac:dyDescent="0.25">
      <c r="U631" s="211">
        <v>613</v>
      </c>
      <c r="V631" s="178">
        <v>4676720460.9775963</v>
      </c>
    </row>
    <row r="632" spans="21:22" x14ac:dyDescent="0.25">
      <c r="U632" s="211">
        <v>614</v>
      </c>
      <c r="V632" s="178">
        <v>8300720774.2874632</v>
      </c>
    </row>
    <row r="633" spans="21:22" x14ac:dyDescent="0.25">
      <c r="U633" s="211">
        <v>615</v>
      </c>
      <c r="V633" s="178">
        <v>3060798200.1607318</v>
      </c>
    </row>
    <row r="634" spans="21:22" x14ac:dyDescent="0.25">
      <c r="U634" s="211">
        <v>616</v>
      </c>
      <c r="V634" s="178">
        <v>4259544136.355988</v>
      </c>
    </row>
    <row r="635" spans="21:22" x14ac:dyDescent="0.25">
      <c r="U635" s="211">
        <v>617</v>
      </c>
      <c r="V635" s="178">
        <v>7085139032.2662115</v>
      </c>
    </row>
    <row r="636" spans="21:22" x14ac:dyDescent="0.25">
      <c r="U636" s="211">
        <v>618</v>
      </c>
      <c r="V636" s="178">
        <v>4049558727.3404603</v>
      </c>
    </row>
    <row r="637" spans="21:22" x14ac:dyDescent="0.25">
      <c r="U637" s="211">
        <v>619</v>
      </c>
      <c r="V637" s="178">
        <v>5071490110.9977083</v>
      </c>
    </row>
    <row r="638" spans="21:22" x14ac:dyDescent="0.25">
      <c r="U638" s="211">
        <v>620</v>
      </c>
      <c r="V638" s="178">
        <v>7157436420.866641</v>
      </c>
    </row>
    <row r="639" spans="21:22" x14ac:dyDescent="0.25">
      <c r="U639" s="211">
        <v>621</v>
      </c>
      <c r="V639" s="178">
        <v>4941127197.1290321</v>
      </c>
    </row>
    <row r="640" spans="21:22" x14ac:dyDescent="0.25">
      <c r="U640" s="211">
        <v>622</v>
      </c>
      <c r="V640" s="178">
        <v>3605476257.7484493</v>
      </c>
    </row>
    <row r="641" spans="21:22" x14ac:dyDescent="0.25">
      <c r="U641" s="211">
        <v>623</v>
      </c>
      <c r="V641" s="178">
        <v>5239809233.1575823</v>
      </c>
    </row>
    <row r="642" spans="21:22" x14ac:dyDescent="0.25">
      <c r="U642" s="211">
        <v>624</v>
      </c>
      <c r="V642" s="178">
        <v>7193799172.0322018</v>
      </c>
    </row>
    <row r="643" spans="21:22" x14ac:dyDescent="0.25">
      <c r="U643" s="211">
        <v>625</v>
      </c>
      <c r="V643" s="178">
        <v>4763011103.3806505</v>
      </c>
    </row>
    <row r="644" spans="21:22" x14ac:dyDescent="0.25">
      <c r="U644" s="211">
        <v>626</v>
      </c>
      <c r="V644" s="178">
        <v>4090946413.1002135</v>
      </c>
    </row>
    <row r="645" spans="21:22" x14ac:dyDescent="0.25">
      <c r="U645" s="211">
        <v>627</v>
      </c>
      <c r="V645" s="178">
        <v>4769673138.8765278</v>
      </c>
    </row>
    <row r="646" spans="21:22" x14ac:dyDescent="0.25">
      <c r="U646" s="211">
        <v>628</v>
      </c>
      <c r="V646" s="178">
        <v>3325990147.36585</v>
      </c>
    </row>
    <row r="647" spans="21:22" x14ac:dyDescent="0.25">
      <c r="U647" s="211">
        <v>629</v>
      </c>
      <c r="V647" s="178">
        <v>4674932277.0007782</v>
      </c>
    </row>
    <row r="648" spans="21:22" x14ac:dyDescent="0.25">
      <c r="U648" s="211">
        <v>630</v>
      </c>
      <c r="V648" s="178">
        <v>6610483900.8845882</v>
      </c>
    </row>
    <row r="649" spans="21:22" x14ac:dyDescent="0.25">
      <c r="U649" s="211">
        <v>631</v>
      </c>
      <c r="V649" s="178">
        <v>4277086084.0484395</v>
      </c>
    </row>
    <row r="650" spans="21:22" x14ac:dyDescent="0.25">
      <c r="U650" s="211">
        <v>632</v>
      </c>
      <c r="V650" s="178">
        <v>4753696540.5358353</v>
      </c>
    </row>
    <row r="651" spans="21:22" x14ac:dyDescent="0.25">
      <c r="U651" s="211">
        <v>633</v>
      </c>
      <c r="V651" s="178">
        <v>7025008561.5505648</v>
      </c>
    </row>
    <row r="652" spans="21:22" x14ac:dyDescent="0.25">
      <c r="U652" s="211">
        <v>634</v>
      </c>
      <c r="V652" s="178">
        <v>5609630124.9624815</v>
      </c>
    </row>
    <row r="653" spans="21:22" x14ac:dyDescent="0.25">
      <c r="U653" s="211">
        <v>635</v>
      </c>
      <c r="V653" s="178">
        <v>5924696407.7350101</v>
      </c>
    </row>
    <row r="654" spans="21:22" x14ac:dyDescent="0.25">
      <c r="U654" s="211">
        <v>636</v>
      </c>
      <c r="V654" s="178">
        <v>3266141250.064784</v>
      </c>
    </row>
    <row r="655" spans="21:22" x14ac:dyDescent="0.25">
      <c r="U655" s="211">
        <v>637</v>
      </c>
      <c r="V655" s="178">
        <v>5035112575.0443792</v>
      </c>
    </row>
    <row r="656" spans="21:22" x14ac:dyDescent="0.25">
      <c r="U656" s="211">
        <v>638</v>
      </c>
      <c r="V656" s="178">
        <v>5236720785.8359404</v>
      </c>
    </row>
    <row r="657" spans="21:22" x14ac:dyDescent="0.25">
      <c r="U657" s="211">
        <v>639</v>
      </c>
      <c r="V657" s="178">
        <v>8200625223.1239023</v>
      </c>
    </row>
    <row r="658" spans="21:22" x14ac:dyDescent="0.25">
      <c r="U658" s="211">
        <v>640</v>
      </c>
      <c r="V658" s="178">
        <v>7307629079.5548048</v>
      </c>
    </row>
    <row r="659" spans="21:22" x14ac:dyDescent="0.25">
      <c r="U659" s="211">
        <v>641</v>
      </c>
      <c r="V659" s="178">
        <v>5156121508.8179798</v>
      </c>
    </row>
    <row r="660" spans="21:22" x14ac:dyDescent="0.25">
      <c r="U660" s="211">
        <v>642</v>
      </c>
      <c r="V660" s="178">
        <v>5495935276.3181791</v>
      </c>
    </row>
    <row r="661" spans="21:22" x14ac:dyDescent="0.25">
      <c r="U661" s="211">
        <v>643</v>
      </c>
      <c r="V661" s="178">
        <v>4437290992.9473772</v>
      </c>
    </row>
    <row r="662" spans="21:22" x14ac:dyDescent="0.25">
      <c r="U662" s="211">
        <v>644</v>
      </c>
      <c r="V662" s="178">
        <v>5435975705.2148695</v>
      </c>
    </row>
    <row r="663" spans="21:22" x14ac:dyDescent="0.25">
      <c r="U663" s="211">
        <v>645</v>
      </c>
      <c r="V663" s="178">
        <v>5488641061.7977142</v>
      </c>
    </row>
    <row r="664" spans="21:22" x14ac:dyDescent="0.25">
      <c r="U664" s="211">
        <v>646</v>
      </c>
      <c r="V664" s="178">
        <v>7984654234.7978153</v>
      </c>
    </row>
    <row r="665" spans="21:22" x14ac:dyDescent="0.25">
      <c r="U665" s="211">
        <v>647</v>
      </c>
      <c r="V665" s="178">
        <v>5057772011.8907328</v>
      </c>
    </row>
    <row r="666" spans="21:22" x14ac:dyDescent="0.25">
      <c r="U666" s="211">
        <v>648</v>
      </c>
      <c r="V666" s="178">
        <v>8364574987.9680233</v>
      </c>
    </row>
    <row r="667" spans="21:22" x14ac:dyDescent="0.25">
      <c r="U667" s="211">
        <v>649</v>
      </c>
      <c r="V667" s="178">
        <v>6216183716.064045</v>
      </c>
    </row>
    <row r="668" spans="21:22" x14ac:dyDescent="0.25">
      <c r="U668" s="211">
        <v>650</v>
      </c>
      <c r="V668" s="178">
        <v>2722926153.9700499</v>
      </c>
    </row>
    <row r="669" spans="21:22" x14ac:dyDescent="0.25">
      <c r="U669" s="211">
        <v>651</v>
      </c>
      <c r="V669" s="178">
        <v>4616046897.6165705</v>
      </c>
    </row>
    <row r="670" spans="21:22" x14ac:dyDescent="0.25">
      <c r="U670" s="211">
        <v>652</v>
      </c>
      <c r="V670" s="178">
        <v>4657867481.909462</v>
      </c>
    </row>
    <row r="671" spans="21:22" x14ac:dyDescent="0.25">
      <c r="U671" s="211">
        <v>653</v>
      </c>
      <c r="V671" s="178">
        <v>13469495289.319101</v>
      </c>
    </row>
    <row r="672" spans="21:22" x14ac:dyDescent="0.25">
      <c r="U672" s="211">
        <v>654</v>
      </c>
      <c r="V672" s="178">
        <v>5700429590.1819792</v>
      </c>
    </row>
    <row r="673" spans="21:22" x14ac:dyDescent="0.25">
      <c r="U673" s="211">
        <v>655</v>
      </c>
      <c r="V673" s="178">
        <v>6474407764.0897636</v>
      </c>
    </row>
    <row r="674" spans="21:22" x14ac:dyDescent="0.25">
      <c r="U674" s="211">
        <v>656</v>
      </c>
      <c r="V674" s="178">
        <v>6265002800.9746494</v>
      </c>
    </row>
    <row r="675" spans="21:22" x14ac:dyDescent="0.25">
      <c r="U675" s="211">
        <v>657</v>
      </c>
      <c r="V675" s="178">
        <v>3550914322.1711164</v>
      </c>
    </row>
    <row r="676" spans="21:22" x14ac:dyDescent="0.25">
      <c r="U676" s="211">
        <v>658</v>
      </c>
      <c r="V676" s="178">
        <v>5390992904.8002062</v>
      </c>
    </row>
    <row r="677" spans="21:22" x14ac:dyDescent="0.25">
      <c r="U677" s="211">
        <v>659</v>
      </c>
      <c r="V677" s="178">
        <v>7132142335.7533932</v>
      </c>
    </row>
    <row r="678" spans="21:22" x14ac:dyDescent="0.25">
      <c r="U678" s="211">
        <v>660</v>
      </c>
      <c r="V678" s="178">
        <v>5811599111.146225</v>
      </c>
    </row>
    <row r="679" spans="21:22" x14ac:dyDescent="0.25">
      <c r="U679" s="211">
        <v>661</v>
      </c>
      <c r="V679" s="178">
        <v>4503223585.4196377</v>
      </c>
    </row>
    <row r="680" spans="21:22" x14ac:dyDescent="0.25">
      <c r="U680" s="211">
        <v>662</v>
      </c>
      <c r="V680" s="178">
        <v>4606824216.5527458</v>
      </c>
    </row>
    <row r="681" spans="21:22" x14ac:dyDescent="0.25">
      <c r="U681" s="211">
        <v>663</v>
      </c>
      <c r="V681" s="178">
        <v>6698433610.114645</v>
      </c>
    </row>
    <row r="682" spans="21:22" x14ac:dyDescent="0.25">
      <c r="U682" s="211">
        <v>664</v>
      </c>
      <c r="V682" s="178">
        <v>3879838477.5653529</v>
      </c>
    </row>
    <row r="683" spans="21:22" x14ac:dyDescent="0.25">
      <c r="U683" s="211">
        <v>665</v>
      </c>
      <c r="V683" s="178">
        <v>5068903586.2735481</v>
      </c>
    </row>
    <row r="684" spans="21:22" x14ac:dyDescent="0.25">
      <c r="U684" s="211">
        <v>666</v>
      </c>
      <c r="V684" s="178">
        <v>4346118499.0108595</v>
      </c>
    </row>
    <row r="685" spans="21:22" x14ac:dyDescent="0.25">
      <c r="U685" s="211">
        <v>667</v>
      </c>
      <c r="V685" s="178">
        <v>5739737985.9675341</v>
      </c>
    </row>
    <row r="686" spans="21:22" x14ac:dyDescent="0.25">
      <c r="U686" s="211">
        <v>668</v>
      </c>
      <c r="V686" s="178">
        <v>8146316567.3553896</v>
      </c>
    </row>
    <row r="687" spans="21:22" x14ac:dyDescent="0.25">
      <c r="U687" s="211">
        <v>669</v>
      </c>
      <c r="V687" s="178">
        <v>5233790390.7191935</v>
      </c>
    </row>
    <row r="688" spans="21:22" x14ac:dyDescent="0.25">
      <c r="U688" s="211">
        <v>670</v>
      </c>
      <c r="V688" s="178">
        <v>5807336856.1151104</v>
      </c>
    </row>
    <row r="689" spans="21:22" x14ac:dyDescent="0.25">
      <c r="U689" s="211">
        <v>671</v>
      </c>
      <c r="V689" s="178">
        <v>6731925413.5041342</v>
      </c>
    </row>
    <row r="690" spans="21:22" x14ac:dyDescent="0.25">
      <c r="U690" s="211">
        <v>672</v>
      </c>
      <c r="V690" s="178">
        <v>7532310123.5871391</v>
      </c>
    </row>
    <row r="691" spans="21:22" x14ac:dyDescent="0.25">
      <c r="U691" s="211">
        <v>673</v>
      </c>
      <c r="V691" s="178">
        <v>4597281440.4102659</v>
      </c>
    </row>
    <row r="692" spans="21:22" x14ac:dyDescent="0.25">
      <c r="U692" s="211">
        <v>674</v>
      </c>
      <c r="V692" s="178">
        <v>5267129873.9542751</v>
      </c>
    </row>
    <row r="693" spans="21:22" x14ac:dyDescent="0.25">
      <c r="U693" s="211">
        <v>675</v>
      </c>
      <c r="V693" s="178">
        <v>4289583700.2345715</v>
      </c>
    </row>
    <row r="694" spans="21:22" x14ac:dyDescent="0.25">
      <c r="U694" s="211">
        <v>676</v>
      </c>
      <c r="V694" s="178">
        <v>4325207877.6151075</v>
      </c>
    </row>
    <row r="695" spans="21:22" x14ac:dyDescent="0.25">
      <c r="U695" s="211">
        <v>677</v>
      </c>
      <c r="V695" s="178">
        <v>9603909151.6628342</v>
      </c>
    </row>
    <row r="696" spans="21:22" x14ac:dyDescent="0.25">
      <c r="U696" s="211">
        <v>678</v>
      </c>
      <c r="V696" s="178">
        <v>7223899130.7672806</v>
      </c>
    </row>
    <row r="697" spans="21:22" x14ac:dyDescent="0.25">
      <c r="U697" s="211">
        <v>679</v>
      </c>
      <c r="V697" s="178">
        <v>5850968349.9992847</v>
      </c>
    </row>
    <row r="698" spans="21:22" x14ac:dyDescent="0.25">
      <c r="U698" s="211">
        <v>680</v>
      </c>
      <c r="V698" s="178">
        <v>5718994839.5643387</v>
      </c>
    </row>
    <row r="699" spans="21:22" x14ac:dyDescent="0.25">
      <c r="U699" s="211">
        <v>681</v>
      </c>
      <c r="V699" s="178">
        <v>5775768626.7974157</v>
      </c>
    </row>
    <row r="700" spans="21:22" x14ac:dyDescent="0.25">
      <c r="U700" s="211">
        <v>682</v>
      </c>
      <c r="V700" s="178">
        <v>5600983349.8964272</v>
      </c>
    </row>
    <row r="701" spans="21:22" x14ac:dyDescent="0.25">
      <c r="U701" s="211">
        <v>683</v>
      </c>
      <c r="V701" s="178">
        <v>6747319545.1020555</v>
      </c>
    </row>
    <row r="702" spans="21:22" x14ac:dyDescent="0.25">
      <c r="U702" s="211">
        <v>684</v>
      </c>
      <c r="V702" s="178">
        <v>7041949024.016448</v>
      </c>
    </row>
    <row r="703" spans="21:22" x14ac:dyDescent="0.25">
      <c r="U703" s="211">
        <v>685</v>
      </c>
      <c r="V703" s="178">
        <v>4607751197.3390036</v>
      </c>
    </row>
    <row r="704" spans="21:22" x14ac:dyDescent="0.25">
      <c r="U704" s="211">
        <v>686</v>
      </c>
      <c r="V704" s="178">
        <v>5836514606.6854315</v>
      </c>
    </row>
    <row r="705" spans="21:22" x14ac:dyDescent="0.25">
      <c r="U705" s="211">
        <v>687</v>
      </c>
      <c r="V705" s="178">
        <v>4649654677.7989922</v>
      </c>
    </row>
    <row r="706" spans="21:22" x14ac:dyDescent="0.25">
      <c r="U706" s="211">
        <v>688</v>
      </c>
      <c r="V706" s="178">
        <v>5785751469.8562927</v>
      </c>
    </row>
    <row r="707" spans="21:22" x14ac:dyDescent="0.25">
      <c r="U707" s="211">
        <v>689</v>
      </c>
      <c r="V707" s="178">
        <v>6166567635.9627562</v>
      </c>
    </row>
    <row r="708" spans="21:22" x14ac:dyDescent="0.25">
      <c r="U708" s="211">
        <v>690</v>
      </c>
      <c r="V708" s="178">
        <v>6884191342.494935</v>
      </c>
    </row>
    <row r="709" spans="21:22" x14ac:dyDescent="0.25">
      <c r="U709" s="211">
        <v>691</v>
      </c>
      <c r="V709" s="178">
        <v>7650758411.7480736</v>
      </c>
    </row>
    <row r="710" spans="21:22" x14ac:dyDescent="0.25">
      <c r="U710" s="211">
        <v>692</v>
      </c>
      <c r="V710" s="178">
        <v>4995612265.5885668</v>
      </c>
    </row>
    <row r="711" spans="21:22" x14ac:dyDescent="0.25">
      <c r="U711" s="211">
        <v>693</v>
      </c>
      <c r="V711" s="178">
        <v>7473888090.4507294</v>
      </c>
    </row>
    <row r="712" spans="21:22" x14ac:dyDescent="0.25">
      <c r="U712" s="211">
        <v>694</v>
      </c>
      <c r="V712" s="178">
        <v>7530876065.6557531</v>
      </c>
    </row>
    <row r="713" spans="21:22" x14ac:dyDescent="0.25">
      <c r="U713" s="211">
        <v>695</v>
      </c>
      <c r="V713" s="178">
        <v>5870750936.2596693</v>
      </c>
    </row>
    <row r="714" spans="21:22" x14ac:dyDescent="0.25">
      <c r="U714" s="211">
        <v>696</v>
      </c>
      <c r="V714" s="178">
        <v>7390986381.8350906</v>
      </c>
    </row>
    <row r="715" spans="21:22" x14ac:dyDescent="0.25">
      <c r="U715" s="211">
        <v>697</v>
      </c>
      <c r="V715" s="178">
        <v>7458648971.6810923</v>
      </c>
    </row>
    <row r="716" spans="21:22" x14ac:dyDescent="0.25">
      <c r="U716" s="211">
        <v>698</v>
      </c>
      <c r="V716" s="178">
        <v>5449394210.065074</v>
      </c>
    </row>
    <row r="717" spans="21:22" x14ac:dyDescent="0.25">
      <c r="U717" s="211">
        <v>699</v>
      </c>
      <c r="V717" s="178">
        <v>5342075518.2338676</v>
      </c>
    </row>
    <row r="718" spans="21:22" x14ac:dyDescent="0.25">
      <c r="U718" s="211">
        <v>700</v>
      </c>
      <c r="V718" s="178">
        <v>4473655275.3148146</v>
      </c>
    </row>
    <row r="719" spans="21:22" x14ac:dyDescent="0.25">
      <c r="U719" s="211">
        <v>701</v>
      </c>
      <c r="V719" s="178">
        <v>9261217477.3439426</v>
      </c>
    </row>
    <row r="720" spans="21:22" x14ac:dyDescent="0.25">
      <c r="U720" s="211">
        <v>702</v>
      </c>
      <c r="V720" s="178">
        <v>6072315307.5843201</v>
      </c>
    </row>
    <row r="721" spans="21:22" x14ac:dyDescent="0.25">
      <c r="U721" s="211">
        <v>703</v>
      </c>
      <c r="V721" s="178">
        <v>6678401446.5254049</v>
      </c>
    </row>
    <row r="722" spans="21:22" x14ac:dyDescent="0.25">
      <c r="U722" s="211">
        <v>704</v>
      </c>
      <c r="V722" s="178">
        <v>6482316265.3651209</v>
      </c>
    </row>
    <row r="723" spans="21:22" x14ac:dyDescent="0.25">
      <c r="U723" s="211">
        <v>705</v>
      </c>
      <c r="V723" s="178">
        <v>5165466756.5407219</v>
      </c>
    </row>
    <row r="724" spans="21:22" x14ac:dyDescent="0.25">
      <c r="U724" s="211">
        <v>706</v>
      </c>
      <c r="V724" s="178">
        <v>6543764762.0233631</v>
      </c>
    </row>
    <row r="725" spans="21:22" x14ac:dyDescent="0.25">
      <c r="U725" s="211">
        <v>707</v>
      </c>
      <c r="V725" s="178">
        <v>4792029462.61868</v>
      </c>
    </row>
    <row r="726" spans="21:22" x14ac:dyDescent="0.25">
      <c r="U726" s="211">
        <v>708</v>
      </c>
      <c r="V726" s="178">
        <v>6962905323.4923162</v>
      </c>
    </row>
    <row r="727" spans="21:22" x14ac:dyDescent="0.25">
      <c r="U727" s="211">
        <v>709</v>
      </c>
      <c r="V727" s="178">
        <v>6891746435.6219425</v>
      </c>
    </row>
    <row r="728" spans="21:22" x14ac:dyDescent="0.25">
      <c r="U728" s="211">
        <v>710</v>
      </c>
      <c r="V728" s="178">
        <v>8794125352.9645786</v>
      </c>
    </row>
    <row r="729" spans="21:22" x14ac:dyDescent="0.25">
      <c r="U729" s="211">
        <v>711</v>
      </c>
      <c r="V729" s="178">
        <v>5318530406.6161356</v>
      </c>
    </row>
    <row r="730" spans="21:22" x14ac:dyDescent="0.25">
      <c r="U730" s="211">
        <v>712</v>
      </c>
      <c r="V730" s="178">
        <v>6099954190.2241611</v>
      </c>
    </row>
    <row r="731" spans="21:22" x14ac:dyDescent="0.25">
      <c r="U731" s="211">
        <v>713</v>
      </c>
      <c r="V731" s="178">
        <v>6949223643.4850311</v>
      </c>
    </row>
    <row r="732" spans="21:22" x14ac:dyDescent="0.25">
      <c r="U732" s="211">
        <v>714</v>
      </c>
      <c r="V732" s="178">
        <v>4084099711.4420381</v>
      </c>
    </row>
    <row r="733" spans="21:22" x14ac:dyDescent="0.25">
      <c r="U733" s="211">
        <v>715</v>
      </c>
      <c r="V733" s="178">
        <v>6603974356.8127832</v>
      </c>
    </row>
    <row r="734" spans="21:22" x14ac:dyDescent="0.25">
      <c r="U734" s="211">
        <v>716</v>
      </c>
      <c r="V734" s="178">
        <v>6695286753.1130142</v>
      </c>
    </row>
    <row r="735" spans="21:22" x14ac:dyDescent="0.25">
      <c r="U735" s="211">
        <v>717</v>
      </c>
      <c r="V735" s="178">
        <v>6967637185.3836441</v>
      </c>
    </row>
    <row r="736" spans="21:22" x14ac:dyDescent="0.25">
      <c r="U736" s="211">
        <v>718</v>
      </c>
      <c r="V736" s="178">
        <v>5713919380.9764166</v>
      </c>
    </row>
    <row r="737" spans="21:22" x14ac:dyDescent="0.25">
      <c r="U737" s="211">
        <v>719</v>
      </c>
      <c r="V737" s="178">
        <v>5680314767.7951803</v>
      </c>
    </row>
    <row r="738" spans="21:22" x14ac:dyDescent="0.25">
      <c r="U738" s="211">
        <v>720</v>
      </c>
      <c r="V738" s="178">
        <v>6561863904.4460649</v>
      </c>
    </row>
    <row r="739" spans="21:22" x14ac:dyDescent="0.25">
      <c r="U739" s="211">
        <v>721</v>
      </c>
      <c r="V739" s="178">
        <v>6565312967.7975578</v>
      </c>
    </row>
    <row r="740" spans="21:22" x14ac:dyDescent="0.25">
      <c r="U740" s="211">
        <v>722</v>
      </c>
      <c r="V740" s="178">
        <v>5538869240.4693022</v>
      </c>
    </row>
    <row r="741" spans="21:22" x14ac:dyDescent="0.25">
      <c r="U741" s="211">
        <v>723</v>
      </c>
      <c r="V741" s="178">
        <v>7389802480.4198971</v>
      </c>
    </row>
    <row r="742" spans="21:22" x14ac:dyDescent="0.25">
      <c r="U742" s="211">
        <v>724</v>
      </c>
      <c r="V742" s="178">
        <v>8049335682.4183311</v>
      </c>
    </row>
    <row r="743" spans="21:22" x14ac:dyDescent="0.25">
      <c r="U743" s="211">
        <v>725</v>
      </c>
      <c r="V743" s="178">
        <v>5026579381.0871735</v>
      </c>
    </row>
    <row r="744" spans="21:22" x14ac:dyDescent="0.25">
      <c r="U744" s="211">
        <v>726</v>
      </c>
      <c r="V744" s="178">
        <v>6067826465.6547604</v>
      </c>
    </row>
    <row r="745" spans="21:22" x14ac:dyDescent="0.25">
      <c r="U745" s="211">
        <v>727</v>
      </c>
      <c r="V745" s="178">
        <v>6157337431.0482035</v>
      </c>
    </row>
    <row r="746" spans="21:22" x14ac:dyDescent="0.25">
      <c r="U746" s="211">
        <v>728</v>
      </c>
      <c r="V746" s="178">
        <v>5223043073.830327</v>
      </c>
    </row>
    <row r="747" spans="21:22" x14ac:dyDescent="0.25">
      <c r="U747" s="211">
        <v>729</v>
      </c>
      <c r="V747" s="178">
        <v>4874013817.0579853</v>
      </c>
    </row>
    <row r="748" spans="21:22" x14ac:dyDescent="0.25">
      <c r="U748" s="211">
        <v>730</v>
      </c>
      <c r="V748" s="178">
        <v>3062845051.1952896</v>
      </c>
    </row>
    <row r="749" spans="21:22" x14ac:dyDescent="0.25">
      <c r="U749" s="211">
        <v>731</v>
      </c>
      <c r="V749" s="178">
        <v>4725656707.3712978</v>
      </c>
    </row>
    <row r="750" spans="21:22" x14ac:dyDescent="0.25">
      <c r="U750" s="211">
        <v>732</v>
      </c>
      <c r="V750" s="178">
        <v>4561226671.3401356</v>
      </c>
    </row>
    <row r="751" spans="21:22" x14ac:dyDescent="0.25">
      <c r="U751" s="211">
        <v>733</v>
      </c>
      <c r="V751" s="178">
        <v>6582097944.0207872</v>
      </c>
    </row>
    <row r="752" spans="21:22" x14ac:dyDescent="0.25">
      <c r="U752" s="211">
        <v>734</v>
      </c>
      <c r="V752" s="178">
        <v>10070626328.128777</v>
      </c>
    </row>
    <row r="753" spans="21:22" x14ac:dyDescent="0.25">
      <c r="U753" s="211">
        <v>735</v>
      </c>
      <c r="V753" s="178">
        <v>5934347535.5207529</v>
      </c>
    </row>
    <row r="754" spans="21:22" x14ac:dyDescent="0.25">
      <c r="U754" s="211">
        <v>736</v>
      </c>
      <c r="V754" s="178">
        <v>4010025598.4184995</v>
      </c>
    </row>
    <row r="755" spans="21:22" x14ac:dyDescent="0.25">
      <c r="U755" s="211">
        <v>737</v>
      </c>
      <c r="V755" s="178">
        <v>8425869410.8675356</v>
      </c>
    </row>
    <row r="756" spans="21:22" x14ac:dyDescent="0.25">
      <c r="U756" s="211">
        <v>738</v>
      </c>
      <c r="V756" s="178">
        <v>4662804635.5393276</v>
      </c>
    </row>
    <row r="757" spans="21:22" x14ac:dyDescent="0.25">
      <c r="U757" s="211">
        <v>739</v>
      </c>
      <c r="V757" s="178">
        <v>6517456585.4466963</v>
      </c>
    </row>
    <row r="758" spans="21:22" x14ac:dyDescent="0.25">
      <c r="U758" s="211">
        <v>740</v>
      </c>
      <c r="V758" s="178">
        <v>6799857920.3029175</v>
      </c>
    </row>
    <row r="759" spans="21:22" x14ac:dyDescent="0.25">
      <c r="U759" s="211">
        <v>741</v>
      </c>
      <c r="V759" s="178">
        <v>3871147147.0163465</v>
      </c>
    </row>
    <row r="760" spans="21:22" x14ac:dyDescent="0.25">
      <c r="U760" s="211">
        <v>742</v>
      </c>
      <c r="V760" s="178">
        <v>5712441554.0709848</v>
      </c>
    </row>
    <row r="761" spans="21:22" x14ac:dyDescent="0.25">
      <c r="U761" s="211">
        <v>743</v>
      </c>
      <c r="V761" s="178">
        <v>4982961829.9950571</v>
      </c>
    </row>
    <row r="762" spans="21:22" x14ac:dyDescent="0.25">
      <c r="U762" s="211">
        <v>744</v>
      </c>
      <c r="V762" s="178">
        <v>4891845130.9932861</v>
      </c>
    </row>
    <row r="763" spans="21:22" x14ac:dyDescent="0.25">
      <c r="U763" s="211">
        <v>745</v>
      </c>
      <c r="V763" s="178">
        <v>4905346984.649538</v>
      </c>
    </row>
    <row r="764" spans="21:22" x14ac:dyDescent="0.25">
      <c r="U764" s="211">
        <v>746</v>
      </c>
      <c r="V764" s="178">
        <v>6502647975.3288612</v>
      </c>
    </row>
    <row r="765" spans="21:22" x14ac:dyDescent="0.25">
      <c r="U765" s="211">
        <v>747</v>
      </c>
      <c r="V765" s="178">
        <v>7299747687.2807941</v>
      </c>
    </row>
    <row r="766" spans="21:22" x14ac:dyDescent="0.25">
      <c r="U766" s="211">
        <v>748</v>
      </c>
      <c r="V766" s="178">
        <v>7910541610.9442415</v>
      </c>
    </row>
    <row r="767" spans="21:22" x14ac:dyDescent="0.25">
      <c r="U767" s="211">
        <v>749</v>
      </c>
      <c r="V767" s="178">
        <v>3883424631.5217929</v>
      </c>
    </row>
    <row r="768" spans="21:22" x14ac:dyDescent="0.25">
      <c r="U768" s="211">
        <v>750</v>
      </c>
      <c r="V768" s="178">
        <v>4920989386.8428602</v>
      </c>
    </row>
    <row r="769" spans="21:22" x14ac:dyDescent="0.25">
      <c r="U769" s="211">
        <v>751</v>
      </c>
      <c r="V769" s="178">
        <v>7654720420.6363678</v>
      </c>
    </row>
    <row r="770" spans="21:22" x14ac:dyDescent="0.25">
      <c r="U770" s="211">
        <v>752</v>
      </c>
      <c r="V770" s="178">
        <v>5957154735.8778009</v>
      </c>
    </row>
    <row r="771" spans="21:22" x14ac:dyDescent="0.25">
      <c r="U771" s="211">
        <v>753</v>
      </c>
      <c r="V771" s="178">
        <v>4677450613.7708254</v>
      </c>
    </row>
    <row r="772" spans="21:22" x14ac:dyDescent="0.25">
      <c r="U772" s="211">
        <v>754</v>
      </c>
      <c r="V772" s="178">
        <v>4999905978.2347355</v>
      </c>
    </row>
    <row r="773" spans="21:22" x14ac:dyDescent="0.25">
      <c r="U773" s="211">
        <v>755</v>
      </c>
      <c r="V773" s="178">
        <v>5295612266.6499052</v>
      </c>
    </row>
    <row r="774" spans="21:22" x14ac:dyDescent="0.25">
      <c r="U774" s="211">
        <v>756</v>
      </c>
      <c r="V774" s="178">
        <v>5111755425.3015747</v>
      </c>
    </row>
    <row r="775" spans="21:22" x14ac:dyDescent="0.25">
      <c r="U775" s="211">
        <v>757</v>
      </c>
      <c r="V775" s="178">
        <v>4282399641.2707772</v>
      </c>
    </row>
    <row r="776" spans="21:22" x14ac:dyDescent="0.25">
      <c r="U776" s="211">
        <v>758</v>
      </c>
      <c r="V776" s="178">
        <v>5623315438.2766008</v>
      </c>
    </row>
    <row r="777" spans="21:22" x14ac:dyDescent="0.25">
      <c r="U777" s="211">
        <v>759</v>
      </c>
      <c r="V777" s="178">
        <v>3376028690.8186622</v>
      </c>
    </row>
    <row r="778" spans="21:22" x14ac:dyDescent="0.25">
      <c r="U778" s="211">
        <v>760</v>
      </c>
      <c r="V778" s="178">
        <v>6443848218.3060474</v>
      </c>
    </row>
    <row r="779" spans="21:22" x14ac:dyDescent="0.25">
      <c r="U779" s="211">
        <v>761</v>
      </c>
      <c r="V779" s="178">
        <v>5904881001.104784</v>
      </c>
    </row>
    <row r="780" spans="21:22" x14ac:dyDescent="0.25">
      <c r="U780" s="211">
        <v>762</v>
      </c>
      <c r="V780" s="178">
        <v>4862299308.5800343</v>
      </c>
    </row>
    <row r="781" spans="21:22" x14ac:dyDescent="0.25">
      <c r="U781" s="211">
        <v>763</v>
      </c>
      <c r="V781" s="178">
        <v>5797353919.8406897</v>
      </c>
    </row>
    <row r="782" spans="21:22" x14ac:dyDescent="0.25">
      <c r="U782" s="211">
        <v>764</v>
      </c>
      <c r="V782" s="178">
        <v>6366882598.3872375</v>
      </c>
    </row>
    <row r="783" spans="21:22" x14ac:dyDescent="0.25">
      <c r="U783" s="211">
        <v>765</v>
      </c>
      <c r="V783" s="178">
        <v>6302305321.3000441</v>
      </c>
    </row>
    <row r="784" spans="21:22" x14ac:dyDescent="0.25">
      <c r="U784" s="211">
        <v>766</v>
      </c>
      <c r="V784" s="178">
        <v>3874101435.5982466</v>
      </c>
    </row>
    <row r="785" spans="21:22" x14ac:dyDescent="0.25">
      <c r="U785" s="211">
        <v>767</v>
      </c>
      <c r="V785" s="178">
        <v>4673281015.0777569</v>
      </c>
    </row>
    <row r="786" spans="21:22" x14ac:dyDescent="0.25">
      <c r="U786" s="211">
        <v>768</v>
      </c>
      <c r="V786" s="178">
        <v>6309940161.0055361</v>
      </c>
    </row>
    <row r="787" spans="21:22" x14ac:dyDescent="0.25">
      <c r="U787" s="211">
        <v>769</v>
      </c>
      <c r="V787" s="178">
        <v>4676053638.0895014</v>
      </c>
    </row>
    <row r="788" spans="21:22" x14ac:dyDescent="0.25">
      <c r="U788" s="211">
        <v>770</v>
      </c>
      <c r="V788" s="178">
        <v>5713271757.947381</v>
      </c>
    </row>
    <row r="789" spans="21:22" x14ac:dyDescent="0.25">
      <c r="U789" s="211">
        <v>771</v>
      </c>
      <c r="V789" s="178">
        <v>4897998025.1059608</v>
      </c>
    </row>
    <row r="790" spans="21:22" x14ac:dyDescent="0.25">
      <c r="U790" s="211">
        <v>772</v>
      </c>
      <c r="V790" s="178">
        <v>8823425864.3192635</v>
      </c>
    </row>
    <row r="791" spans="21:22" x14ac:dyDescent="0.25">
      <c r="U791" s="211">
        <v>773</v>
      </c>
      <c r="V791" s="178">
        <v>4963845941.0080957</v>
      </c>
    </row>
    <row r="792" spans="21:22" x14ac:dyDescent="0.25">
      <c r="U792" s="211">
        <v>774</v>
      </c>
      <c r="V792" s="178">
        <v>3996534269.4708662</v>
      </c>
    </row>
    <row r="793" spans="21:22" x14ac:dyDescent="0.25">
      <c r="U793" s="211">
        <v>775</v>
      </c>
      <c r="V793" s="178">
        <v>6208760633.8995295</v>
      </c>
    </row>
    <row r="794" spans="21:22" x14ac:dyDescent="0.25">
      <c r="U794" s="211">
        <v>776</v>
      </c>
      <c r="V794" s="178">
        <v>4948887551.0296516</v>
      </c>
    </row>
    <row r="795" spans="21:22" x14ac:dyDescent="0.25">
      <c r="U795" s="211">
        <v>777</v>
      </c>
      <c r="V795" s="178">
        <v>5643925921.0320778</v>
      </c>
    </row>
    <row r="796" spans="21:22" x14ac:dyDescent="0.25">
      <c r="U796" s="211">
        <v>778</v>
      </c>
      <c r="V796" s="178">
        <v>7196499209.5022144</v>
      </c>
    </row>
    <row r="797" spans="21:22" x14ac:dyDescent="0.25">
      <c r="U797" s="211">
        <v>779</v>
      </c>
      <c r="V797" s="178">
        <v>4421295315.2583628</v>
      </c>
    </row>
    <row r="798" spans="21:22" x14ac:dyDescent="0.25">
      <c r="U798" s="211">
        <v>780</v>
      </c>
      <c r="V798" s="178">
        <v>6839202130.6412487</v>
      </c>
    </row>
    <row r="799" spans="21:22" x14ac:dyDescent="0.25">
      <c r="U799" s="211">
        <v>781</v>
      </c>
      <c r="V799" s="178">
        <v>4325412677.997201</v>
      </c>
    </row>
    <row r="800" spans="21:22" x14ac:dyDescent="0.25">
      <c r="U800" s="211">
        <v>782</v>
      </c>
      <c r="V800" s="178">
        <v>7410618925.5025778</v>
      </c>
    </row>
    <row r="801" spans="21:22" x14ac:dyDescent="0.25">
      <c r="U801" s="211">
        <v>783</v>
      </c>
      <c r="V801" s="178">
        <v>5328930402.1122417</v>
      </c>
    </row>
    <row r="802" spans="21:22" x14ac:dyDescent="0.25">
      <c r="U802" s="211">
        <v>784</v>
      </c>
      <c r="V802" s="178">
        <v>4724434039.3663406</v>
      </c>
    </row>
    <row r="803" spans="21:22" x14ac:dyDescent="0.25">
      <c r="U803" s="211">
        <v>785</v>
      </c>
      <c r="V803" s="178">
        <v>5537773541.3008099</v>
      </c>
    </row>
    <row r="804" spans="21:22" x14ac:dyDescent="0.25">
      <c r="U804" s="211">
        <v>786</v>
      </c>
      <c r="V804" s="178">
        <v>7202446727.2495794</v>
      </c>
    </row>
    <row r="805" spans="21:22" x14ac:dyDescent="0.25">
      <c r="U805" s="211">
        <v>787</v>
      </c>
      <c r="V805" s="178">
        <v>4305756060.3486891</v>
      </c>
    </row>
    <row r="806" spans="21:22" x14ac:dyDescent="0.25">
      <c r="U806" s="211">
        <v>788</v>
      </c>
      <c r="V806" s="178">
        <v>7044572107.1044521</v>
      </c>
    </row>
    <row r="807" spans="21:22" x14ac:dyDescent="0.25">
      <c r="U807" s="211">
        <v>789</v>
      </c>
      <c r="V807" s="178">
        <v>5354228181.0833282</v>
      </c>
    </row>
    <row r="808" spans="21:22" x14ac:dyDescent="0.25">
      <c r="U808" s="211">
        <v>790</v>
      </c>
      <c r="V808" s="178">
        <v>4762615377.7799225</v>
      </c>
    </row>
    <row r="809" spans="21:22" x14ac:dyDescent="0.25">
      <c r="U809" s="211">
        <v>791</v>
      </c>
      <c r="V809" s="178">
        <v>5609388771.7365942</v>
      </c>
    </row>
    <row r="810" spans="21:22" x14ac:dyDescent="0.25">
      <c r="U810" s="211">
        <v>792</v>
      </c>
      <c r="V810" s="178">
        <v>6866625094.4956474</v>
      </c>
    </row>
    <row r="811" spans="21:22" x14ac:dyDescent="0.25">
      <c r="U811" s="211">
        <v>793</v>
      </c>
      <c r="V811" s="178">
        <v>5901712541.8516922</v>
      </c>
    </row>
    <row r="812" spans="21:22" x14ac:dyDescent="0.25">
      <c r="U812" s="211">
        <v>794</v>
      </c>
      <c r="V812" s="178">
        <v>6176095554.6024857</v>
      </c>
    </row>
    <row r="813" spans="21:22" x14ac:dyDescent="0.25">
      <c r="U813" s="211">
        <v>795</v>
      </c>
      <c r="V813" s="178">
        <v>5388629864.9854164</v>
      </c>
    </row>
    <row r="814" spans="21:22" x14ac:dyDescent="0.25">
      <c r="U814" s="211">
        <v>796</v>
      </c>
      <c r="V814" s="178">
        <v>9720190286.692627</v>
      </c>
    </row>
    <row r="815" spans="21:22" x14ac:dyDescent="0.25">
      <c r="U815" s="211">
        <v>797</v>
      </c>
      <c r="V815" s="178">
        <v>4570404247.486002</v>
      </c>
    </row>
    <row r="816" spans="21:22" x14ac:dyDescent="0.25">
      <c r="U816" s="211">
        <v>798</v>
      </c>
      <c r="V816" s="178">
        <v>3911324487.949214</v>
      </c>
    </row>
    <row r="817" spans="21:22" x14ac:dyDescent="0.25">
      <c r="U817" s="211">
        <v>799</v>
      </c>
      <c r="V817" s="178">
        <v>5048737092.4882183</v>
      </c>
    </row>
    <row r="818" spans="21:22" x14ac:dyDescent="0.25">
      <c r="U818" s="211">
        <v>800</v>
      </c>
      <c r="V818" s="178">
        <v>5208476718.7182379</v>
      </c>
    </row>
    <row r="819" spans="21:22" x14ac:dyDescent="0.25">
      <c r="U819" s="211">
        <v>801</v>
      </c>
      <c r="V819" s="178">
        <v>6053402115.6049881</v>
      </c>
    </row>
    <row r="820" spans="21:22" x14ac:dyDescent="0.25">
      <c r="U820" s="211">
        <v>802</v>
      </c>
      <c r="V820" s="178">
        <v>6919419211.0734043</v>
      </c>
    </row>
    <row r="821" spans="21:22" x14ac:dyDescent="0.25">
      <c r="U821" s="211">
        <v>803</v>
      </c>
      <c r="V821" s="178">
        <v>6203747932.3204002</v>
      </c>
    </row>
    <row r="822" spans="21:22" x14ac:dyDescent="0.25">
      <c r="U822" s="211">
        <v>804</v>
      </c>
      <c r="V822" s="178">
        <v>8244683247.222661</v>
      </c>
    </row>
    <row r="823" spans="21:22" x14ac:dyDescent="0.25">
      <c r="U823" s="211">
        <v>805</v>
      </c>
      <c r="V823" s="178">
        <v>6457474116.7816296</v>
      </c>
    </row>
    <row r="824" spans="21:22" x14ac:dyDescent="0.25">
      <c r="U824" s="211">
        <v>806</v>
      </c>
      <c r="V824" s="178">
        <v>5429566142.9852047</v>
      </c>
    </row>
    <row r="825" spans="21:22" x14ac:dyDescent="0.25">
      <c r="U825" s="211">
        <v>807</v>
      </c>
      <c r="V825" s="178">
        <v>7718605930.8480711</v>
      </c>
    </row>
    <row r="826" spans="21:22" x14ac:dyDescent="0.25">
      <c r="U826" s="211">
        <v>808</v>
      </c>
      <c r="V826" s="178">
        <v>5048165272.7089033</v>
      </c>
    </row>
    <row r="827" spans="21:22" x14ac:dyDescent="0.25">
      <c r="U827" s="211">
        <v>809</v>
      </c>
      <c r="V827" s="178">
        <v>7043833450.5823298</v>
      </c>
    </row>
    <row r="828" spans="21:22" x14ac:dyDescent="0.25">
      <c r="U828" s="211">
        <v>810</v>
      </c>
      <c r="V828" s="178">
        <v>6324688437.9241247</v>
      </c>
    </row>
    <row r="829" spans="21:22" x14ac:dyDescent="0.25">
      <c r="U829" s="211">
        <v>811</v>
      </c>
      <c r="V829" s="178">
        <v>4867377503.1589746</v>
      </c>
    </row>
    <row r="830" spans="21:22" x14ac:dyDescent="0.25">
      <c r="U830" s="211">
        <v>812</v>
      </c>
      <c r="V830" s="178">
        <v>6654881432.2777481</v>
      </c>
    </row>
    <row r="831" spans="21:22" x14ac:dyDescent="0.25">
      <c r="U831" s="211">
        <v>813</v>
      </c>
      <c r="V831" s="178">
        <v>6443088333.468461</v>
      </c>
    </row>
    <row r="832" spans="21:22" x14ac:dyDescent="0.25">
      <c r="U832" s="211">
        <v>814</v>
      </c>
      <c r="V832" s="178">
        <v>4172761594.2684669</v>
      </c>
    </row>
    <row r="833" spans="21:22" x14ac:dyDescent="0.25">
      <c r="U833" s="211">
        <v>815</v>
      </c>
      <c r="V833" s="178">
        <v>5804361540.9040165</v>
      </c>
    </row>
    <row r="834" spans="21:22" x14ac:dyDescent="0.25">
      <c r="U834" s="211">
        <v>816</v>
      </c>
      <c r="V834" s="178">
        <v>5927568921.4400692</v>
      </c>
    </row>
    <row r="835" spans="21:22" x14ac:dyDescent="0.25">
      <c r="U835" s="211">
        <v>817</v>
      </c>
      <c r="V835" s="178">
        <v>5541769604.1968689</v>
      </c>
    </row>
    <row r="836" spans="21:22" x14ac:dyDescent="0.25">
      <c r="U836" s="211">
        <v>818</v>
      </c>
      <c r="V836" s="178">
        <v>5244967796.6203861</v>
      </c>
    </row>
    <row r="837" spans="21:22" x14ac:dyDescent="0.25">
      <c r="U837" s="211">
        <v>819</v>
      </c>
      <c r="V837" s="178">
        <v>4488597588.9046516</v>
      </c>
    </row>
    <row r="838" spans="21:22" x14ac:dyDescent="0.25">
      <c r="U838" s="211">
        <v>820</v>
      </c>
      <c r="V838" s="178">
        <v>5065811672.1954174</v>
      </c>
    </row>
    <row r="839" spans="21:22" x14ac:dyDescent="0.25">
      <c r="U839" s="211">
        <v>821</v>
      </c>
      <c r="V839" s="178">
        <v>5147669545.7389889</v>
      </c>
    </row>
    <row r="840" spans="21:22" x14ac:dyDescent="0.25">
      <c r="U840" s="211">
        <v>822</v>
      </c>
      <c r="V840" s="178">
        <v>6159809181.4878302</v>
      </c>
    </row>
    <row r="841" spans="21:22" x14ac:dyDescent="0.25">
      <c r="U841" s="211">
        <v>823</v>
      </c>
      <c r="V841" s="178">
        <v>3703072169.4761133</v>
      </c>
    </row>
    <row r="842" spans="21:22" x14ac:dyDescent="0.25">
      <c r="U842" s="211">
        <v>824</v>
      </c>
      <c r="V842" s="178">
        <v>6910383475.4696674</v>
      </c>
    </row>
    <row r="843" spans="21:22" x14ac:dyDescent="0.25">
      <c r="U843" s="211">
        <v>825</v>
      </c>
      <c r="V843" s="178">
        <v>4580968390.3125315</v>
      </c>
    </row>
    <row r="844" spans="21:22" x14ac:dyDescent="0.25">
      <c r="U844" s="211">
        <v>826</v>
      </c>
      <c r="V844" s="178">
        <v>4705537977.514883</v>
      </c>
    </row>
    <row r="845" spans="21:22" x14ac:dyDescent="0.25">
      <c r="U845" s="211">
        <v>827</v>
      </c>
      <c r="V845" s="178">
        <v>4076253042.1812263</v>
      </c>
    </row>
    <row r="846" spans="21:22" x14ac:dyDescent="0.25">
      <c r="U846" s="211">
        <v>828</v>
      </c>
      <c r="V846" s="178">
        <v>7130210839.4588861</v>
      </c>
    </row>
    <row r="847" spans="21:22" x14ac:dyDescent="0.25">
      <c r="U847" s="211">
        <v>829</v>
      </c>
      <c r="V847" s="178">
        <v>4186194639.9076242</v>
      </c>
    </row>
    <row r="848" spans="21:22" x14ac:dyDescent="0.25">
      <c r="U848" s="211">
        <v>830</v>
      </c>
      <c r="V848" s="178">
        <v>5153057403.4475975</v>
      </c>
    </row>
    <row r="849" spans="21:22" x14ac:dyDescent="0.25">
      <c r="U849" s="211">
        <v>831</v>
      </c>
      <c r="V849" s="178">
        <v>9362628226.1089249</v>
      </c>
    </row>
    <row r="850" spans="21:22" x14ac:dyDescent="0.25">
      <c r="U850" s="211">
        <v>832</v>
      </c>
      <c r="V850" s="178">
        <v>12835952473.274179</v>
      </c>
    </row>
    <row r="851" spans="21:22" x14ac:dyDescent="0.25">
      <c r="U851" s="211">
        <v>833</v>
      </c>
      <c r="V851" s="178">
        <v>4064653638.2028136</v>
      </c>
    </row>
    <row r="852" spans="21:22" x14ac:dyDescent="0.25">
      <c r="U852" s="211">
        <v>834</v>
      </c>
      <c r="V852" s="178">
        <v>7123487343.6818552</v>
      </c>
    </row>
    <row r="853" spans="21:22" x14ac:dyDescent="0.25">
      <c r="U853" s="211">
        <v>835</v>
      </c>
      <c r="V853" s="178">
        <v>4131213849.624764</v>
      </c>
    </row>
    <row r="854" spans="21:22" x14ac:dyDescent="0.25">
      <c r="U854" s="211">
        <v>836</v>
      </c>
      <c r="V854" s="178">
        <v>4307162327.9236298</v>
      </c>
    </row>
    <row r="855" spans="21:22" x14ac:dyDescent="0.25">
      <c r="U855" s="211">
        <v>837</v>
      </c>
      <c r="V855" s="178">
        <v>6919474074.4870806</v>
      </c>
    </row>
    <row r="856" spans="21:22" x14ac:dyDescent="0.25">
      <c r="U856" s="211">
        <v>838</v>
      </c>
      <c r="V856" s="178">
        <v>4668111233.1551323</v>
      </c>
    </row>
    <row r="857" spans="21:22" x14ac:dyDescent="0.25">
      <c r="U857" s="211">
        <v>839</v>
      </c>
      <c r="V857" s="178">
        <v>6131727988.2818136</v>
      </c>
    </row>
    <row r="858" spans="21:22" x14ac:dyDescent="0.25">
      <c r="U858" s="211">
        <v>840</v>
      </c>
      <c r="V858" s="178">
        <v>4433857075.6678581</v>
      </c>
    </row>
    <row r="859" spans="21:22" x14ac:dyDescent="0.25">
      <c r="U859" s="211">
        <v>841</v>
      </c>
      <c r="V859" s="178">
        <v>5191864935.883358</v>
      </c>
    </row>
    <row r="860" spans="21:22" x14ac:dyDescent="0.25">
      <c r="U860" s="211">
        <v>842</v>
      </c>
      <c r="V860" s="178">
        <v>5839890925.6758518</v>
      </c>
    </row>
    <row r="861" spans="21:22" x14ac:dyDescent="0.25">
      <c r="U861" s="211">
        <v>843</v>
      </c>
      <c r="V861" s="178">
        <v>5240489254.6464291</v>
      </c>
    </row>
    <row r="862" spans="21:22" x14ac:dyDescent="0.25">
      <c r="U862" s="211">
        <v>844</v>
      </c>
      <c r="V862" s="178">
        <v>4852580451.5935707</v>
      </c>
    </row>
    <row r="863" spans="21:22" x14ac:dyDescent="0.25">
      <c r="U863" s="211">
        <v>845</v>
      </c>
      <c r="V863" s="178">
        <v>4936844290.4498863</v>
      </c>
    </row>
    <row r="864" spans="21:22" x14ac:dyDescent="0.25">
      <c r="U864" s="211">
        <v>846</v>
      </c>
      <c r="V864" s="178">
        <v>4093929443.081152</v>
      </c>
    </row>
    <row r="865" spans="21:22" x14ac:dyDescent="0.25">
      <c r="U865" s="211">
        <v>847</v>
      </c>
      <c r="V865" s="178">
        <v>5640821567.0994835</v>
      </c>
    </row>
    <row r="866" spans="21:22" x14ac:dyDescent="0.25">
      <c r="U866" s="211">
        <v>848</v>
      </c>
      <c r="V866" s="178">
        <v>8244208890.0824604</v>
      </c>
    </row>
    <row r="867" spans="21:22" x14ac:dyDescent="0.25">
      <c r="U867" s="211">
        <v>849</v>
      </c>
      <c r="V867" s="178">
        <v>6751192240.0139685</v>
      </c>
    </row>
    <row r="868" spans="21:22" x14ac:dyDescent="0.25">
      <c r="U868" s="211">
        <v>850</v>
      </c>
      <c r="V868" s="178">
        <v>9084087017.0248795</v>
      </c>
    </row>
    <row r="869" spans="21:22" x14ac:dyDescent="0.25">
      <c r="U869" s="211">
        <v>851</v>
      </c>
      <c r="V869" s="178">
        <v>5004589224.2051201</v>
      </c>
    </row>
    <row r="870" spans="21:22" x14ac:dyDescent="0.25">
      <c r="U870" s="211">
        <v>852</v>
      </c>
      <c r="V870" s="178">
        <v>6962616591.3785849</v>
      </c>
    </row>
    <row r="871" spans="21:22" x14ac:dyDescent="0.25">
      <c r="U871" s="211">
        <v>853</v>
      </c>
      <c r="V871" s="178">
        <v>5509191162.3122473</v>
      </c>
    </row>
    <row r="872" spans="21:22" x14ac:dyDescent="0.25">
      <c r="U872" s="211">
        <v>854</v>
      </c>
      <c r="V872" s="178">
        <v>5207380443.9641104</v>
      </c>
    </row>
    <row r="873" spans="21:22" x14ac:dyDescent="0.25">
      <c r="U873" s="211">
        <v>855</v>
      </c>
      <c r="V873" s="178">
        <v>7842000644.5817661</v>
      </c>
    </row>
    <row r="874" spans="21:22" x14ac:dyDescent="0.25">
      <c r="U874" s="211">
        <v>856</v>
      </c>
      <c r="V874" s="178">
        <v>6699738191.5764713</v>
      </c>
    </row>
    <row r="875" spans="21:22" x14ac:dyDescent="0.25">
      <c r="U875" s="211">
        <v>857</v>
      </c>
      <c r="V875" s="178">
        <v>6327158343.572834</v>
      </c>
    </row>
    <row r="876" spans="21:22" x14ac:dyDescent="0.25">
      <c r="U876" s="211">
        <v>858</v>
      </c>
      <c r="V876" s="178">
        <v>4955981492.7488661</v>
      </c>
    </row>
    <row r="877" spans="21:22" x14ac:dyDescent="0.25">
      <c r="U877" s="211">
        <v>859</v>
      </c>
      <c r="V877" s="178">
        <v>3957412073.0207705</v>
      </c>
    </row>
    <row r="878" spans="21:22" x14ac:dyDescent="0.25">
      <c r="U878" s="211">
        <v>860</v>
      </c>
      <c r="V878" s="178">
        <v>7297251443.9001799</v>
      </c>
    </row>
    <row r="879" spans="21:22" x14ac:dyDescent="0.25">
      <c r="U879" s="211">
        <v>861</v>
      </c>
      <c r="V879" s="178">
        <v>4376868640.3636703</v>
      </c>
    </row>
    <row r="880" spans="21:22" x14ac:dyDescent="0.25">
      <c r="U880" s="211">
        <v>862</v>
      </c>
      <c r="V880" s="178">
        <v>5559911343.1465654</v>
      </c>
    </row>
    <row r="881" spans="21:22" x14ac:dyDescent="0.25">
      <c r="U881" s="211">
        <v>863</v>
      </c>
      <c r="V881" s="178">
        <v>6116740992.0884657</v>
      </c>
    </row>
    <row r="882" spans="21:22" x14ac:dyDescent="0.25">
      <c r="U882" s="211">
        <v>864</v>
      </c>
      <c r="V882" s="178">
        <v>5721415859.2945642</v>
      </c>
    </row>
    <row r="883" spans="21:22" x14ac:dyDescent="0.25">
      <c r="U883" s="211">
        <v>865</v>
      </c>
      <c r="V883" s="178">
        <v>6389626610.5855036</v>
      </c>
    </row>
    <row r="884" spans="21:22" x14ac:dyDescent="0.25">
      <c r="U884" s="211">
        <v>866</v>
      </c>
      <c r="V884" s="178">
        <v>3153149532.5890813</v>
      </c>
    </row>
    <row r="885" spans="21:22" x14ac:dyDescent="0.25">
      <c r="U885" s="211">
        <v>867</v>
      </c>
      <c r="V885" s="178">
        <v>6105360134.594141</v>
      </c>
    </row>
    <row r="886" spans="21:22" x14ac:dyDescent="0.25">
      <c r="U886" s="211">
        <v>868</v>
      </c>
      <c r="V886" s="178">
        <v>4805623918.698164</v>
      </c>
    </row>
    <row r="887" spans="21:22" x14ac:dyDescent="0.25">
      <c r="U887" s="211">
        <v>869</v>
      </c>
      <c r="V887" s="178">
        <v>5370448665.7546434</v>
      </c>
    </row>
    <row r="888" spans="21:22" x14ac:dyDescent="0.25">
      <c r="U888" s="211">
        <v>870</v>
      </c>
      <c r="V888" s="178">
        <v>11851598094.480282</v>
      </c>
    </row>
    <row r="889" spans="21:22" x14ac:dyDescent="0.25">
      <c r="U889" s="211">
        <v>871</v>
      </c>
      <c r="V889" s="178">
        <v>4712120432.2480497</v>
      </c>
    </row>
    <row r="890" spans="21:22" x14ac:dyDescent="0.25">
      <c r="U890" s="211">
        <v>872</v>
      </c>
      <c r="V890" s="178">
        <v>4691191461.2813416</v>
      </c>
    </row>
    <row r="891" spans="21:22" x14ac:dyDescent="0.25">
      <c r="U891" s="211">
        <v>873</v>
      </c>
      <c r="V891" s="178">
        <v>7376774276.1073265</v>
      </c>
    </row>
    <row r="892" spans="21:22" x14ac:dyDescent="0.25">
      <c r="U892" s="211">
        <v>874</v>
      </c>
      <c r="V892" s="178">
        <v>7148299989.900033</v>
      </c>
    </row>
    <row r="893" spans="21:22" x14ac:dyDescent="0.25">
      <c r="U893" s="211">
        <v>875</v>
      </c>
      <c r="V893" s="178">
        <v>6512430195.3218393</v>
      </c>
    </row>
    <row r="894" spans="21:22" x14ac:dyDescent="0.25">
      <c r="U894" s="211">
        <v>876</v>
      </c>
      <c r="V894" s="178">
        <v>3085757001.2483826</v>
      </c>
    </row>
    <row r="895" spans="21:22" x14ac:dyDescent="0.25">
      <c r="U895" s="211">
        <v>877</v>
      </c>
      <c r="V895" s="178">
        <v>5795932208.4767771</v>
      </c>
    </row>
    <row r="896" spans="21:22" x14ac:dyDescent="0.25">
      <c r="U896" s="211">
        <v>878</v>
      </c>
      <c r="V896" s="178">
        <v>6566271851.895153</v>
      </c>
    </row>
    <row r="897" spans="21:22" x14ac:dyDescent="0.25">
      <c r="U897" s="211">
        <v>879</v>
      </c>
      <c r="V897" s="178">
        <v>7735255847.919466</v>
      </c>
    </row>
    <row r="898" spans="21:22" x14ac:dyDescent="0.25">
      <c r="U898" s="211">
        <v>880</v>
      </c>
      <c r="V898" s="178">
        <v>6742355512.2703476</v>
      </c>
    </row>
    <row r="899" spans="21:22" x14ac:dyDescent="0.25">
      <c r="U899" s="211">
        <v>881</v>
      </c>
      <c r="V899" s="178">
        <v>3997264522.5775051</v>
      </c>
    </row>
    <row r="900" spans="21:22" x14ac:dyDescent="0.25">
      <c r="U900" s="211">
        <v>882</v>
      </c>
      <c r="V900" s="178">
        <v>5389663066.7925825</v>
      </c>
    </row>
    <row r="901" spans="21:22" x14ac:dyDescent="0.25">
      <c r="U901" s="211">
        <v>883</v>
      </c>
      <c r="V901" s="178">
        <v>4338409277.6904154</v>
      </c>
    </row>
    <row r="902" spans="21:22" x14ac:dyDescent="0.25">
      <c r="U902" s="211">
        <v>884</v>
      </c>
      <c r="V902" s="178">
        <v>4629784909.1780701</v>
      </c>
    </row>
    <row r="903" spans="21:22" x14ac:dyDescent="0.25">
      <c r="U903" s="211">
        <v>885</v>
      </c>
      <c r="V903" s="178">
        <v>5565096366.254425</v>
      </c>
    </row>
    <row r="904" spans="21:22" x14ac:dyDescent="0.25">
      <c r="U904" s="211">
        <v>886</v>
      </c>
      <c r="V904" s="178">
        <v>6313370472.6636648</v>
      </c>
    </row>
    <row r="905" spans="21:22" x14ac:dyDescent="0.25">
      <c r="U905" s="211">
        <v>887</v>
      </c>
      <c r="V905" s="178">
        <v>4827843896.6060324</v>
      </c>
    </row>
    <row r="906" spans="21:22" x14ac:dyDescent="0.25">
      <c r="U906" s="211">
        <v>888</v>
      </c>
      <c r="V906" s="178">
        <v>3939335819.8181806</v>
      </c>
    </row>
    <row r="907" spans="21:22" x14ac:dyDescent="0.25">
      <c r="U907" s="211">
        <v>889</v>
      </c>
      <c r="V907" s="178">
        <v>3431887496.2267337</v>
      </c>
    </row>
    <row r="908" spans="21:22" x14ac:dyDescent="0.25">
      <c r="U908" s="211">
        <v>890</v>
      </c>
      <c r="V908" s="178">
        <v>4149255073.5647635</v>
      </c>
    </row>
    <row r="909" spans="21:22" x14ac:dyDescent="0.25">
      <c r="U909" s="211">
        <v>891</v>
      </c>
      <c r="V909" s="178">
        <v>6651029950.9309978</v>
      </c>
    </row>
    <row r="910" spans="21:22" x14ac:dyDescent="0.25">
      <c r="U910" s="211">
        <v>892</v>
      </c>
      <c r="V910" s="178">
        <v>4837685240.9083633</v>
      </c>
    </row>
    <row r="911" spans="21:22" x14ac:dyDescent="0.25">
      <c r="U911" s="211">
        <v>893</v>
      </c>
      <c r="V911" s="178">
        <v>7042858131.7311945</v>
      </c>
    </row>
    <row r="912" spans="21:22" x14ac:dyDescent="0.25">
      <c r="U912" s="211">
        <v>894</v>
      </c>
      <c r="V912" s="178">
        <v>6098546571.1421022</v>
      </c>
    </row>
    <row r="913" spans="21:22" x14ac:dyDescent="0.25">
      <c r="U913" s="211">
        <v>895</v>
      </c>
      <c r="V913" s="178">
        <v>4467593069.872386</v>
      </c>
    </row>
    <row r="914" spans="21:22" x14ac:dyDescent="0.25">
      <c r="U914" s="211">
        <v>896</v>
      </c>
      <c r="V914" s="178">
        <v>5659869771.1043768</v>
      </c>
    </row>
    <row r="915" spans="21:22" x14ac:dyDescent="0.25">
      <c r="U915" s="211">
        <v>897</v>
      </c>
      <c r="V915" s="178">
        <v>8826167176.0564594</v>
      </c>
    </row>
    <row r="916" spans="21:22" x14ac:dyDescent="0.25">
      <c r="U916" s="211">
        <v>898</v>
      </c>
      <c r="V916" s="178">
        <v>3913776873.4329085</v>
      </c>
    </row>
    <row r="917" spans="21:22" x14ac:dyDescent="0.25">
      <c r="U917" s="211">
        <v>899</v>
      </c>
      <c r="V917" s="178">
        <v>7012935919.1336403</v>
      </c>
    </row>
    <row r="918" spans="21:22" x14ac:dyDescent="0.25">
      <c r="U918" s="211">
        <v>900</v>
      </c>
      <c r="V918" s="178">
        <v>5206219047.3184643</v>
      </c>
    </row>
    <row r="919" spans="21:22" x14ac:dyDescent="0.25">
      <c r="U919" s="211">
        <v>901</v>
      </c>
      <c r="V919" s="178">
        <v>5659380546.274601</v>
      </c>
    </row>
    <row r="920" spans="21:22" x14ac:dyDescent="0.25">
      <c r="U920" s="211">
        <v>902</v>
      </c>
      <c r="V920" s="178">
        <v>7798271160.6254234</v>
      </c>
    </row>
    <row r="921" spans="21:22" x14ac:dyDescent="0.25">
      <c r="U921" s="211">
        <v>903</v>
      </c>
      <c r="V921" s="178">
        <v>4581766252.6757917</v>
      </c>
    </row>
    <row r="922" spans="21:22" x14ac:dyDescent="0.25">
      <c r="U922" s="211">
        <v>904</v>
      </c>
      <c r="V922" s="178">
        <v>4398638528.4965143</v>
      </c>
    </row>
    <row r="923" spans="21:22" x14ac:dyDescent="0.25">
      <c r="U923" s="211">
        <v>905</v>
      </c>
      <c r="V923" s="178">
        <v>8923714944.5934982</v>
      </c>
    </row>
    <row r="924" spans="21:22" x14ac:dyDescent="0.25">
      <c r="U924" s="211">
        <v>906</v>
      </c>
      <c r="V924" s="178">
        <v>7195415340.873085</v>
      </c>
    </row>
    <row r="925" spans="21:22" x14ac:dyDescent="0.25">
      <c r="U925" s="211">
        <v>907</v>
      </c>
      <c r="V925" s="178">
        <v>5059799621.8527431</v>
      </c>
    </row>
    <row r="926" spans="21:22" x14ac:dyDescent="0.25">
      <c r="U926" s="211">
        <v>908</v>
      </c>
      <c r="V926" s="178">
        <v>7258554072.6466408</v>
      </c>
    </row>
    <row r="927" spans="21:22" x14ac:dyDescent="0.25">
      <c r="U927" s="211">
        <v>909</v>
      </c>
      <c r="V927" s="178">
        <v>6179340136.3073721</v>
      </c>
    </row>
    <row r="928" spans="21:22" x14ac:dyDescent="0.25">
      <c r="U928" s="211">
        <v>910</v>
      </c>
      <c r="V928" s="178">
        <v>4929869048.1501217</v>
      </c>
    </row>
    <row r="929" spans="21:22" x14ac:dyDescent="0.25">
      <c r="U929" s="211">
        <v>911</v>
      </c>
      <c r="V929" s="178">
        <v>5043937176.6880417</v>
      </c>
    </row>
    <row r="930" spans="21:22" x14ac:dyDescent="0.25">
      <c r="U930" s="211">
        <v>912</v>
      </c>
      <c r="V930" s="178">
        <v>5927978504.9477949</v>
      </c>
    </row>
    <row r="931" spans="21:22" x14ac:dyDescent="0.25">
      <c r="U931" s="211">
        <v>913</v>
      </c>
      <c r="V931" s="178">
        <v>4550004731.1567535</v>
      </c>
    </row>
    <row r="932" spans="21:22" x14ac:dyDescent="0.25">
      <c r="U932" s="211">
        <v>914</v>
      </c>
      <c r="V932" s="178">
        <v>6788918304.8772221</v>
      </c>
    </row>
    <row r="933" spans="21:22" x14ac:dyDescent="0.25">
      <c r="U933" s="211">
        <v>915</v>
      </c>
      <c r="V933" s="178">
        <v>4111984280.3668385</v>
      </c>
    </row>
    <row r="934" spans="21:22" x14ac:dyDescent="0.25">
      <c r="U934" s="211">
        <v>916</v>
      </c>
      <c r="V934" s="178">
        <v>5320629139.8442745</v>
      </c>
    </row>
    <row r="935" spans="21:22" x14ac:dyDescent="0.25">
      <c r="U935" s="211">
        <v>917</v>
      </c>
      <c r="V935" s="178">
        <v>7220091660.7157269</v>
      </c>
    </row>
    <row r="936" spans="21:22" x14ac:dyDescent="0.25">
      <c r="U936" s="211">
        <v>918</v>
      </c>
      <c r="V936" s="178">
        <v>5171386393.5250921</v>
      </c>
    </row>
    <row r="937" spans="21:22" x14ac:dyDescent="0.25">
      <c r="U937" s="211">
        <v>919</v>
      </c>
      <c r="V937" s="178">
        <v>5344177863.6353569</v>
      </c>
    </row>
    <row r="938" spans="21:22" x14ac:dyDescent="0.25">
      <c r="U938" s="211">
        <v>920</v>
      </c>
      <c r="V938" s="178">
        <v>7023226162.4421167</v>
      </c>
    </row>
    <row r="939" spans="21:22" x14ac:dyDescent="0.25">
      <c r="U939" s="211">
        <v>921</v>
      </c>
      <c r="V939" s="178">
        <v>5219974546.8357182</v>
      </c>
    </row>
    <row r="940" spans="21:22" x14ac:dyDescent="0.25">
      <c r="U940" s="211">
        <v>922</v>
      </c>
      <c r="V940" s="178">
        <v>4917963180.1317472</v>
      </c>
    </row>
    <row r="941" spans="21:22" x14ac:dyDescent="0.25">
      <c r="U941" s="211">
        <v>923</v>
      </c>
      <c r="V941" s="178">
        <v>5479733101.2597685</v>
      </c>
    </row>
    <row r="942" spans="21:22" x14ac:dyDescent="0.25">
      <c r="U942" s="211">
        <v>924</v>
      </c>
      <c r="V942" s="178">
        <v>3712986047.4391322</v>
      </c>
    </row>
    <row r="943" spans="21:22" x14ac:dyDescent="0.25">
      <c r="U943" s="211">
        <v>925</v>
      </c>
      <c r="V943" s="178">
        <v>6489819389.9590797</v>
      </c>
    </row>
    <row r="944" spans="21:22" x14ac:dyDescent="0.25">
      <c r="U944" s="211">
        <v>926</v>
      </c>
      <c r="V944" s="178">
        <v>5812018958.761898</v>
      </c>
    </row>
    <row r="945" spans="21:22" x14ac:dyDescent="0.25">
      <c r="U945" s="211">
        <v>927</v>
      </c>
      <c r="V945" s="178">
        <v>2527520035.5948782</v>
      </c>
    </row>
    <row r="946" spans="21:22" x14ac:dyDescent="0.25">
      <c r="U946" s="211">
        <v>928</v>
      </c>
      <c r="V946" s="178">
        <v>5813620107.1809149</v>
      </c>
    </row>
    <row r="947" spans="21:22" x14ac:dyDescent="0.25">
      <c r="U947" s="211">
        <v>929</v>
      </c>
      <c r="V947" s="178">
        <v>6375812152.0980072</v>
      </c>
    </row>
    <row r="948" spans="21:22" x14ac:dyDescent="0.25">
      <c r="U948" s="211">
        <v>930</v>
      </c>
      <c r="V948" s="178">
        <v>3808178371.4525542</v>
      </c>
    </row>
    <row r="949" spans="21:22" x14ac:dyDescent="0.25">
      <c r="U949" s="211">
        <v>931</v>
      </c>
      <c r="V949" s="178">
        <v>4796233599.5387249</v>
      </c>
    </row>
    <row r="950" spans="21:22" x14ac:dyDescent="0.25">
      <c r="U950" s="211">
        <v>932</v>
      </c>
      <c r="V950" s="178">
        <v>6684540411.3779268</v>
      </c>
    </row>
    <row r="951" spans="21:22" x14ac:dyDescent="0.25">
      <c r="U951" s="211">
        <v>933</v>
      </c>
      <c r="V951" s="178">
        <v>5984773326.0649462</v>
      </c>
    </row>
    <row r="952" spans="21:22" x14ac:dyDescent="0.25">
      <c r="U952" s="211">
        <v>934</v>
      </c>
      <c r="V952" s="178">
        <v>5717149051.8141556</v>
      </c>
    </row>
    <row r="953" spans="21:22" x14ac:dyDescent="0.25">
      <c r="U953" s="211">
        <v>935</v>
      </c>
      <c r="V953" s="178">
        <v>5562821603.8894691</v>
      </c>
    </row>
    <row r="954" spans="21:22" x14ac:dyDescent="0.25">
      <c r="U954" s="211">
        <v>936</v>
      </c>
      <c r="V954" s="178">
        <v>5750653477.2114649</v>
      </c>
    </row>
    <row r="955" spans="21:22" x14ac:dyDescent="0.25">
      <c r="U955" s="211">
        <v>937</v>
      </c>
      <c r="V955" s="178">
        <v>5217752938.3278046</v>
      </c>
    </row>
    <row r="956" spans="21:22" x14ac:dyDescent="0.25">
      <c r="U956" s="211">
        <v>938</v>
      </c>
      <c r="V956" s="178">
        <v>4169700704.7960467</v>
      </c>
    </row>
    <row r="957" spans="21:22" x14ac:dyDescent="0.25">
      <c r="U957" s="211">
        <v>939</v>
      </c>
      <c r="V957" s="178">
        <v>6287386645.4323397</v>
      </c>
    </row>
    <row r="958" spans="21:22" x14ac:dyDescent="0.25">
      <c r="U958" s="211">
        <v>940</v>
      </c>
      <c r="V958" s="178">
        <v>7767893805.2524214</v>
      </c>
    </row>
    <row r="959" spans="21:22" x14ac:dyDescent="0.25">
      <c r="U959" s="211">
        <v>941</v>
      </c>
      <c r="V959" s="178">
        <v>6619343740.504077</v>
      </c>
    </row>
    <row r="960" spans="21:22" x14ac:dyDescent="0.25">
      <c r="U960" s="211">
        <v>942</v>
      </c>
      <c r="V960" s="178">
        <v>4450510852.4377937</v>
      </c>
    </row>
    <row r="961" spans="21:22" x14ac:dyDescent="0.25">
      <c r="U961" s="211">
        <v>943</v>
      </c>
      <c r="V961" s="178">
        <v>6186218566.9723377</v>
      </c>
    </row>
    <row r="962" spans="21:22" x14ac:dyDescent="0.25">
      <c r="U962" s="211">
        <v>944</v>
      </c>
      <c r="V962" s="178">
        <v>4418456301.514781</v>
      </c>
    </row>
    <row r="963" spans="21:22" x14ac:dyDescent="0.25">
      <c r="U963" s="211">
        <v>945</v>
      </c>
      <c r="V963" s="178">
        <v>4283897179.9680333</v>
      </c>
    </row>
    <row r="964" spans="21:22" x14ac:dyDescent="0.25">
      <c r="U964" s="211">
        <v>946</v>
      </c>
      <c r="V964" s="178">
        <v>4969831238.7670374</v>
      </c>
    </row>
    <row r="965" spans="21:22" x14ac:dyDescent="0.25">
      <c r="U965" s="211">
        <v>947</v>
      </c>
      <c r="V965" s="178">
        <v>5831385178.5198812</v>
      </c>
    </row>
    <row r="966" spans="21:22" x14ac:dyDescent="0.25">
      <c r="U966" s="211">
        <v>948</v>
      </c>
      <c r="V966" s="178">
        <v>4773296668.0823975</v>
      </c>
    </row>
    <row r="967" spans="21:22" x14ac:dyDescent="0.25">
      <c r="U967" s="211">
        <v>949</v>
      </c>
      <c r="V967" s="178">
        <v>6731034318.6728697</v>
      </c>
    </row>
    <row r="968" spans="21:22" x14ac:dyDescent="0.25">
      <c r="U968" s="211">
        <v>950</v>
      </c>
      <c r="V968" s="178">
        <v>10054530114.344</v>
      </c>
    </row>
    <row r="969" spans="21:22" x14ac:dyDescent="0.25">
      <c r="U969" s="211">
        <v>951</v>
      </c>
      <c r="V969" s="178">
        <v>6466977751.2090788</v>
      </c>
    </row>
    <row r="970" spans="21:22" x14ac:dyDescent="0.25">
      <c r="U970" s="211">
        <v>952</v>
      </c>
      <c r="V970" s="178">
        <v>7430060931.4676933</v>
      </c>
    </row>
    <row r="971" spans="21:22" x14ac:dyDescent="0.25">
      <c r="U971" s="211">
        <v>953</v>
      </c>
      <c r="V971" s="178">
        <v>4448553865.8101168</v>
      </c>
    </row>
    <row r="972" spans="21:22" x14ac:dyDescent="0.25">
      <c r="U972" s="211">
        <v>954</v>
      </c>
      <c r="V972" s="178">
        <v>5604018012.2466249</v>
      </c>
    </row>
    <row r="973" spans="21:22" x14ac:dyDescent="0.25">
      <c r="U973" s="211">
        <v>955</v>
      </c>
      <c r="V973" s="178">
        <v>5314820324.0878439</v>
      </c>
    </row>
    <row r="974" spans="21:22" x14ac:dyDescent="0.25">
      <c r="U974" s="211">
        <v>956</v>
      </c>
      <c r="V974" s="178">
        <v>9073680883.4499645</v>
      </c>
    </row>
    <row r="975" spans="21:22" x14ac:dyDescent="0.25">
      <c r="U975" s="211">
        <v>957</v>
      </c>
      <c r="V975" s="178">
        <v>5421651856.0912962</v>
      </c>
    </row>
    <row r="976" spans="21:22" x14ac:dyDescent="0.25">
      <c r="U976" s="211">
        <v>958</v>
      </c>
      <c r="V976" s="178">
        <v>6203068374.4212742</v>
      </c>
    </row>
    <row r="977" spans="21:22" x14ac:dyDescent="0.25">
      <c r="U977" s="211">
        <v>959</v>
      </c>
      <c r="V977" s="178">
        <v>8045325147.8293724</v>
      </c>
    </row>
    <row r="978" spans="21:22" x14ac:dyDescent="0.25">
      <c r="U978" s="211">
        <v>960</v>
      </c>
      <c r="V978" s="178">
        <v>4296672616.6156044</v>
      </c>
    </row>
    <row r="979" spans="21:22" x14ac:dyDescent="0.25">
      <c r="U979" s="211">
        <v>961</v>
      </c>
      <c r="V979" s="178">
        <v>5915229556.0714388</v>
      </c>
    </row>
    <row r="980" spans="21:22" x14ac:dyDescent="0.25">
      <c r="U980" s="211">
        <v>962</v>
      </c>
      <c r="V980" s="178">
        <v>8087310954.2384596</v>
      </c>
    </row>
    <row r="981" spans="21:22" x14ac:dyDescent="0.25">
      <c r="U981" s="211">
        <v>963</v>
      </c>
      <c r="V981" s="178">
        <v>7502865340.6539125</v>
      </c>
    </row>
    <row r="982" spans="21:22" x14ac:dyDescent="0.25">
      <c r="U982" s="211">
        <v>964</v>
      </c>
      <c r="V982" s="178">
        <v>4276254960.6939201</v>
      </c>
    </row>
    <row r="983" spans="21:22" x14ac:dyDescent="0.25">
      <c r="U983" s="211">
        <v>965</v>
      </c>
      <c r="V983" s="178">
        <v>4472366891.6222773</v>
      </c>
    </row>
    <row r="984" spans="21:22" x14ac:dyDescent="0.25">
      <c r="U984" s="211">
        <v>966</v>
      </c>
      <c r="V984" s="178">
        <v>7419538401.6361809</v>
      </c>
    </row>
    <row r="985" spans="21:22" x14ac:dyDescent="0.25">
      <c r="U985" s="211">
        <v>967</v>
      </c>
      <c r="V985" s="178">
        <v>4524358481.1427393</v>
      </c>
    </row>
    <row r="986" spans="21:22" x14ac:dyDescent="0.25">
      <c r="U986" s="211">
        <v>968</v>
      </c>
      <c r="V986" s="178">
        <v>6062207672.6898365</v>
      </c>
    </row>
    <row r="987" spans="21:22" x14ac:dyDescent="0.25">
      <c r="U987" s="211">
        <v>969</v>
      </c>
      <c r="V987" s="178">
        <v>5018961582.3722172</v>
      </c>
    </row>
    <row r="988" spans="21:22" x14ac:dyDescent="0.25">
      <c r="U988" s="211">
        <v>970</v>
      </c>
      <c r="V988" s="178">
        <v>5431547311.0109701</v>
      </c>
    </row>
    <row r="989" spans="21:22" x14ac:dyDescent="0.25">
      <c r="U989" s="211">
        <v>971</v>
      </c>
      <c r="V989" s="178">
        <v>4997532347.3101511</v>
      </c>
    </row>
    <row r="990" spans="21:22" x14ac:dyDescent="0.25">
      <c r="U990" s="211">
        <v>972</v>
      </c>
      <c r="V990" s="178">
        <v>5620549944.8109121</v>
      </c>
    </row>
    <row r="991" spans="21:22" x14ac:dyDescent="0.25">
      <c r="U991" s="211">
        <v>973</v>
      </c>
      <c r="V991" s="178">
        <v>4525671250.563055</v>
      </c>
    </row>
    <row r="992" spans="21:22" x14ac:dyDescent="0.25">
      <c r="U992" s="211">
        <v>974</v>
      </c>
      <c r="V992" s="178">
        <v>5962726986.8287182</v>
      </c>
    </row>
    <row r="993" spans="21:22" x14ac:dyDescent="0.25">
      <c r="U993" s="211">
        <v>975</v>
      </c>
      <c r="V993" s="178">
        <v>4509378764.4296074</v>
      </c>
    </row>
    <row r="994" spans="21:22" x14ac:dyDescent="0.25">
      <c r="U994" s="211">
        <v>976</v>
      </c>
      <c r="V994" s="178">
        <v>5842188838.1780062</v>
      </c>
    </row>
    <row r="995" spans="21:22" x14ac:dyDescent="0.25">
      <c r="U995" s="211">
        <v>977</v>
      </c>
      <c r="V995" s="178">
        <v>6961689418.8450537</v>
      </c>
    </row>
    <row r="996" spans="21:22" x14ac:dyDescent="0.25">
      <c r="U996" s="211">
        <v>978</v>
      </c>
      <c r="V996" s="178">
        <v>5679860249.1584024</v>
      </c>
    </row>
    <row r="997" spans="21:22" x14ac:dyDescent="0.25">
      <c r="U997" s="211">
        <v>979</v>
      </c>
      <c r="V997" s="178">
        <v>4423329645.456109</v>
      </c>
    </row>
    <row r="998" spans="21:22" x14ac:dyDescent="0.25">
      <c r="U998" s="211">
        <v>980</v>
      </c>
      <c r="V998" s="178">
        <v>6418364464.0733614</v>
      </c>
    </row>
    <row r="999" spans="21:22" x14ac:dyDescent="0.25">
      <c r="U999" s="211">
        <v>981</v>
      </c>
      <c r="V999" s="178">
        <v>6413352235.3432484</v>
      </c>
    </row>
    <row r="1000" spans="21:22" x14ac:dyDescent="0.25">
      <c r="U1000" s="211">
        <v>982</v>
      </c>
      <c r="V1000" s="178">
        <v>8780066590.5493069</v>
      </c>
    </row>
    <row r="1001" spans="21:22" x14ac:dyDescent="0.25">
      <c r="U1001" s="211">
        <v>983</v>
      </c>
      <c r="V1001" s="178">
        <v>6536094843.7513866</v>
      </c>
    </row>
    <row r="1002" spans="21:22" x14ac:dyDescent="0.25">
      <c r="U1002" s="211">
        <v>984</v>
      </c>
      <c r="V1002" s="178">
        <v>4462572557.1264524</v>
      </c>
    </row>
    <row r="1003" spans="21:22" x14ac:dyDescent="0.25">
      <c r="U1003" s="211">
        <v>985</v>
      </c>
      <c r="V1003" s="178">
        <v>4868595034.3967476</v>
      </c>
    </row>
    <row r="1004" spans="21:22" x14ac:dyDescent="0.25">
      <c r="U1004" s="211">
        <v>986</v>
      </c>
      <c r="V1004" s="178">
        <v>5174308965.9024458</v>
      </c>
    </row>
    <row r="1005" spans="21:22" x14ac:dyDescent="0.25">
      <c r="U1005" s="211">
        <v>987</v>
      </c>
      <c r="V1005" s="178">
        <v>5272591823.3401098</v>
      </c>
    </row>
    <row r="1006" spans="21:22" x14ac:dyDescent="0.25">
      <c r="U1006" s="211">
        <v>988</v>
      </c>
      <c r="V1006" s="178">
        <v>4267862305.4628639</v>
      </c>
    </row>
    <row r="1007" spans="21:22" x14ac:dyDescent="0.25">
      <c r="U1007" s="211">
        <v>989</v>
      </c>
      <c r="V1007" s="178">
        <v>5474547401.192462</v>
      </c>
    </row>
    <row r="1008" spans="21:22" x14ac:dyDescent="0.25">
      <c r="U1008" s="211">
        <v>990</v>
      </c>
      <c r="V1008" s="178">
        <v>4504325295.2666941</v>
      </c>
    </row>
    <row r="1009" spans="21:22" x14ac:dyDescent="0.25">
      <c r="U1009" s="211">
        <v>991</v>
      </c>
      <c r="V1009" s="178">
        <v>8661597682.2829838</v>
      </c>
    </row>
    <row r="1010" spans="21:22" x14ac:dyDescent="0.25">
      <c r="U1010" s="211">
        <v>992</v>
      </c>
      <c r="V1010" s="178">
        <v>4816725212.6031752</v>
      </c>
    </row>
    <row r="1011" spans="21:22" x14ac:dyDescent="0.25">
      <c r="U1011" s="211">
        <v>993</v>
      </c>
      <c r="V1011" s="178">
        <v>11267177229.979202</v>
      </c>
    </row>
    <row r="1012" spans="21:22" x14ac:dyDescent="0.25">
      <c r="U1012" s="211">
        <v>994</v>
      </c>
      <c r="V1012" s="178">
        <v>6619654254.7682781</v>
      </c>
    </row>
    <row r="1013" spans="21:22" x14ac:dyDescent="0.25">
      <c r="U1013" s="211">
        <v>995</v>
      </c>
      <c r="V1013" s="178">
        <v>5275160245.1145287</v>
      </c>
    </row>
    <row r="1014" spans="21:22" x14ac:dyDescent="0.25">
      <c r="U1014" s="211">
        <v>996</v>
      </c>
      <c r="V1014" s="178">
        <v>3154946721.240139</v>
      </c>
    </row>
    <row r="1015" spans="21:22" x14ac:dyDescent="0.25">
      <c r="U1015" s="211">
        <v>997</v>
      </c>
      <c r="V1015" s="178">
        <v>5454719273.4516993</v>
      </c>
    </row>
    <row r="1016" spans="21:22" x14ac:dyDescent="0.25">
      <c r="U1016" s="211">
        <v>998</v>
      </c>
      <c r="V1016" s="178">
        <v>7832956247.5430737</v>
      </c>
    </row>
    <row r="1017" spans="21:22" x14ac:dyDescent="0.25">
      <c r="U1017" s="211">
        <v>999</v>
      </c>
      <c r="V1017" s="178">
        <v>7946159407.2644863</v>
      </c>
    </row>
    <row r="1018" spans="21:22" x14ac:dyDescent="0.25">
      <c r="U1018" s="211">
        <v>1000</v>
      </c>
      <c r="V1018" s="178">
        <v>8145984944.8458652</v>
      </c>
    </row>
  </sheetData>
  <mergeCells count="19">
    <mergeCell ref="N17:P17"/>
    <mergeCell ref="B11:C11"/>
    <mergeCell ref="B12:C12"/>
    <mergeCell ref="B13:C13"/>
    <mergeCell ref="B14:C14"/>
    <mergeCell ref="B2:C2"/>
    <mergeCell ref="B4:C4"/>
    <mergeCell ref="F1:K1"/>
    <mergeCell ref="F17:H17"/>
    <mergeCell ref="I17:J17"/>
    <mergeCell ref="K17:M17"/>
    <mergeCell ref="B3:C3"/>
    <mergeCell ref="B5:C5"/>
    <mergeCell ref="B6:C6"/>
    <mergeCell ref="B7:C7"/>
    <mergeCell ref="B8:C8"/>
    <mergeCell ref="B9:C9"/>
    <mergeCell ref="B10:C10"/>
    <mergeCell ref="B1:D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90947-5474-4223-B0B5-8CF00B6630ED}">
  <dimension ref="A1:X1018"/>
  <sheetViews>
    <sheetView showGridLines="0" topLeftCell="M986" zoomScale="85" zoomScaleNormal="85" workbookViewId="0">
      <selection activeCell="V19" sqref="V19:V1018"/>
    </sheetView>
  </sheetViews>
  <sheetFormatPr defaultRowHeight="13.8" x14ac:dyDescent="0.25"/>
  <cols>
    <col min="1" max="1" width="8.88671875" style="174"/>
    <col min="2" max="2" width="39.33203125" style="166" customWidth="1"/>
    <col min="3" max="3" width="6.6640625" style="166" bestFit="1" customWidth="1"/>
    <col min="4" max="4" width="26" style="170" bestFit="1" customWidth="1"/>
    <col min="5" max="5" width="19.88671875" style="170" bestFit="1" customWidth="1"/>
    <col min="6" max="6" width="16.6640625" style="170" bestFit="1" customWidth="1"/>
    <col min="7" max="7" width="23.21875" style="174" bestFit="1" customWidth="1"/>
    <col min="8" max="8" width="20.21875" style="174" bestFit="1" customWidth="1"/>
    <col min="9" max="9" width="27.5546875" style="174" bestFit="1" customWidth="1"/>
    <col min="10" max="10" width="30.109375" style="174" bestFit="1" customWidth="1"/>
    <col min="11" max="11" width="21.44140625" style="174" bestFit="1" customWidth="1"/>
    <col min="12" max="12" width="23.21875" style="174" bestFit="1" customWidth="1"/>
    <col min="13" max="13" width="23.88671875" style="174" bestFit="1" customWidth="1"/>
    <col min="14" max="14" width="20.6640625" style="174" bestFit="1" customWidth="1"/>
    <col min="15" max="15" width="23.21875" style="174" bestFit="1" customWidth="1"/>
    <col min="16" max="16" width="23.109375" style="174" bestFit="1" customWidth="1"/>
    <col min="17" max="17" width="20.5546875" style="170" bestFit="1" customWidth="1"/>
    <col min="18" max="18" width="17.77734375" style="170" bestFit="1" customWidth="1"/>
    <col min="19" max="19" width="24.6640625" style="166" bestFit="1" customWidth="1"/>
    <col min="20" max="20" width="8.88671875" style="166"/>
    <col min="21" max="21" width="10.44140625" style="170" bestFit="1" customWidth="1"/>
    <col min="22" max="22" width="18.44140625" style="166" customWidth="1"/>
    <col min="23" max="23" width="32.44140625" style="170" bestFit="1" customWidth="1"/>
    <col min="24" max="24" width="15.6640625" style="170" bestFit="1" customWidth="1"/>
    <col min="25" max="16384" width="8.88671875" style="166"/>
  </cols>
  <sheetData>
    <row r="1" spans="2:20" x14ac:dyDescent="0.25">
      <c r="B1" s="440" t="s">
        <v>639</v>
      </c>
      <c r="C1" s="440"/>
      <c r="D1" s="440"/>
      <c r="F1" s="305" t="s">
        <v>445</v>
      </c>
      <c r="G1" s="305"/>
      <c r="H1" s="305"/>
      <c r="I1" s="305"/>
      <c r="J1" s="305"/>
      <c r="K1" s="305"/>
      <c r="L1" s="138"/>
      <c r="M1" s="138"/>
      <c r="N1" s="138"/>
      <c r="O1" s="138"/>
      <c r="P1" s="138"/>
      <c r="R1" s="176" t="s">
        <v>475</v>
      </c>
      <c r="S1" s="179" t="s">
        <v>477</v>
      </c>
      <c r="T1" s="167"/>
    </row>
    <row r="2" spans="2:20" x14ac:dyDescent="0.25">
      <c r="B2" s="429" t="s">
        <v>419</v>
      </c>
      <c r="C2" s="429"/>
      <c r="D2" s="186">
        <f>'12. Balance Sheet'!$C$7+'12. Balance Sheet'!$C$10</f>
        <v>42000000</v>
      </c>
      <c r="E2" s="171"/>
      <c r="F2" s="79" t="s">
        <v>96</v>
      </c>
      <c r="G2" s="79" t="s">
        <v>432</v>
      </c>
      <c r="H2" s="79" t="s">
        <v>433</v>
      </c>
      <c r="I2" s="79" t="s">
        <v>434</v>
      </c>
      <c r="J2" s="79" t="s">
        <v>435</v>
      </c>
      <c r="K2" s="79" t="s">
        <v>436</v>
      </c>
      <c r="L2" s="138"/>
      <c r="M2" s="138"/>
      <c r="N2" s="138"/>
      <c r="O2" s="138"/>
      <c r="P2" s="138"/>
      <c r="R2" s="170" t="s">
        <v>476</v>
      </c>
      <c r="S2" s="180">
        <f>'5. Down payment savings'!C1</f>
        <v>2700000000</v>
      </c>
      <c r="T2" s="167"/>
    </row>
    <row r="3" spans="2:20" x14ac:dyDescent="0.25">
      <c r="B3" s="434"/>
      <c r="C3" s="434"/>
      <c r="D3" s="171"/>
      <c r="E3" s="171"/>
      <c r="F3" s="79" t="s">
        <v>431</v>
      </c>
      <c r="G3" s="121">
        <f>'14.1. Asset Allocation'!I14</f>
        <v>0</v>
      </c>
      <c r="H3" s="121">
        <f>'14.1. Asset Allocation'!J14</f>
        <v>0</v>
      </c>
      <c r="I3" s="121">
        <f>'14.1. Asset Allocation'!K14</f>
        <v>0.1</v>
      </c>
      <c r="J3" s="121">
        <f>'14.1. Asset Allocation'!L14</f>
        <v>0.15</v>
      </c>
      <c r="K3" s="121">
        <f>'14.1. Asset Allocation'!M14</f>
        <v>0.6</v>
      </c>
      <c r="L3" s="149"/>
      <c r="M3" s="149"/>
      <c r="N3" s="149"/>
      <c r="O3" s="149"/>
      <c r="P3" s="149"/>
      <c r="R3" s="170" t="s">
        <v>119</v>
      </c>
      <c r="S3" s="180">
        <f>'6. Mortgage payment'!C4</f>
        <v>4456521135.9900026</v>
      </c>
      <c r="T3" s="167"/>
    </row>
    <row r="4" spans="2:20" x14ac:dyDescent="0.25">
      <c r="B4" s="430" t="s">
        <v>420</v>
      </c>
      <c r="C4" s="430"/>
      <c r="D4" s="187"/>
      <c r="F4" s="79" t="s">
        <v>100</v>
      </c>
      <c r="G4" s="121">
        <f>'14.1. Asset Allocation'!I15</f>
        <v>0.05</v>
      </c>
      <c r="H4" s="121">
        <f>'14.1. Asset Allocation'!J15</f>
        <v>0</v>
      </c>
      <c r="I4" s="121">
        <f>'14.1. Asset Allocation'!K15</f>
        <v>0.05</v>
      </c>
      <c r="J4" s="121">
        <f>'14.1. Asset Allocation'!L15</f>
        <v>0.1</v>
      </c>
      <c r="K4" s="121">
        <f>'14.1. Asset Allocation'!M15</f>
        <v>0.15</v>
      </c>
      <c r="L4" s="149"/>
      <c r="M4" s="149"/>
      <c r="N4" s="149"/>
      <c r="O4" s="149"/>
      <c r="P4" s="149"/>
      <c r="R4" s="170" t="s">
        <v>480</v>
      </c>
      <c r="S4" s="180">
        <f>150000000*8</f>
        <v>1200000000</v>
      </c>
      <c r="T4" s="167"/>
    </row>
    <row r="5" spans="2:20" x14ac:dyDescent="0.25">
      <c r="B5" s="435" t="s">
        <v>102</v>
      </c>
      <c r="C5" s="435"/>
      <c r="D5" s="191">
        <f>'14.2. Risk &amp; Return'!$B$2</f>
        <v>2.3179999999999999E-2</v>
      </c>
      <c r="E5" s="172"/>
      <c r="F5" s="79" t="s">
        <v>420</v>
      </c>
      <c r="G5" s="121">
        <f>'14.1. Asset Allocation'!I16</f>
        <v>0.1</v>
      </c>
      <c r="H5" s="121">
        <f>'14.1. Asset Allocation'!J16</f>
        <v>0.05</v>
      </c>
      <c r="I5" s="121">
        <f>'14.1. Asset Allocation'!K16</f>
        <v>0.05</v>
      </c>
      <c r="J5" s="121">
        <f>'14.1. Asset Allocation'!L16</f>
        <v>0.4</v>
      </c>
      <c r="K5" s="121">
        <f>'14.1. Asset Allocation'!M16</f>
        <v>0.15</v>
      </c>
      <c r="L5" s="149"/>
      <c r="M5" s="149"/>
      <c r="N5" s="149"/>
      <c r="O5" s="149"/>
      <c r="P5" s="149"/>
      <c r="R5" s="170" t="s">
        <v>59</v>
      </c>
      <c r="S5" s="180">
        <f>(2086-2063)*200000000</f>
        <v>4600000000</v>
      </c>
      <c r="T5" s="167"/>
    </row>
    <row r="6" spans="2:20" x14ac:dyDescent="0.25">
      <c r="B6" s="436" t="s">
        <v>100</v>
      </c>
      <c r="C6" s="436"/>
      <c r="D6" s="188"/>
      <c r="F6" s="79" t="s">
        <v>452</v>
      </c>
      <c r="G6" s="121">
        <f>'14.1. Asset Allocation'!I17</f>
        <v>0.44999999999999996</v>
      </c>
      <c r="H6" s="121">
        <f>'14.1. Asset Allocation'!J17</f>
        <v>0.5</v>
      </c>
      <c r="I6" s="121">
        <f>'14.1. Asset Allocation'!K17</f>
        <v>0.4</v>
      </c>
      <c r="J6" s="121">
        <f>'14.1. Asset Allocation'!L17</f>
        <v>0.19999999999999996</v>
      </c>
      <c r="K6" s="121">
        <f>'14.1. Asset Allocation'!M17</f>
        <v>0.05</v>
      </c>
      <c r="L6" s="149"/>
      <c r="M6" s="149"/>
      <c r="N6" s="149"/>
      <c r="O6" s="149"/>
      <c r="P6" s="149"/>
      <c r="T6" s="167"/>
    </row>
    <row r="7" spans="2:20" x14ac:dyDescent="0.25">
      <c r="B7" s="437" t="s">
        <v>102</v>
      </c>
      <c r="C7" s="437"/>
      <c r="D7" s="192">
        <f>'14.2. Risk &amp; Return'!$G$3</f>
        <v>6.1999999999999993E-2</v>
      </c>
      <c r="E7" s="172"/>
      <c r="F7" s="79" t="s">
        <v>457</v>
      </c>
      <c r="G7" s="121">
        <f>'14.1. Asset Allocation'!I18</f>
        <v>0.4</v>
      </c>
      <c r="H7" s="121">
        <f>'14.1. Asset Allocation'!J18</f>
        <v>0.45</v>
      </c>
      <c r="I7" s="121">
        <f>'14.1. Asset Allocation'!K18</f>
        <v>0.4</v>
      </c>
      <c r="J7" s="121">
        <f>'14.1. Asset Allocation'!L18</f>
        <v>0.15</v>
      </c>
      <c r="K7" s="121">
        <f>'14.1. Asset Allocation'!M18</f>
        <v>0.05</v>
      </c>
      <c r="L7" s="149"/>
      <c r="M7" s="149"/>
      <c r="N7" s="149"/>
      <c r="O7" s="149"/>
      <c r="P7" s="149"/>
      <c r="R7" s="173"/>
      <c r="T7" s="167"/>
    </row>
    <row r="8" spans="2:20" x14ac:dyDescent="0.25">
      <c r="B8" s="437" t="s">
        <v>103</v>
      </c>
      <c r="C8" s="437"/>
      <c r="D8" s="192">
        <f>'14.2. Risk &amp; Return'!$H$3</f>
        <v>7.1554175279993281E-3</v>
      </c>
      <c r="E8" s="172"/>
      <c r="G8" s="169">
        <f>SUM(G3:G7)</f>
        <v>1</v>
      </c>
      <c r="H8" s="169">
        <f t="shared" ref="H8:K8" si="0">SUM(H3:H7)</f>
        <v>1</v>
      </c>
      <c r="I8" s="169">
        <f t="shared" si="0"/>
        <v>1</v>
      </c>
      <c r="J8" s="169">
        <f t="shared" si="0"/>
        <v>1</v>
      </c>
      <c r="K8" s="169">
        <f t="shared" si="0"/>
        <v>1</v>
      </c>
      <c r="L8" s="169"/>
      <c r="M8" s="169"/>
      <c r="N8" s="169"/>
      <c r="O8" s="169"/>
      <c r="P8" s="169"/>
      <c r="Q8" s="173"/>
    </row>
    <row r="9" spans="2:20" x14ac:dyDescent="0.25">
      <c r="B9" s="438" t="s">
        <v>454</v>
      </c>
      <c r="C9" s="438"/>
      <c r="D9" s="189"/>
      <c r="E9" s="173"/>
    </row>
    <row r="10" spans="2:20" x14ac:dyDescent="0.25">
      <c r="B10" s="439" t="s">
        <v>102</v>
      </c>
      <c r="C10" s="439"/>
      <c r="D10" s="193">
        <f>'14.2. Risk &amp; Return'!$P$3</f>
        <v>0.12096780994737265</v>
      </c>
      <c r="E10" s="172"/>
    </row>
    <row r="11" spans="2:20" x14ac:dyDescent="0.25">
      <c r="B11" s="439" t="s">
        <v>103</v>
      </c>
      <c r="C11" s="439"/>
      <c r="D11" s="193">
        <f>'14.2. Risk &amp; Return'!$Q$3</f>
        <v>0.31828625710822772</v>
      </c>
      <c r="E11" s="172"/>
    </row>
    <row r="12" spans="2:20" x14ac:dyDescent="0.25">
      <c r="B12" s="442" t="s">
        <v>457</v>
      </c>
      <c r="C12" s="442"/>
      <c r="D12" s="190"/>
      <c r="E12" s="173"/>
    </row>
    <row r="13" spans="2:20" x14ac:dyDescent="0.25">
      <c r="B13" s="443" t="s">
        <v>102</v>
      </c>
      <c r="C13" s="443"/>
      <c r="D13" s="194">
        <f>'14.2. Risk &amp; Return'!$Y$3</f>
        <v>7.2781116971925436E-2</v>
      </c>
      <c r="E13" s="172"/>
    </row>
    <row r="14" spans="2:20" x14ac:dyDescent="0.25">
      <c r="B14" s="443" t="s">
        <v>103</v>
      </c>
      <c r="C14" s="443"/>
      <c r="D14" s="194">
        <f>'14.2. Risk &amp; Return'!$Z$3</f>
        <v>1.9082744993773267E-2</v>
      </c>
      <c r="E14" s="172"/>
    </row>
    <row r="15" spans="2:20" x14ac:dyDescent="0.25">
      <c r="D15" s="171"/>
      <c r="E15" s="171"/>
    </row>
    <row r="16" spans="2:20" x14ac:dyDescent="0.25">
      <c r="D16" s="171"/>
      <c r="E16" s="171"/>
    </row>
    <row r="17" spans="1:24" x14ac:dyDescent="0.25">
      <c r="E17" s="229" t="s">
        <v>431</v>
      </c>
      <c r="F17" s="431" t="s">
        <v>100</v>
      </c>
      <c r="G17" s="431"/>
      <c r="H17" s="431"/>
      <c r="I17" s="432" t="s">
        <v>420</v>
      </c>
      <c r="J17" s="432"/>
      <c r="K17" s="433" t="s">
        <v>452</v>
      </c>
      <c r="L17" s="433"/>
      <c r="M17" s="433"/>
      <c r="N17" s="441" t="s">
        <v>457</v>
      </c>
      <c r="O17" s="441"/>
      <c r="P17" s="441"/>
    </row>
    <row r="18" spans="1:24" s="170" customFormat="1" x14ac:dyDescent="0.25">
      <c r="A18" s="176" t="s">
        <v>322</v>
      </c>
      <c r="B18" s="176" t="s">
        <v>9</v>
      </c>
      <c r="C18" s="176" t="s">
        <v>458</v>
      </c>
      <c r="D18" s="176" t="s">
        <v>101</v>
      </c>
      <c r="E18" s="212" t="s">
        <v>459</v>
      </c>
      <c r="F18" s="213" t="s">
        <v>460</v>
      </c>
      <c r="G18" s="213" t="s">
        <v>462</v>
      </c>
      <c r="H18" s="213" t="s">
        <v>461</v>
      </c>
      <c r="I18" s="214" t="s">
        <v>422</v>
      </c>
      <c r="J18" s="214" t="s">
        <v>467</v>
      </c>
      <c r="K18" s="215" t="s">
        <v>463</v>
      </c>
      <c r="L18" s="215" t="s">
        <v>462</v>
      </c>
      <c r="M18" s="215" t="s">
        <v>464</v>
      </c>
      <c r="N18" s="216" t="s">
        <v>465</v>
      </c>
      <c r="O18" s="216" t="s">
        <v>462</v>
      </c>
      <c r="P18" s="216" t="s">
        <v>466</v>
      </c>
      <c r="Q18" s="176" t="s">
        <v>423</v>
      </c>
      <c r="R18" s="176" t="s">
        <v>473</v>
      </c>
      <c r="S18" s="176" t="s">
        <v>474</v>
      </c>
      <c r="U18" s="197" t="s">
        <v>424</v>
      </c>
      <c r="V18" s="196">
        <f ca="1">S19</f>
        <v>5520564798.5633621</v>
      </c>
    </row>
    <row r="19" spans="1:24" x14ac:dyDescent="0.25">
      <c r="A19" s="198">
        <v>1</v>
      </c>
      <c r="B19" s="199">
        <v>2024</v>
      </c>
      <c r="C19" s="199" cm="1">
        <f t="array" ref="C19">_xlfn.IFS(AND(B19&gt;=2024,B19&lt;=2034),1,AND(B19&gt;=2035,B19&lt;=2044),2,AND(B19&gt;=2045,B19&lt;=2055),3,AND(B19&gt;=2056,B19&lt;=2062),4,B19&gt;=2063,5)</f>
        <v>1</v>
      </c>
      <c r="D19" s="200">
        <f>D2</f>
        <v>42000000</v>
      </c>
      <c r="E19" s="201" cm="1">
        <f t="array" ref="E19">D19*_xlfn.IFS(C19=1,$G$3,C19=2,$H$3,C19=3,$I$3,C19=4,$J$3,C19=5,$K$3)</f>
        <v>0</v>
      </c>
      <c r="F19" s="202" cm="1">
        <f t="array" ref="F19">D19*_xlfn.IFS(C19=1,$G$4,C19=2,$H$4,C19=3,$I$4,C19=4,$J$4,C19=5,$K$4)</f>
        <v>2100000</v>
      </c>
      <c r="G19" s="203">
        <f ca="1">_xlfn.NORM.S.INV(RAND())</f>
        <v>-0.57990035935378659</v>
      </c>
      <c r="H19" s="203">
        <f ca="1">1+($D$7+$D$8*G19)</f>
        <v>1.0578505708041868</v>
      </c>
      <c r="I19" s="204" cm="1">
        <f t="array" ref="I19">D19*_xlfn.IFS(C19=1,$G$5,C19=2,$H$5,C19=3,$I$5,C19=4,$J$5,C19=5,$K$5)</f>
        <v>4200000</v>
      </c>
      <c r="J19" s="205">
        <f>1+$D$5</f>
        <v>1.02318</v>
      </c>
      <c r="K19" s="206" cm="1">
        <f t="array" ref="K19">D19*_xlfn.IFS(C19=1,$G$6,C19=2,$H$6,C19=3,$I$6,C19=4,$J$6,C19=5,$K$6)</f>
        <v>18899999.999999996</v>
      </c>
      <c r="L19" s="207">
        <f ca="1">_xlfn.NORM.S.INV(RAND())</f>
        <v>-0.39448426210270154</v>
      </c>
      <c r="M19" s="207">
        <f ca="1">1+($D$10+$D$11*L19)</f>
        <v>0.9954088906746027</v>
      </c>
      <c r="N19" s="208" cm="1">
        <f t="array" ref="N19">D19*_xlfn.IFS(C19=1,$G$7,C19=2,$H$7,C19=3,$I$7,C19=4,$J$7,C19=5,$K$7)</f>
        <v>16800000</v>
      </c>
      <c r="O19" s="209">
        <f ca="1">_xlfn.NORM.S.INV(RAND())</f>
        <v>0.30706430115985395</v>
      </c>
      <c r="P19" s="209">
        <f ca="1">1+($D$13+$D$14*O19)</f>
        <v>1.0786407467276502</v>
      </c>
      <c r="Q19" s="200">
        <f ca="1">E19+F19*H19+I19*J19+K19*M19+N19*P19</f>
        <v>43453234.777463302</v>
      </c>
      <c r="R19" s="200">
        <f>'14.3. More funds to invest'!G2</f>
        <v>2898099.9999999981</v>
      </c>
      <c r="S19" s="195">
        <f ca="1">Q81+R81</f>
        <v>5520564798.5633621</v>
      </c>
      <c r="U19" s="210">
        <v>1</v>
      </c>
      <c r="V19" s="178">
        <f t="dataTable" ref="V19:V1018" dt2D="0" dtr="0" r1="S2" ca="1"/>
        <v>7917205293.6894379</v>
      </c>
      <c r="W19" s="184" t="s">
        <v>425</v>
      </c>
      <c r="X19" s="181">
        <f>AVERAGE(V19:V1018)</f>
        <v>6827975210.465127</v>
      </c>
    </row>
    <row r="20" spans="1:24" x14ac:dyDescent="0.25">
      <c r="A20" s="198">
        <v>2</v>
      </c>
      <c r="B20" s="199">
        <v>2025</v>
      </c>
      <c r="C20" s="199" cm="1">
        <f t="array" ref="C20">_xlfn.IFS(AND(B20&gt;=2024,B20&lt;=2034),1,AND(B20&gt;=2035,B20&lt;=2044),2,AND(B20&gt;=2045,B20&lt;=2055),3,AND(B20&gt;=2056,B20&lt;=2062),4,B20&gt;=2063,5)</f>
        <v>1</v>
      </c>
      <c r="D20" s="200">
        <f t="shared" ref="D20:D81" ca="1" si="1">Q19+R19</f>
        <v>46351334.777463302</v>
      </c>
      <c r="E20" s="201" cm="1">
        <f t="array" aca="1" ref="E20" ca="1">D20*_xlfn.IFS(C20=1,$G$3,C20=2,$H$3,C20=3,$I$3,C20=4,$J$3,C20=5,$K$3)</f>
        <v>0</v>
      </c>
      <c r="F20" s="202" cm="1">
        <f t="array" aca="1" ref="F20" ca="1">D20*_xlfn.IFS(C20=1,$G$4,C20=2,$H$4,C20=3,$I$4,C20=4,$J$4,C20=5,$K$4)</f>
        <v>2317566.7388731651</v>
      </c>
      <c r="G20" s="203">
        <f t="shared" ref="G20:G81" ca="1" si="2">_xlfn.NORM.S.INV(RAND())</f>
        <v>-0.56068331479325972</v>
      </c>
      <c r="H20" s="203">
        <f t="shared" ref="H20:H81" ca="1" si="3">1+($D$7+$D$8*G20)</f>
        <v>1.0579880767816716</v>
      </c>
      <c r="I20" s="204" cm="1">
        <f t="array" aca="1" ref="I20" ca="1">D20*_xlfn.IFS(C20=1,$G$5,C20=2,$H$5,C20=3,$I$5,C20=4,$J$5,C20=5,$K$5)</f>
        <v>4635133.4777463302</v>
      </c>
      <c r="J20" s="205">
        <f t="shared" ref="J20:J81" si="4">1+$D$5</f>
        <v>1.02318</v>
      </c>
      <c r="K20" s="206" cm="1">
        <f t="array" aca="1" ref="K20" ca="1">D20*_xlfn.IFS(C20=1,$G$6,C20=2,$H$6,C20=3,$I$6,C20=4,$J$6,C20=5,$K$6)</f>
        <v>20858100.649858482</v>
      </c>
      <c r="L20" s="207">
        <f t="shared" ref="L20:L81" ca="1" si="5">_xlfn.NORM.S.INV(RAND())</f>
        <v>-1.2160775503073347</v>
      </c>
      <c r="M20" s="207">
        <f t="shared" ref="M20:M81" ca="1" si="6">1+($D$10+$D$11*L20)</f>
        <v>0.73390703810670854</v>
      </c>
      <c r="N20" s="208" cm="1">
        <f t="array" aca="1" ref="N20" ca="1">D20*_xlfn.IFS(C20=1,$G$7,C20=2,$H$7,C20=3,$I$7,C20=4,$J$7,C20=5,$K$7)</f>
        <v>18540533.910985321</v>
      </c>
      <c r="O20" s="209">
        <f t="shared" ref="O20:O81" ca="1" si="7">_xlfn.NORM.S.INV(RAND())</f>
        <v>0.15340204363062096</v>
      </c>
      <c r="P20" s="209">
        <f t="shared" ref="P20:P81" ca="1" si="8">1+($D$13+$D$14*O20)</f>
        <v>1.0757084490520523</v>
      </c>
      <c r="Q20" s="200">
        <f t="shared" ref="Q20:Q81" ca="1" si="9">E20+F20*H20+I20*J20+K20*M20+N20*P20</f>
        <v>42446649.69508633</v>
      </c>
      <c r="R20" s="200">
        <f>'14.3. More funds to invest'!G3</f>
        <v>3014024</v>
      </c>
      <c r="U20" s="211">
        <v>2</v>
      </c>
      <c r="V20" s="178">
        <v>5498720675.0521841</v>
      </c>
      <c r="W20" s="184" t="s">
        <v>426</v>
      </c>
      <c r="X20" s="181">
        <f>_xlfn.STDEV.S(V19:V1018)</f>
        <v>3168043499.0525141</v>
      </c>
    </row>
    <row r="21" spans="1:24" x14ac:dyDescent="0.25">
      <c r="A21" s="198">
        <v>3</v>
      </c>
      <c r="B21" s="199">
        <v>2026</v>
      </c>
      <c r="C21" s="199" cm="1">
        <f t="array" ref="C21">_xlfn.IFS(AND(B21&gt;=2024,B21&lt;=2034),1,AND(B21&gt;=2035,B21&lt;=2044),2,AND(B21&gt;=2045,B21&lt;=2055),3,AND(B21&gt;=2056,B21&lt;=2062),4,B21&gt;=2063,5)</f>
        <v>1</v>
      </c>
      <c r="D21" s="200">
        <f t="shared" ca="1" si="1"/>
        <v>45460673.69508633</v>
      </c>
      <c r="E21" s="201" cm="1">
        <f t="array" aca="1" ref="E21" ca="1">D21*_xlfn.IFS(C21=1,$G$3,C21=2,$H$3,C21=3,$I$3,C21=4,$J$3,C21=5,$K$3)</f>
        <v>0</v>
      </c>
      <c r="F21" s="202" cm="1">
        <f t="array" aca="1" ref="F21" ca="1">D21*_xlfn.IFS(C21=1,$G$4,C21=2,$H$4,C21=3,$I$4,C21=4,$J$4,C21=5,$K$4)</f>
        <v>2273033.6847543167</v>
      </c>
      <c r="G21" s="203">
        <f t="shared" ca="1" si="2"/>
        <v>-1.0122130066127843</v>
      </c>
      <c r="H21" s="203">
        <f t="shared" ca="1" si="3"/>
        <v>1.0547571933104141</v>
      </c>
      <c r="I21" s="204" cm="1">
        <f t="array" aca="1" ref="I21" ca="1">D21*_xlfn.IFS(C21=1,$G$5,C21=2,$H$5,C21=3,$I$5,C21=4,$J$5,C21=5,$K$5)</f>
        <v>4546067.3695086334</v>
      </c>
      <c r="J21" s="205">
        <f t="shared" si="4"/>
        <v>1.02318</v>
      </c>
      <c r="K21" s="206" cm="1">
        <f t="array" aca="1" ref="K21" ca="1">D21*_xlfn.IFS(C21=1,$G$6,C21=2,$H$6,C21=3,$I$6,C21=4,$J$6,C21=5,$K$6)</f>
        <v>20457303.162788846</v>
      </c>
      <c r="L21" s="207">
        <f t="shared" ca="1" si="5"/>
        <v>8.6968167403202706E-2</v>
      </c>
      <c r="M21" s="207">
        <f t="shared" ca="1" si="6"/>
        <v>1.1486485824376997</v>
      </c>
      <c r="N21" s="208" cm="1">
        <f t="array" aca="1" ref="N21" ca="1">D21*_xlfn.IFS(C21=1,$G$7,C21=2,$H$7,C21=3,$I$7,C21=4,$J$7,C21=5,$K$7)</f>
        <v>18184269.478034534</v>
      </c>
      <c r="O21" s="209">
        <f t="shared" ca="1" si="7"/>
        <v>0.24575253289899127</v>
      </c>
      <c r="P21" s="209">
        <f t="shared" ca="1" si="8"/>
        <v>1.0774707498888108</v>
      </c>
      <c r="Q21" s="200">
        <f t="shared" ca="1" si="9"/>
        <v>50140214.589879096</v>
      </c>
      <c r="R21" s="200">
        <f>'14.3. More funds to invest'!G4</f>
        <v>3134584.959999999</v>
      </c>
      <c r="U21" s="211">
        <v>3</v>
      </c>
      <c r="V21" s="178">
        <v>6568473362.7628908</v>
      </c>
      <c r="W21" s="184" t="s">
        <v>427</v>
      </c>
      <c r="X21" s="181">
        <f>_xlfn.PERCENTILE.EXC(V19:V1018,0.25)</f>
        <v>4705815877.4808321</v>
      </c>
    </row>
    <row r="22" spans="1:24" x14ac:dyDescent="0.25">
      <c r="A22" s="198">
        <v>4</v>
      </c>
      <c r="B22" s="199">
        <v>2027</v>
      </c>
      <c r="C22" s="199" cm="1">
        <f t="array" ref="C22">_xlfn.IFS(AND(B22&gt;=2024,B22&lt;=2034),1,AND(B22&gt;=2035,B22&lt;=2044),2,AND(B22&gt;=2045,B22&lt;=2055),3,AND(B22&gt;=2056,B22&lt;=2062),4,B22&gt;=2063,5)</f>
        <v>1</v>
      </c>
      <c r="D22" s="200">
        <f t="shared" ca="1" si="1"/>
        <v>53274799.549879096</v>
      </c>
      <c r="E22" s="201" cm="1">
        <f t="array" aca="1" ref="E22" ca="1">D22*_xlfn.IFS(C22=1,$G$3,C22=2,$H$3,C22=3,$I$3,C22=4,$J$3,C22=5,$K$3)</f>
        <v>0</v>
      </c>
      <c r="F22" s="202" cm="1">
        <f t="array" aca="1" ref="F22" ca="1">D22*_xlfn.IFS(C22=1,$G$4,C22=2,$H$4,C22=3,$I$4,C22=4,$J$4,C22=5,$K$4)</f>
        <v>2663739.9774939548</v>
      </c>
      <c r="G22" s="203">
        <f t="shared" ca="1" si="2"/>
        <v>-0.59606906832100315</v>
      </c>
      <c r="H22" s="203">
        <f t="shared" ca="1" si="3"/>
        <v>1.0577348769406376</v>
      </c>
      <c r="I22" s="204" cm="1">
        <f t="array" aca="1" ref="I22" ca="1">D22*_xlfn.IFS(C22=1,$G$5,C22=2,$H$5,C22=3,$I$5,C22=4,$J$5,C22=5,$K$5)</f>
        <v>5327479.9549879096</v>
      </c>
      <c r="J22" s="205">
        <f t="shared" si="4"/>
        <v>1.02318</v>
      </c>
      <c r="K22" s="206" cm="1">
        <f t="array" aca="1" ref="K22" ca="1">D22*_xlfn.IFS(C22=1,$G$6,C22=2,$H$6,C22=3,$I$6,C22=4,$J$6,C22=5,$K$6)</f>
        <v>23973659.797445592</v>
      </c>
      <c r="L22" s="207">
        <f t="shared" ca="1" si="5"/>
        <v>0.54643392940007718</v>
      </c>
      <c r="M22" s="207">
        <f t="shared" ca="1" si="6"/>
        <v>1.2948902200930648</v>
      </c>
      <c r="N22" s="208" cm="1">
        <f t="array" aca="1" ref="N22" ca="1">D22*_xlfn.IFS(C22=1,$G$7,C22=2,$H$7,C22=3,$I$7,C22=4,$J$7,C22=5,$K$7)</f>
        <v>21309919.819951639</v>
      </c>
      <c r="O22" s="209">
        <f t="shared" ca="1" si="7"/>
        <v>-0.23897605214022682</v>
      </c>
      <c r="P22" s="209">
        <f t="shared" ca="1" si="8"/>
        <v>1.0682207979093148</v>
      </c>
      <c r="Q22" s="200">
        <f t="shared" ca="1" si="9"/>
        <v>62075458.782643795</v>
      </c>
      <c r="R22" s="200">
        <f>'14.3. More funds to invest'!G5</f>
        <v>3259968.3584000003</v>
      </c>
      <c r="U22" s="211">
        <v>4</v>
      </c>
      <c r="V22" s="178">
        <v>3208561716.1759624</v>
      </c>
      <c r="W22" s="184" t="s">
        <v>429</v>
      </c>
      <c r="X22" s="181">
        <f>_xlfn.PERCENTILE.EXC(V19:V1018,0.5)</f>
        <v>5976400282.202301</v>
      </c>
    </row>
    <row r="23" spans="1:24" x14ac:dyDescent="0.25">
      <c r="A23" s="198">
        <v>5</v>
      </c>
      <c r="B23" s="199">
        <v>2028</v>
      </c>
      <c r="C23" s="199" cm="1">
        <f t="array" ref="C23">_xlfn.IFS(AND(B23&gt;=2024,B23&lt;=2034),1,AND(B23&gt;=2035,B23&lt;=2044),2,AND(B23&gt;=2045,B23&lt;=2055),3,AND(B23&gt;=2056,B23&lt;=2062),4,B23&gt;=2063,5)</f>
        <v>1</v>
      </c>
      <c r="D23" s="200">
        <f t="shared" ca="1" si="1"/>
        <v>65335427.141043797</v>
      </c>
      <c r="E23" s="201" cm="1">
        <f t="array" aca="1" ref="E23" ca="1">D23*_xlfn.IFS(C23=1,$G$3,C23=2,$H$3,C23=3,$I$3,C23=4,$J$3,C23=5,$K$3)</f>
        <v>0</v>
      </c>
      <c r="F23" s="202" cm="1">
        <f t="array" aca="1" ref="F23" ca="1">D23*_xlfn.IFS(C23=1,$G$4,C23=2,$H$4,C23=3,$I$4,C23=4,$J$4,C23=5,$K$4)</f>
        <v>3266771.3570521902</v>
      </c>
      <c r="G23" s="203">
        <f t="shared" ca="1" si="2"/>
        <v>1.3997134705484922</v>
      </c>
      <c r="H23" s="203">
        <f t="shared" ca="1" si="3"/>
        <v>1.0720155343013396</v>
      </c>
      <c r="I23" s="204" cm="1">
        <f t="array" aca="1" ref="I23" ca="1">D23*_xlfn.IFS(C23=1,$G$5,C23=2,$H$5,C23=3,$I$5,C23=4,$J$5,C23=5,$K$5)</f>
        <v>6533542.7141043805</v>
      </c>
      <c r="J23" s="205">
        <f t="shared" si="4"/>
        <v>1.02318</v>
      </c>
      <c r="K23" s="206" cm="1">
        <f t="array" aca="1" ref="K23" ca="1">D23*_xlfn.IFS(C23=1,$G$6,C23=2,$H$6,C23=3,$I$6,C23=4,$J$6,C23=5,$K$6)</f>
        <v>29400942.213469706</v>
      </c>
      <c r="L23" s="207">
        <f t="shared" ca="1" si="5"/>
        <v>-0.79203123857399471</v>
      </c>
      <c r="M23" s="207">
        <f t="shared" ca="1" si="6"/>
        <v>0.86887515150886219</v>
      </c>
      <c r="N23" s="208" cm="1">
        <f t="array" aca="1" ref="N23" ca="1">D23*_xlfn.IFS(C23=1,$G$7,C23=2,$H$7,C23=3,$I$7,C23=4,$J$7,C23=5,$K$7)</f>
        <v>26134170.856417522</v>
      </c>
      <c r="O23" s="209">
        <f t="shared" ca="1" si="7"/>
        <v>-0.57259054194625769</v>
      </c>
      <c r="P23" s="209">
        <f t="shared" ca="1" si="8"/>
        <v>1.0618545176741185</v>
      </c>
      <c r="Q23" s="200">
        <f t="shared" ca="1" si="9"/>
        <v>63483455.385773957</v>
      </c>
      <c r="R23" s="200">
        <f>'14.3. More funds to invest'!G6</f>
        <v>3390367.0927359983</v>
      </c>
      <c r="U23" s="211">
        <v>5</v>
      </c>
      <c r="V23" s="178">
        <v>6244505009.3071289</v>
      </c>
      <c r="W23" s="184" t="s">
        <v>428</v>
      </c>
      <c r="X23" s="181">
        <f>_xlfn.PERCENTILE.EXC(V19:V1018,0.75)</f>
        <v>7929436121.735136</v>
      </c>
    </row>
    <row r="24" spans="1:24" x14ac:dyDescent="0.25">
      <c r="A24" s="198">
        <v>6</v>
      </c>
      <c r="B24" s="199">
        <v>2029</v>
      </c>
      <c r="C24" s="199" cm="1">
        <f t="array" ref="C24">_xlfn.IFS(AND(B24&gt;=2024,B24&lt;=2034),1,AND(B24&gt;=2035,B24&lt;=2044),2,AND(B24&gt;=2045,B24&lt;=2055),3,AND(B24&gt;=2056,B24&lt;=2062),4,B24&gt;=2063,5)</f>
        <v>1</v>
      </c>
      <c r="D24" s="200">
        <f t="shared" ca="1" si="1"/>
        <v>66873822.478509955</v>
      </c>
      <c r="E24" s="201" cm="1">
        <f t="array" aca="1" ref="E24" ca="1">D24*_xlfn.IFS(C24=1,$G$3,C24=2,$H$3,C24=3,$I$3,C24=4,$J$3,C24=5,$K$3)</f>
        <v>0</v>
      </c>
      <c r="F24" s="202" cm="1">
        <f t="array" aca="1" ref="F24" ca="1">D24*_xlfn.IFS(C24=1,$G$4,C24=2,$H$4,C24=3,$I$4,C24=4,$J$4,C24=5,$K$4)</f>
        <v>3343691.1239254978</v>
      </c>
      <c r="G24" s="203">
        <f t="shared" ca="1" si="2"/>
        <v>-1.0898701879202344</v>
      </c>
      <c r="H24" s="203">
        <f t="shared" ca="1" si="3"/>
        <v>1.0542015237541116</v>
      </c>
      <c r="I24" s="204" cm="1">
        <f t="array" aca="1" ref="I24" ca="1">D24*_xlfn.IFS(C24=1,$G$5,C24=2,$H$5,C24=3,$I$5,C24=4,$J$5,C24=5,$K$5)</f>
        <v>6687382.2478509955</v>
      </c>
      <c r="J24" s="205">
        <f t="shared" si="4"/>
        <v>1.02318</v>
      </c>
      <c r="K24" s="206" cm="1">
        <f t="array" aca="1" ref="K24" ca="1">D24*_xlfn.IFS(C24=1,$G$6,C24=2,$H$6,C24=3,$I$6,C24=4,$J$6,C24=5,$K$6)</f>
        <v>30093220.115329478</v>
      </c>
      <c r="L24" s="207">
        <f t="shared" ca="1" si="5"/>
        <v>0.58918688060049307</v>
      </c>
      <c r="M24" s="207">
        <f t="shared" ca="1" si="6"/>
        <v>1.3084978969109757</v>
      </c>
      <c r="N24" s="208" cm="1">
        <f t="array" aca="1" ref="N24" ca="1">D24*_xlfn.IFS(C24=1,$G$7,C24=2,$H$7,C24=3,$I$7,C24=4,$J$7,C24=5,$K$7)</f>
        <v>26749528.991403982</v>
      </c>
      <c r="O24" s="209">
        <f t="shared" ca="1" si="7"/>
        <v>0.60530372819427691</v>
      </c>
      <c r="P24" s="209">
        <f t="shared" ca="1" si="8"/>
        <v>1.084331973660837</v>
      </c>
      <c r="Q24" s="200">
        <f t="shared" ca="1" si="9"/>
        <v>78749604.844096094</v>
      </c>
      <c r="R24" s="200">
        <f>'14.3. More funds to invest'!G7</f>
        <v>3525981.7764454391</v>
      </c>
      <c r="U24" s="211">
        <v>6</v>
      </c>
      <c r="V24" s="178">
        <v>6746143118.2456026</v>
      </c>
      <c r="W24" s="184" t="s">
        <v>430</v>
      </c>
      <c r="X24" s="181">
        <f>_xlfn.PERCENTILE.EXC(V19:V1018,0.95)</f>
        <v>13306912119.040934</v>
      </c>
    </row>
    <row r="25" spans="1:24" x14ac:dyDescent="0.25">
      <c r="A25" s="198">
        <v>7</v>
      </c>
      <c r="B25" s="199">
        <v>2030</v>
      </c>
      <c r="C25" s="199" cm="1">
        <f t="array" ref="C25">_xlfn.IFS(AND(B25&gt;=2024,B25&lt;=2034),1,AND(B25&gt;=2035,B25&lt;=2044),2,AND(B25&gt;=2045,B25&lt;=2055),3,AND(B25&gt;=2056,B25&lt;=2062),4,B25&gt;=2063,5)</f>
        <v>1</v>
      </c>
      <c r="D25" s="200">
        <f t="shared" ca="1" si="1"/>
        <v>82275586.620541528</v>
      </c>
      <c r="E25" s="201" cm="1">
        <f t="array" aca="1" ref="E25" ca="1">D25*_xlfn.IFS(C25=1,$G$3,C25=2,$H$3,C25=3,$I$3,C25=4,$J$3,C25=5,$K$3)</f>
        <v>0</v>
      </c>
      <c r="F25" s="202" cm="1">
        <f t="array" aca="1" ref="F25" ca="1">D25*_xlfn.IFS(C25=1,$G$4,C25=2,$H$4,C25=3,$I$4,C25=4,$J$4,C25=5,$K$4)</f>
        <v>4113779.3310270766</v>
      </c>
      <c r="G25" s="203">
        <f t="shared" ca="1" si="2"/>
        <v>1.3338375549916031</v>
      </c>
      <c r="H25" s="203">
        <f t="shared" ca="1" si="3"/>
        <v>1.0715441646204906</v>
      </c>
      <c r="I25" s="204" cm="1">
        <f t="array" aca="1" ref="I25" ca="1">D25*_xlfn.IFS(C25=1,$G$5,C25=2,$H$5,C25=3,$I$5,C25=4,$J$5,C25=5,$K$5)</f>
        <v>8227558.6620541532</v>
      </c>
      <c r="J25" s="205">
        <f t="shared" si="4"/>
        <v>1.02318</v>
      </c>
      <c r="K25" s="206" cm="1">
        <f t="array" aca="1" ref="K25" ca="1">D25*_xlfn.IFS(C25=1,$G$6,C25=2,$H$6,C25=3,$I$6,C25=4,$J$6,C25=5,$K$6)</f>
        <v>37024013.979243681</v>
      </c>
      <c r="L25" s="207">
        <f t="shared" ca="1" si="5"/>
        <v>7.2244163789314891E-2</v>
      </c>
      <c r="M25" s="207">
        <f t="shared" ca="1" si="6"/>
        <v>1.1439621344377875</v>
      </c>
      <c r="N25" s="208" cm="1">
        <f t="array" aca="1" ref="N25" ca="1">D25*_xlfn.IFS(C25=1,$G$7,C25=2,$H$7,C25=3,$I$7,C25=4,$J$7,C25=5,$K$7)</f>
        <v>32910234.648216613</v>
      </c>
      <c r="O25" s="209">
        <f t="shared" ca="1" si="7"/>
        <v>-1.6141059955251362</v>
      </c>
      <c r="P25" s="209">
        <f t="shared" ca="1" si="8"/>
        <v>1.0419795438663988</v>
      </c>
      <c r="Q25" s="200">
        <f t="shared" ca="1" si="9"/>
        <v>89472231.052973986</v>
      </c>
      <c r="R25" s="200">
        <f>'14.3. More funds to invest'!G8</f>
        <v>3667021.0475032572</v>
      </c>
      <c r="U25" s="211">
        <v>7</v>
      </c>
      <c r="V25" s="178">
        <v>5828737223.509697</v>
      </c>
      <c r="W25" s="184" t="s">
        <v>478</v>
      </c>
      <c r="X25" s="182">
        <f>COUNTIF(V19:V1018,"&gt;="&amp;S2)/COUNT(V19:V1018)</f>
        <v>0.99</v>
      </c>
    </row>
    <row r="26" spans="1:24" x14ac:dyDescent="0.25">
      <c r="A26" s="198">
        <v>8</v>
      </c>
      <c r="B26" s="199">
        <v>2031</v>
      </c>
      <c r="C26" s="199" cm="1">
        <f t="array" ref="C26">_xlfn.IFS(AND(B26&gt;=2024,B26&lt;=2034),1,AND(B26&gt;=2035,B26&lt;=2044),2,AND(B26&gt;=2045,B26&lt;=2055),3,AND(B26&gt;=2056,B26&lt;=2062),4,B26&gt;=2063,5)</f>
        <v>1</v>
      </c>
      <c r="D26" s="200">
        <f t="shared" ca="1" si="1"/>
        <v>93139252.100477248</v>
      </c>
      <c r="E26" s="201" cm="1">
        <f t="array" aca="1" ref="E26" ca="1">D26*_xlfn.IFS(C26=1,$G$3,C26=2,$H$3,C26=3,$I$3,C26=4,$J$3,C26=5,$K$3)</f>
        <v>0</v>
      </c>
      <c r="F26" s="202" cm="1">
        <f t="array" aca="1" ref="F26" ca="1">D26*_xlfn.IFS(C26=1,$G$4,C26=2,$H$4,C26=3,$I$4,C26=4,$J$4,C26=5,$K$4)</f>
        <v>4656962.6050238628</v>
      </c>
      <c r="G26" s="203">
        <f t="shared" ca="1" si="2"/>
        <v>0.92545250034440185</v>
      </c>
      <c r="H26" s="203">
        <f t="shared" ca="1" si="3"/>
        <v>1.0686219990422952</v>
      </c>
      <c r="I26" s="204" cm="1">
        <f t="array" aca="1" ref="I26" ca="1">D26*_xlfn.IFS(C26=1,$G$5,C26=2,$H$5,C26=3,$I$5,C26=4,$J$5,C26=5,$K$5)</f>
        <v>9313925.2100477256</v>
      </c>
      <c r="J26" s="205">
        <f t="shared" si="4"/>
        <v>1.02318</v>
      </c>
      <c r="K26" s="206" cm="1">
        <f t="array" aca="1" ref="K26" ca="1">D26*_xlfn.IFS(C26=1,$G$6,C26=2,$H$6,C26=3,$I$6,C26=4,$J$6,C26=5,$K$6)</f>
        <v>41912663.445214756</v>
      </c>
      <c r="L26" s="207">
        <f t="shared" ca="1" si="5"/>
        <v>-1.02455793126692</v>
      </c>
      <c r="M26" s="207">
        <f t="shared" ca="1" si="6"/>
        <v>0.79486510081387585</v>
      </c>
      <c r="N26" s="208" cm="1">
        <f t="array" aca="1" ref="N26" ca="1">D26*_xlfn.IFS(C26=1,$G$7,C26=2,$H$7,C26=3,$I$7,C26=4,$J$7,C26=5,$K$7)</f>
        <v>37255700.840190902</v>
      </c>
      <c r="O26" s="209">
        <f t="shared" ca="1" si="7"/>
        <v>1.6418325870429258</v>
      </c>
      <c r="P26" s="209">
        <f t="shared" ca="1" si="8"/>
        <v>1.1041117895529327</v>
      </c>
      <c r="Q26" s="200">
        <f t="shared" ca="1" si="9"/>
        <v>88955726.665333003</v>
      </c>
      <c r="R26" s="200">
        <f>'14.3. More funds to invest'!G9</f>
        <v>3813701.8894033879</v>
      </c>
      <c r="U26" s="211">
        <v>8</v>
      </c>
      <c r="V26" s="178">
        <v>11298987346.255831</v>
      </c>
      <c r="W26" s="184" t="s">
        <v>479</v>
      </c>
      <c r="X26" s="182">
        <f>COUNTIF(V19:V1018,"&gt;="&amp;S3)/COUNT(V19:V1018)</f>
        <v>0.8</v>
      </c>
    </row>
    <row r="27" spans="1:24" x14ac:dyDescent="0.25">
      <c r="A27" s="198">
        <v>9</v>
      </c>
      <c r="B27" s="199">
        <v>2032</v>
      </c>
      <c r="C27" s="199" cm="1">
        <f t="array" ref="C27">_xlfn.IFS(AND(B27&gt;=2024,B27&lt;=2034),1,AND(B27&gt;=2035,B27&lt;=2044),2,AND(B27&gt;=2045,B27&lt;=2055),3,AND(B27&gt;=2056,B27&lt;=2062),4,B27&gt;=2063,5)</f>
        <v>1</v>
      </c>
      <c r="D27" s="200">
        <f t="shared" ca="1" si="1"/>
        <v>92769428.554736391</v>
      </c>
      <c r="E27" s="201" cm="1">
        <f t="array" aca="1" ref="E27" ca="1">D27*_xlfn.IFS(C27=1,$G$3,C27=2,$H$3,C27=3,$I$3,C27=4,$J$3,C27=5,$K$3)</f>
        <v>0</v>
      </c>
      <c r="F27" s="202" cm="1">
        <f t="array" aca="1" ref="F27" ca="1">D27*_xlfn.IFS(C27=1,$G$4,C27=2,$H$4,C27=3,$I$4,C27=4,$J$4,C27=5,$K$4)</f>
        <v>4638471.4277368197</v>
      </c>
      <c r="G27" s="203">
        <f t="shared" ca="1" si="2"/>
        <v>-0.67651251365774612</v>
      </c>
      <c r="H27" s="203">
        <f t="shared" ca="1" si="3"/>
        <v>1.0571592705018624</v>
      </c>
      <c r="I27" s="204" cm="1">
        <f t="array" aca="1" ref="I27" ca="1">D27*_xlfn.IFS(C27=1,$G$5,C27=2,$H$5,C27=3,$I$5,C27=4,$J$5,C27=5,$K$5)</f>
        <v>9276942.8554736394</v>
      </c>
      <c r="J27" s="205">
        <f t="shared" si="4"/>
        <v>1.02318</v>
      </c>
      <c r="K27" s="206" cm="1">
        <f t="array" aca="1" ref="K27" ca="1">D27*_xlfn.IFS(C27=1,$G$6,C27=2,$H$6,C27=3,$I$6,C27=4,$J$6,C27=5,$K$6)</f>
        <v>41746242.849631369</v>
      </c>
      <c r="L27" s="207">
        <f t="shared" ca="1" si="5"/>
        <v>0.37122348414668238</v>
      </c>
      <c r="M27" s="207">
        <f t="shared" ca="1" si="6"/>
        <v>1.2391231432670957</v>
      </c>
      <c r="N27" s="208" cm="1">
        <f t="array" aca="1" ref="N27" ca="1">D27*_xlfn.IFS(C27=1,$G$7,C27=2,$H$7,C27=3,$I$7,C27=4,$J$7,C27=5,$K$7)</f>
        <v>37107771.421894558</v>
      </c>
      <c r="O27" s="209">
        <f t="shared" ca="1" si="7"/>
        <v>-1.65772893837861</v>
      </c>
      <c r="P27" s="209">
        <f t="shared" ca="1" si="8"/>
        <v>1.0411470983720479</v>
      </c>
      <c r="Q27" s="200">
        <f t="shared" ca="1" si="9"/>
        <v>104758969.66403897</v>
      </c>
      <c r="R27" s="200">
        <f>'14.3. More funds to invest'!G10</f>
        <v>3966249.9649795219</v>
      </c>
      <c r="U27" s="211">
        <v>9</v>
      </c>
      <c r="V27" s="178">
        <v>5037905157.487505</v>
      </c>
      <c r="W27" s="184" t="s">
        <v>481</v>
      </c>
      <c r="X27" s="183">
        <f>COUNTIF(V19:V1018,"&gt;="&amp;S4)/COUNT(V19:V1018)</f>
        <v>1</v>
      </c>
    </row>
    <row r="28" spans="1:24" x14ac:dyDescent="0.25">
      <c r="A28" s="198">
        <v>10</v>
      </c>
      <c r="B28" s="199">
        <v>2033</v>
      </c>
      <c r="C28" s="199" cm="1">
        <f t="array" ref="C28">_xlfn.IFS(AND(B28&gt;=2024,B28&lt;=2034),1,AND(B28&gt;=2035,B28&lt;=2044),2,AND(B28&gt;=2045,B28&lt;=2055),3,AND(B28&gt;=2056,B28&lt;=2062),4,B28&gt;=2063,5)</f>
        <v>1</v>
      </c>
      <c r="D28" s="200">
        <f t="shared" ca="1" si="1"/>
        <v>108725219.62901849</v>
      </c>
      <c r="E28" s="201" cm="1">
        <f t="array" aca="1" ref="E28" ca="1">D28*_xlfn.IFS(C28=1,$G$3,C28=2,$H$3,C28=3,$I$3,C28=4,$J$3,C28=5,$K$3)</f>
        <v>0</v>
      </c>
      <c r="F28" s="202" cm="1">
        <f t="array" aca="1" ref="F28" ca="1">D28*_xlfn.IFS(C28=1,$G$4,C28=2,$H$4,C28=3,$I$4,C28=4,$J$4,C28=5,$K$4)</f>
        <v>5436260.9814509246</v>
      </c>
      <c r="G28" s="203">
        <f t="shared" ca="1" si="2"/>
        <v>1.6270019449701472</v>
      </c>
      <c r="H28" s="203">
        <f t="shared" ca="1" si="3"/>
        <v>1.0736418782351285</v>
      </c>
      <c r="I28" s="204" cm="1">
        <f t="array" aca="1" ref="I28" ca="1">D28*_xlfn.IFS(C28=1,$G$5,C28=2,$H$5,C28=3,$I$5,C28=4,$J$5,C28=5,$K$5)</f>
        <v>10872521.962901849</v>
      </c>
      <c r="J28" s="205">
        <f t="shared" si="4"/>
        <v>1.02318</v>
      </c>
      <c r="K28" s="206" cm="1">
        <f t="array" aca="1" ref="K28" ca="1">D28*_xlfn.IFS(C28=1,$G$6,C28=2,$H$6,C28=3,$I$6,C28=4,$J$6,C28=5,$K$6)</f>
        <v>48926348.833058313</v>
      </c>
      <c r="L28" s="207">
        <f t="shared" ca="1" si="5"/>
        <v>1.1093580298610726</v>
      </c>
      <c r="M28" s="207">
        <f t="shared" ca="1" si="6"/>
        <v>1.4740612250648111</v>
      </c>
      <c r="N28" s="208" cm="1">
        <f t="array" aca="1" ref="N28" ca="1">D28*_xlfn.IFS(C28=1,$G$7,C28=2,$H$7,C28=3,$I$7,C28=4,$J$7,C28=5,$K$7)</f>
        <v>43490087.851607397</v>
      </c>
      <c r="O28" s="209">
        <f t="shared" ca="1" si="7"/>
        <v>0.2541366838404493</v>
      </c>
      <c r="P28" s="209">
        <f t="shared" ca="1" si="8"/>
        <v>1.0776307425032159</v>
      </c>
      <c r="Q28" s="200">
        <f t="shared" ca="1" si="9"/>
        <v>135947833.83456722</v>
      </c>
      <c r="R28" s="200">
        <f>'14.3. More funds to invest'!G11</f>
        <v>8066910.3617777787</v>
      </c>
      <c r="S28" s="168"/>
      <c r="U28" s="211">
        <v>10</v>
      </c>
      <c r="V28" s="178">
        <v>3615828485.0859303</v>
      </c>
      <c r="W28" s="184" t="s">
        <v>482</v>
      </c>
      <c r="X28" s="183">
        <f>COUNTIF(V19:V1018,"&gt;="&amp;S5)/COUNT(V19:V1018)</f>
        <v>0.76400000000000001</v>
      </c>
    </row>
    <row r="29" spans="1:24" x14ac:dyDescent="0.25">
      <c r="A29" s="198">
        <v>11</v>
      </c>
      <c r="B29" s="199">
        <v>2034</v>
      </c>
      <c r="C29" s="199" cm="1">
        <f t="array" ref="C29">_xlfn.IFS(AND(B29&gt;=2024,B29&lt;=2034),1,AND(B29&gt;=2035,B29&lt;=2044),2,AND(B29&gt;=2045,B29&lt;=2055),3,AND(B29&gt;=2056,B29&lt;=2062),4,B29&gt;=2063,5)</f>
        <v>1</v>
      </c>
      <c r="D29" s="200">
        <f t="shared" ca="1" si="1"/>
        <v>144014744.196345</v>
      </c>
      <c r="E29" s="201" cm="1">
        <f t="array" aca="1" ref="E29" ca="1">D29*_xlfn.IFS(C29=1,$G$3,C29=2,$H$3,C29=3,$I$3,C29=4,$J$3,C29=5,$K$3)</f>
        <v>0</v>
      </c>
      <c r="F29" s="202" cm="1">
        <f t="array" aca="1" ref="F29" ca="1">D29*_xlfn.IFS(C29=1,$G$4,C29=2,$H$4,C29=3,$I$4,C29=4,$J$4,C29=5,$K$4)</f>
        <v>7200737.2098172503</v>
      </c>
      <c r="G29" s="203">
        <f t="shared" ca="1" si="2"/>
        <v>-1.5648876196790633</v>
      </c>
      <c r="H29" s="203">
        <f t="shared" ca="1" si="3"/>
        <v>1.0508025756967994</v>
      </c>
      <c r="I29" s="204" cm="1">
        <f t="array" aca="1" ref="I29" ca="1">D29*_xlfn.IFS(C29=1,$G$5,C29=2,$H$5,C29=3,$I$5,C29=4,$J$5,C29=5,$K$5)</f>
        <v>14401474.419634501</v>
      </c>
      <c r="J29" s="205">
        <f t="shared" si="4"/>
        <v>1.02318</v>
      </c>
      <c r="K29" s="206" cm="1">
        <f t="array" aca="1" ref="K29" ca="1">D29*_xlfn.IFS(C29=1,$G$6,C29=2,$H$6,C29=3,$I$6,C29=4,$J$6,C29=5,$K$6)</f>
        <v>64806634.888355248</v>
      </c>
      <c r="L29" s="207">
        <f t="shared" ca="1" si="5"/>
        <v>0.19564375217863647</v>
      </c>
      <c r="M29" s="207">
        <f t="shared" ca="1" si="6"/>
        <v>1.1832385275549204</v>
      </c>
      <c r="N29" s="208" cm="1">
        <f t="array" aca="1" ref="N29" ca="1">D29*_xlfn.IFS(C29=1,$G$7,C29=2,$H$7,C29=3,$I$7,C29=4,$J$7,C29=5,$K$7)</f>
        <v>57605897.678538002</v>
      </c>
      <c r="O29" s="209">
        <f t="shared" ca="1" si="7"/>
        <v>-0.21313938098917895</v>
      </c>
      <c r="P29" s="209">
        <f t="shared" ca="1" si="8"/>
        <v>1.0687138325163783</v>
      </c>
      <c r="Q29" s="200">
        <f t="shared" ca="1" si="9"/>
        <v>160547780.72833687</v>
      </c>
      <c r="R29" s="200">
        <f>'14.3. More funds to invest'!G12</f>
        <v>11932889.802362889</v>
      </c>
      <c r="U29" s="211">
        <v>11</v>
      </c>
      <c r="V29" s="178">
        <v>3937429761.6284914</v>
      </c>
    </row>
    <row r="30" spans="1:24" x14ac:dyDescent="0.25">
      <c r="A30" s="198">
        <v>12</v>
      </c>
      <c r="B30" s="199">
        <v>2035</v>
      </c>
      <c r="C30" s="199" cm="1">
        <f t="array" ref="C30">_xlfn.IFS(AND(B30&gt;=2024,B30&lt;=2034),1,AND(B30&gt;=2035,B30&lt;=2044),2,AND(B30&gt;=2045,B30&lt;=2055),3,AND(B30&gt;=2056,B30&lt;=2062),4,B30&gt;=2063,5)</f>
        <v>2</v>
      </c>
      <c r="D30" s="200">
        <f t="shared" ca="1" si="1"/>
        <v>172480670.53069976</v>
      </c>
      <c r="E30" s="201" cm="1">
        <f t="array" aca="1" ref="E30" ca="1">D30*_xlfn.IFS(C30=1,$G$3,C30=2,$H$3,C30=3,$I$3,C30=4,$J$3,C30=5,$K$3)</f>
        <v>0</v>
      </c>
      <c r="F30" s="202" cm="1">
        <f t="array" aca="1" ref="F30" ca="1">D30*_xlfn.IFS(C30=1,$G$4,C30=2,$H$4,C30=3,$I$4,C30=4,$J$4,C30=5,$K$4)</f>
        <v>0</v>
      </c>
      <c r="G30" s="203">
        <f t="shared" ca="1" si="2"/>
        <v>-1.1229336483239132</v>
      </c>
      <c r="H30" s="203">
        <f t="shared" ca="1" si="3"/>
        <v>1.0539649408900029</v>
      </c>
      <c r="I30" s="204" cm="1">
        <f t="array" aca="1" ref="I30" ca="1">D30*_xlfn.IFS(C30=1,$G$5,C30=2,$H$5,C30=3,$I$5,C30=4,$J$5,C30=5,$K$5)</f>
        <v>8624033.5265349876</v>
      </c>
      <c r="J30" s="205">
        <f t="shared" si="4"/>
        <v>1.02318</v>
      </c>
      <c r="K30" s="206" cm="1">
        <f t="array" aca="1" ref="K30" ca="1">D30*_xlfn.IFS(C30=1,$G$6,C30=2,$H$6,C30=3,$I$6,C30=4,$J$6,C30=5,$K$6)</f>
        <v>86240335.26534988</v>
      </c>
      <c r="L30" s="207">
        <f t="shared" ca="1" si="5"/>
        <v>9.3476595592790979E-2</v>
      </c>
      <c r="M30" s="207">
        <f t="shared" ca="1" si="6"/>
        <v>1.1507201256858215</v>
      </c>
      <c r="N30" s="208" cm="1">
        <f t="array" aca="1" ref="N30" ca="1">D30*_xlfn.IFS(C30=1,$G$7,C30=2,$H$7,C30=3,$I$7,C30=4,$J$7,C30=5,$K$7)</f>
        <v>77616301.73881489</v>
      </c>
      <c r="O30" s="209">
        <f t="shared" ca="1" si="7"/>
        <v>1.8617685022724417</v>
      </c>
      <c r="P30" s="209">
        <f t="shared" ca="1" si="8"/>
        <v>1.1083087705382297</v>
      </c>
      <c r="Q30" s="200">
        <f t="shared" ca="1" si="9"/>
        <v>194085256.01328105</v>
      </c>
      <c r="R30" s="200">
        <f>'14.3. More funds to invest'!G13</f>
        <v>12414337.453280926</v>
      </c>
      <c r="U30" s="211">
        <v>12</v>
      </c>
      <c r="V30" s="178">
        <v>7025141420.0452318</v>
      </c>
    </row>
    <row r="31" spans="1:24" x14ac:dyDescent="0.25">
      <c r="A31" s="198">
        <v>13</v>
      </c>
      <c r="B31" s="199">
        <v>2036</v>
      </c>
      <c r="C31" s="199" cm="1">
        <f t="array" ref="C31">_xlfn.IFS(AND(B31&gt;=2024,B31&lt;=2034),1,AND(B31&gt;=2035,B31&lt;=2044),2,AND(B31&gt;=2045,B31&lt;=2055),3,AND(B31&gt;=2056,B31&lt;=2062),4,B31&gt;=2063,5)</f>
        <v>2</v>
      </c>
      <c r="D31" s="200">
        <f t="shared" ca="1" si="1"/>
        <v>206499593.46656197</v>
      </c>
      <c r="E31" s="201" cm="1">
        <f t="array" aca="1" ref="E31" ca="1">D31*_xlfn.IFS(C31=1,$G$3,C31=2,$H$3,C31=3,$I$3,C31=4,$J$3,C31=5,$K$3)</f>
        <v>0</v>
      </c>
      <c r="F31" s="202" cm="1">
        <f t="array" aca="1" ref="F31" ca="1">D31*_xlfn.IFS(C31=1,$G$4,C31=2,$H$4,C31=3,$I$4,C31=4,$J$4,C31=5,$K$4)</f>
        <v>0</v>
      </c>
      <c r="G31" s="203">
        <f t="shared" ca="1" si="2"/>
        <v>-0.84521825121586769</v>
      </c>
      <c r="H31" s="203">
        <f t="shared" ca="1" si="3"/>
        <v>1.0559521105102649</v>
      </c>
      <c r="I31" s="204" cm="1">
        <f t="array" aca="1" ref="I31" ca="1">D31*_xlfn.IFS(C31=1,$G$5,C31=2,$H$5,C31=3,$I$5,C31=4,$J$5,C31=5,$K$5)</f>
        <v>10324979.6733281</v>
      </c>
      <c r="J31" s="205">
        <f t="shared" si="4"/>
        <v>1.02318</v>
      </c>
      <c r="K31" s="206" cm="1">
        <f t="array" aca="1" ref="K31" ca="1">D31*_xlfn.IFS(C31=1,$G$6,C31=2,$H$6,C31=3,$I$6,C31=4,$J$6,C31=5,$K$6)</f>
        <v>103249796.73328099</v>
      </c>
      <c r="L31" s="207">
        <f t="shared" ca="1" si="5"/>
        <v>-1.5996995159447771</v>
      </c>
      <c r="M31" s="207">
        <f t="shared" ca="1" si="6"/>
        <v>0.61180543851946589</v>
      </c>
      <c r="N31" s="208" cm="1">
        <f t="array" aca="1" ref="N31" ca="1">D31*_xlfn.IFS(C31=1,$G$7,C31=2,$H$7,C31=3,$I$7,C31=4,$J$7,C31=5,$K$7)</f>
        <v>92924817.059952885</v>
      </c>
      <c r="O31" s="209">
        <f t="shared" ca="1" si="7"/>
        <v>-0.76893676832357871</v>
      </c>
      <c r="P31" s="209">
        <f t="shared" ca="1" si="8"/>
        <v>1.0581076927056705</v>
      </c>
      <c r="Q31" s="200">
        <f t="shared" ca="1" si="9"/>
        <v>172057563.64400983</v>
      </c>
      <c r="R31" s="200">
        <f>'14.3. More funds to invest'!G14</f>
        <v>20013977.953921661</v>
      </c>
      <c r="U31" s="211">
        <v>13</v>
      </c>
      <c r="V31" s="178">
        <v>13372025353.195522</v>
      </c>
    </row>
    <row r="32" spans="1:24" x14ac:dyDescent="0.25">
      <c r="A32" s="198">
        <v>14</v>
      </c>
      <c r="B32" s="199">
        <v>2037</v>
      </c>
      <c r="C32" s="199" cm="1">
        <f t="array" ref="C32">_xlfn.IFS(AND(B32&gt;=2024,B32&lt;=2034),1,AND(B32&gt;=2035,B32&lt;=2044),2,AND(B32&gt;=2045,B32&lt;=2055),3,AND(B32&gt;=2056,B32&lt;=2062),4,B32&gt;=2063,5)</f>
        <v>2</v>
      </c>
      <c r="D32" s="200">
        <f t="shared" ca="1" si="1"/>
        <v>192071541.5979315</v>
      </c>
      <c r="E32" s="201" cm="1">
        <f t="array" aca="1" ref="E32" ca="1">D32*_xlfn.IFS(C32=1,$G$3,C32=2,$H$3,C32=3,$I$3,C32=4,$J$3,C32=5,$K$3)</f>
        <v>0</v>
      </c>
      <c r="F32" s="202" cm="1">
        <f t="array" aca="1" ref="F32" ca="1">D32*_xlfn.IFS(C32=1,$G$4,C32=2,$H$4,C32=3,$I$4,C32=4,$J$4,C32=5,$K$4)</f>
        <v>0</v>
      </c>
      <c r="G32" s="203">
        <f t="shared" ca="1" si="2"/>
        <v>0.45043670154319598</v>
      </c>
      <c r="H32" s="203">
        <f t="shared" ca="1" si="3"/>
        <v>1.0652230626694763</v>
      </c>
      <c r="I32" s="204" cm="1">
        <f t="array" aca="1" ref="I32" ca="1">D32*_xlfn.IFS(C32=1,$G$5,C32=2,$H$5,C32=3,$I$5,C32=4,$J$5,C32=5,$K$5)</f>
        <v>9603577.0798965748</v>
      </c>
      <c r="J32" s="205">
        <f t="shared" si="4"/>
        <v>1.02318</v>
      </c>
      <c r="K32" s="206" cm="1">
        <f t="array" aca="1" ref="K32" ca="1">D32*_xlfn.IFS(C32=1,$G$6,C32=2,$H$6,C32=3,$I$6,C32=4,$J$6,C32=5,$K$6)</f>
        <v>96035770.798965752</v>
      </c>
      <c r="L32" s="207">
        <f t="shared" ca="1" si="5"/>
        <v>-0.30746937634165195</v>
      </c>
      <c r="M32" s="207">
        <f t="shared" ca="1" si="6"/>
        <v>1.0231045329761872</v>
      </c>
      <c r="N32" s="208" cm="1">
        <f t="array" aca="1" ref="N32" ca="1">D32*_xlfn.IFS(C32=1,$G$7,C32=2,$H$7,C32=3,$I$7,C32=4,$J$7,C32=5,$K$7)</f>
        <v>86432193.719069183</v>
      </c>
      <c r="O32" s="209">
        <f t="shared" ca="1" si="7"/>
        <v>-0.67449112693288849</v>
      </c>
      <c r="P32" s="209">
        <f t="shared" ca="1" si="8"/>
        <v>1.0599099747961023</v>
      </c>
      <c r="Q32" s="200">
        <f t="shared" ca="1" si="9"/>
        <v>199691164.69524303</v>
      </c>
      <c r="R32" s="200">
        <f>'14.3. More funds to invest'!G15</f>
        <v>20429132.392387927</v>
      </c>
      <c r="U32" s="211">
        <v>14</v>
      </c>
      <c r="V32" s="178">
        <v>5299596103.8446026</v>
      </c>
    </row>
    <row r="33" spans="1:22" x14ac:dyDescent="0.25">
      <c r="A33" s="198">
        <v>15</v>
      </c>
      <c r="B33" s="199">
        <v>2038</v>
      </c>
      <c r="C33" s="199" cm="1">
        <f t="array" ref="C33">_xlfn.IFS(AND(B33&gt;=2024,B33&lt;=2034),1,AND(B33&gt;=2035,B33&lt;=2044),2,AND(B33&gt;=2045,B33&lt;=2055),3,AND(B33&gt;=2056,B33&lt;=2062),4,B33&gt;=2063,5)</f>
        <v>2</v>
      </c>
      <c r="D33" s="200">
        <f t="shared" ca="1" si="1"/>
        <v>220120297.08763096</v>
      </c>
      <c r="E33" s="201" cm="1">
        <f t="array" aca="1" ref="E33" ca="1">D33*_xlfn.IFS(C33=1,$G$3,C33=2,$H$3,C33=3,$I$3,C33=4,$J$3,C33=5,$K$3)</f>
        <v>0</v>
      </c>
      <c r="F33" s="202" cm="1">
        <f t="array" aca="1" ref="F33" ca="1">D33*_xlfn.IFS(C33=1,$G$4,C33=2,$H$4,C33=3,$I$4,C33=4,$J$4,C33=5,$K$4)</f>
        <v>0</v>
      </c>
      <c r="G33" s="203">
        <f t="shared" ca="1" si="2"/>
        <v>-1.0381963347712833</v>
      </c>
      <c r="H33" s="203">
        <f t="shared" ca="1" si="3"/>
        <v>1.0545712717486728</v>
      </c>
      <c r="I33" s="204" cm="1">
        <f t="array" aca="1" ref="I33" ca="1">D33*_xlfn.IFS(C33=1,$G$5,C33=2,$H$5,C33=3,$I$5,C33=4,$J$5,C33=5,$K$5)</f>
        <v>11006014.854381548</v>
      </c>
      <c r="J33" s="205">
        <f t="shared" si="4"/>
        <v>1.02318</v>
      </c>
      <c r="K33" s="206" cm="1">
        <f t="array" aca="1" ref="K33" ca="1">D33*_xlfn.IFS(C33=1,$G$6,C33=2,$H$6,C33=3,$I$6,C33=4,$J$6,C33=5,$K$6)</f>
        <v>110060148.54381548</v>
      </c>
      <c r="L33" s="207">
        <f t="shared" ca="1" si="5"/>
        <v>-0.8186061047837031</v>
      </c>
      <c r="M33" s="207">
        <f t="shared" ca="1" si="6"/>
        <v>0.86041673680982211</v>
      </c>
      <c r="N33" s="208" cm="1">
        <f t="array" aca="1" ref="N33" ca="1">D33*_xlfn.IFS(C33=1,$G$7,C33=2,$H$7,C33=3,$I$7,C33=4,$J$7,C33=5,$K$7)</f>
        <v>99054133.689433932</v>
      </c>
      <c r="O33" s="209">
        <f t="shared" ca="1" si="7"/>
        <v>0.88624259253649218</v>
      </c>
      <c r="P33" s="209">
        <f t="shared" ca="1" si="8"/>
        <v>1.0896930583679199</v>
      </c>
      <c r="Q33" s="200">
        <f t="shared" ca="1" si="9"/>
        <v>213897330.02560419</v>
      </c>
      <c r="R33" s="200">
        <f>'14.3. More funds to invest'!G16</f>
        <v>20860430.803570881</v>
      </c>
      <c r="U33" s="211">
        <v>15</v>
      </c>
      <c r="V33" s="178">
        <v>2448380984.5401835</v>
      </c>
    </row>
    <row r="34" spans="1:22" x14ac:dyDescent="0.25">
      <c r="A34" s="198">
        <v>16</v>
      </c>
      <c r="B34" s="199">
        <v>2039</v>
      </c>
      <c r="C34" s="199" cm="1">
        <f t="array" ref="C34">_xlfn.IFS(AND(B34&gt;=2024,B34&lt;=2034),1,AND(B34&gt;=2035,B34&lt;=2044),2,AND(B34&gt;=2045,B34&lt;=2055),3,AND(B34&gt;=2056,B34&lt;=2062),4,B34&gt;=2063,5)</f>
        <v>2</v>
      </c>
      <c r="D34" s="200">
        <f t="shared" ca="1" si="1"/>
        <v>234757760.82917506</v>
      </c>
      <c r="E34" s="201" cm="1">
        <f t="array" aca="1" ref="E34" ca="1">D34*_xlfn.IFS(C34=1,$G$3,C34=2,$H$3,C34=3,$I$3,C34=4,$J$3,C34=5,$K$3)</f>
        <v>0</v>
      </c>
      <c r="F34" s="202" cm="1">
        <f t="array" aca="1" ref="F34" ca="1">D34*_xlfn.IFS(C34=1,$G$4,C34=2,$H$4,C34=3,$I$4,C34=4,$J$4,C34=5,$K$4)</f>
        <v>0</v>
      </c>
      <c r="G34" s="203">
        <f t="shared" ca="1" si="2"/>
        <v>0.78881221767645204</v>
      </c>
      <c r="H34" s="203">
        <f t="shared" ca="1" si="3"/>
        <v>1.0676442807686621</v>
      </c>
      <c r="I34" s="204" cm="1">
        <f t="array" aca="1" ref="I34" ca="1">D34*_xlfn.IFS(C34=1,$G$5,C34=2,$H$5,C34=3,$I$5,C34=4,$J$5,C34=5,$K$5)</f>
        <v>11737888.041458754</v>
      </c>
      <c r="J34" s="205">
        <f t="shared" si="4"/>
        <v>1.02318</v>
      </c>
      <c r="K34" s="206" cm="1">
        <f t="array" aca="1" ref="K34" ca="1">D34*_xlfn.IFS(C34=1,$G$6,C34=2,$H$6,C34=3,$I$6,C34=4,$J$6,C34=5,$K$6)</f>
        <v>117378880.41458753</v>
      </c>
      <c r="L34" s="207">
        <f t="shared" ca="1" si="5"/>
        <v>-0.4570407258102967</v>
      </c>
      <c r="M34" s="207">
        <f t="shared" ca="1" si="6"/>
        <v>0.97549802798318552</v>
      </c>
      <c r="N34" s="208" cm="1">
        <f t="array" aca="1" ref="N34" ca="1">D34*_xlfn.IFS(C34=1,$G$7,C34=2,$H$7,C34=3,$I$7,C34=4,$J$7,C34=5,$K$7)</f>
        <v>105640992.37312877</v>
      </c>
      <c r="O34" s="209">
        <f t="shared" ca="1" si="7"/>
        <v>0.56987576592301314</v>
      </c>
      <c r="P34" s="209">
        <f t="shared" ca="1" si="8"/>
        <v>1.0836559108911654</v>
      </c>
      <c r="Q34" s="200">
        <f t="shared" ca="1" si="9"/>
        <v>240991324.47511357</v>
      </c>
      <c r="R34" s="200">
        <f>'14.3. More funds to invest'!G17</f>
        <v>21308516.499412462</v>
      </c>
      <c r="U34" s="211">
        <v>16</v>
      </c>
      <c r="V34" s="178">
        <v>4553212855.1517754</v>
      </c>
    </row>
    <row r="35" spans="1:22" x14ac:dyDescent="0.25">
      <c r="A35" s="198">
        <v>17</v>
      </c>
      <c r="B35" s="199">
        <v>2040</v>
      </c>
      <c r="C35" s="199" cm="1">
        <f t="array" ref="C35">_xlfn.IFS(AND(B35&gt;=2024,B35&lt;=2034),1,AND(B35&gt;=2035,B35&lt;=2044),2,AND(B35&gt;=2045,B35&lt;=2055),3,AND(B35&gt;=2056,B35&lt;=2062),4,B35&gt;=2063,5)</f>
        <v>2</v>
      </c>
      <c r="D35" s="200">
        <f t="shared" ca="1" si="1"/>
        <v>262299840.97452605</v>
      </c>
      <c r="E35" s="201" cm="1">
        <f t="array" aca="1" ref="E35" ca="1">D35*_xlfn.IFS(C35=1,$G$3,C35=2,$H$3,C35=3,$I$3,C35=4,$J$3,C35=5,$K$3)</f>
        <v>0</v>
      </c>
      <c r="F35" s="202" cm="1">
        <f t="array" aca="1" ref="F35" ca="1">D35*_xlfn.IFS(C35=1,$G$4,C35=2,$H$4,C35=3,$I$4,C35=4,$J$4,C35=5,$K$4)</f>
        <v>0</v>
      </c>
      <c r="G35" s="203">
        <f t="shared" ca="1" si="2"/>
        <v>-0.92748853234844086</v>
      </c>
      <c r="H35" s="203">
        <f t="shared" ca="1" si="3"/>
        <v>1.0553634322986156</v>
      </c>
      <c r="I35" s="204" cm="1">
        <f t="array" aca="1" ref="I35" ca="1">D35*_xlfn.IFS(C35=1,$G$5,C35=2,$H$5,C35=3,$I$5,C35=4,$J$5,C35=5,$K$5)</f>
        <v>13114992.048726304</v>
      </c>
      <c r="J35" s="205">
        <f t="shared" si="4"/>
        <v>1.02318</v>
      </c>
      <c r="K35" s="206" cm="1">
        <f t="array" aca="1" ref="K35" ca="1">D35*_xlfn.IFS(C35=1,$G$6,C35=2,$H$6,C35=3,$I$6,C35=4,$J$6,C35=5,$K$6)</f>
        <v>131149920.48726302</v>
      </c>
      <c r="L35" s="207">
        <f t="shared" ca="1" si="5"/>
        <v>-0.60893102437678936</v>
      </c>
      <c r="M35" s="207">
        <f t="shared" ca="1" si="6"/>
        <v>0.92715343336140543</v>
      </c>
      <c r="N35" s="208" cm="1">
        <f t="array" aca="1" ref="N35" ca="1">D35*_xlfn.IFS(C35=1,$G$7,C35=2,$H$7,C35=3,$I$7,C35=4,$J$7,C35=5,$K$7)</f>
        <v>118034928.43853672</v>
      </c>
      <c r="O35" s="209">
        <f t="shared" ca="1" si="7"/>
        <v>2.2257172334979902</v>
      </c>
      <c r="P35" s="209">
        <f t="shared" ca="1" si="8"/>
        <v>1.1152539113670141</v>
      </c>
      <c r="Q35" s="200">
        <f t="shared" ca="1" si="9"/>
        <v>266654012.24826071</v>
      </c>
      <c r="R35" s="200">
        <f>'14.3. More funds to invest'!G18</f>
        <v>20619675.146259278</v>
      </c>
      <c r="U35" s="211">
        <v>17</v>
      </c>
      <c r="V35" s="178">
        <v>9735779077.6933594</v>
      </c>
    </row>
    <row r="36" spans="1:22" x14ac:dyDescent="0.25">
      <c r="A36" s="198">
        <v>18</v>
      </c>
      <c r="B36" s="199">
        <v>2041</v>
      </c>
      <c r="C36" s="199" cm="1">
        <f t="array" ref="C36">_xlfn.IFS(AND(B36&gt;=2024,B36&lt;=2034),1,AND(B36&gt;=2035,B36&lt;=2044),2,AND(B36&gt;=2045,B36&lt;=2055),3,AND(B36&gt;=2056,B36&lt;=2062),4,B36&gt;=2063,5)</f>
        <v>2</v>
      </c>
      <c r="D36" s="200">
        <f t="shared" ca="1" si="1"/>
        <v>287273687.39451998</v>
      </c>
      <c r="E36" s="201" cm="1">
        <f t="array" aca="1" ref="E36" ca="1">D36*_xlfn.IFS(C36=1,$G$3,C36=2,$H$3,C36=3,$I$3,C36=4,$J$3,C36=5,$K$3)</f>
        <v>0</v>
      </c>
      <c r="F36" s="202" cm="1">
        <f t="array" aca="1" ref="F36" ca="1">D36*_xlfn.IFS(C36=1,$G$4,C36=2,$H$4,C36=3,$I$4,C36=4,$J$4,C36=5,$K$4)</f>
        <v>0</v>
      </c>
      <c r="G36" s="203">
        <f t="shared" ca="1" si="2"/>
        <v>1.4544069173298784</v>
      </c>
      <c r="H36" s="203">
        <f t="shared" ca="1" si="3"/>
        <v>1.0724068887491056</v>
      </c>
      <c r="I36" s="204" cm="1">
        <f t="array" aca="1" ref="I36" ca="1">D36*_xlfn.IFS(C36=1,$G$5,C36=2,$H$5,C36=3,$I$5,C36=4,$J$5,C36=5,$K$5)</f>
        <v>14363684.369726</v>
      </c>
      <c r="J36" s="205">
        <f t="shared" si="4"/>
        <v>1.02318</v>
      </c>
      <c r="K36" s="206" cm="1">
        <f t="array" aca="1" ref="K36" ca="1">D36*_xlfn.IFS(C36=1,$G$6,C36=2,$H$6,C36=3,$I$6,C36=4,$J$6,C36=5,$K$6)</f>
        <v>143636843.69725999</v>
      </c>
      <c r="L36" s="207">
        <f t="shared" ca="1" si="5"/>
        <v>0.96325166417228747</v>
      </c>
      <c r="M36" s="207">
        <f t="shared" ca="1" si="6"/>
        <v>1.4275575767900417</v>
      </c>
      <c r="N36" s="208" cm="1">
        <f t="array" aca="1" ref="N36" ca="1">D36*_xlfn.IFS(C36=1,$G$7,C36=2,$H$7,C36=3,$I$7,C36=4,$J$7,C36=5,$K$7)</f>
        <v>129273159.32753399</v>
      </c>
      <c r="O36" s="209">
        <f t="shared" ca="1" si="7"/>
        <v>0.85686540211333695</v>
      </c>
      <c r="P36" s="209">
        <f t="shared" ca="1" si="8"/>
        <v>1.0891324609344413</v>
      </c>
      <c r="Q36" s="200">
        <f t="shared" ca="1" si="9"/>
        <v>360542093.2508139</v>
      </c>
      <c r="R36" s="200">
        <f>'14.3. More funds to invest'!G19</f>
        <v>21251593.243873313</v>
      </c>
      <c r="U36" s="211">
        <v>18</v>
      </c>
      <c r="V36" s="178">
        <v>5764331391.2206993</v>
      </c>
    </row>
    <row r="37" spans="1:22" x14ac:dyDescent="0.25">
      <c r="A37" s="198">
        <v>19</v>
      </c>
      <c r="B37" s="199">
        <v>2042</v>
      </c>
      <c r="C37" s="199" cm="1">
        <f t="array" ref="C37">_xlfn.IFS(AND(B37&gt;=2024,B37&lt;=2034),1,AND(B37&gt;=2035,B37&lt;=2044),2,AND(B37&gt;=2045,B37&lt;=2055),3,AND(B37&gt;=2056,B37&lt;=2062),4,B37&gt;=2063,5)</f>
        <v>2</v>
      </c>
      <c r="D37" s="200">
        <f t="shared" ca="1" si="1"/>
        <v>381793686.4946872</v>
      </c>
      <c r="E37" s="201" cm="1">
        <f t="array" aca="1" ref="E37" ca="1">D37*_xlfn.IFS(C37=1,$G$3,C37=2,$H$3,C37=3,$I$3,C37=4,$J$3,C37=5,$K$3)</f>
        <v>0</v>
      </c>
      <c r="F37" s="202" cm="1">
        <f t="array" aca="1" ref="F37" ca="1">D37*_xlfn.IFS(C37=1,$G$4,C37=2,$H$4,C37=3,$I$4,C37=4,$J$4,C37=5,$K$4)</f>
        <v>0</v>
      </c>
      <c r="G37" s="203">
        <f t="shared" ca="1" si="2"/>
        <v>0.19367270580109108</v>
      </c>
      <c r="H37" s="203">
        <f t="shared" ca="1" si="3"/>
        <v>1.0633858090737842</v>
      </c>
      <c r="I37" s="204" cm="1">
        <f t="array" aca="1" ref="I37" ca="1">D37*_xlfn.IFS(C37=1,$G$5,C37=2,$H$5,C37=3,$I$5,C37=4,$J$5,C37=5,$K$5)</f>
        <v>19089684.32473436</v>
      </c>
      <c r="J37" s="205">
        <f t="shared" si="4"/>
        <v>1.02318</v>
      </c>
      <c r="K37" s="206" cm="1">
        <f t="array" aca="1" ref="K37" ca="1">D37*_xlfn.IFS(C37=1,$G$6,C37=2,$H$6,C37=3,$I$6,C37=4,$J$6,C37=5,$K$6)</f>
        <v>190896843.2473436</v>
      </c>
      <c r="L37" s="207">
        <f t="shared" ca="1" si="5"/>
        <v>0.14170952799942504</v>
      </c>
      <c r="M37" s="207">
        <f t="shared" ca="1" si="6"/>
        <v>1.1660720052108833</v>
      </c>
      <c r="N37" s="208" cm="1">
        <f t="array" aca="1" ref="N37" ca="1">D37*_xlfn.IFS(C37=1,$G$7,C37=2,$H$7,C37=3,$I$7,C37=4,$J$7,C37=5,$K$7)</f>
        <v>171807158.92260924</v>
      </c>
      <c r="O37" s="209">
        <f t="shared" ca="1" si="7"/>
        <v>-0.63745702981112307</v>
      </c>
      <c r="P37" s="209">
        <f t="shared" ca="1" si="8"/>
        <v>1.0606166870275517</v>
      </c>
      <c r="Q37" s="200">
        <f t="shared" ca="1" si="9"/>
        <v>424353187.7053532</v>
      </c>
      <c r="R37" s="200">
        <f>'14.3. More funds to invest'!G20</f>
        <v>22090639.481085345</v>
      </c>
      <c r="U37" s="211">
        <v>19</v>
      </c>
      <c r="V37" s="178">
        <v>5058385679.8662634</v>
      </c>
    </row>
    <row r="38" spans="1:22" x14ac:dyDescent="0.25">
      <c r="A38" s="198">
        <v>20</v>
      </c>
      <c r="B38" s="199">
        <v>2043</v>
      </c>
      <c r="C38" s="199" cm="1">
        <f t="array" ref="C38">_xlfn.IFS(AND(B38&gt;=2024,B38&lt;=2034),1,AND(B38&gt;=2035,B38&lt;=2044),2,AND(B38&gt;=2045,B38&lt;=2055),3,AND(B38&gt;=2056,B38&lt;=2062),4,B38&gt;=2063,5)</f>
        <v>2</v>
      </c>
      <c r="D38" s="200">
        <f t="shared" ca="1" si="1"/>
        <v>446443827.18643856</v>
      </c>
      <c r="E38" s="201" cm="1">
        <f t="array" aca="1" ref="E38" ca="1">D38*_xlfn.IFS(C38=1,$G$3,C38=2,$H$3,C38=3,$I$3,C38=4,$J$3,C38=5,$K$3)</f>
        <v>0</v>
      </c>
      <c r="F38" s="202" cm="1">
        <f t="array" aca="1" ref="F38" ca="1">D38*_xlfn.IFS(C38=1,$G$4,C38=2,$H$4,C38=3,$I$4,C38=4,$J$4,C38=5,$K$4)</f>
        <v>0</v>
      </c>
      <c r="G38" s="203">
        <f t="shared" ca="1" si="2"/>
        <v>1.0234244310752487</v>
      </c>
      <c r="H38" s="203">
        <f t="shared" ca="1" si="3"/>
        <v>1.0693230291126985</v>
      </c>
      <c r="I38" s="204" cm="1">
        <f t="array" aca="1" ref="I38" ca="1">D38*_xlfn.IFS(C38=1,$G$5,C38=2,$H$5,C38=3,$I$5,C38=4,$J$5,C38=5,$K$5)</f>
        <v>22322191.35932193</v>
      </c>
      <c r="J38" s="205">
        <f t="shared" si="4"/>
        <v>1.02318</v>
      </c>
      <c r="K38" s="206" cm="1">
        <f t="array" aca="1" ref="K38" ca="1">D38*_xlfn.IFS(C38=1,$G$6,C38=2,$H$6,C38=3,$I$6,C38=4,$J$6,C38=5,$K$6)</f>
        <v>223221913.59321928</v>
      </c>
      <c r="L38" s="207">
        <f t="shared" ca="1" si="5"/>
        <v>0.46791215296978045</v>
      </c>
      <c r="M38" s="207">
        <f t="shared" ca="1" si="6"/>
        <v>1.2698978177715765</v>
      </c>
      <c r="N38" s="208" cm="1">
        <f t="array" aca="1" ref="N38" ca="1">D38*_xlfn.IFS(C38=1,$G$7,C38=2,$H$7,C38=3,$I$7,C38=4,$J$7,C38=5,$K$7)</f>
        <v>200899722.23389736</v>
      </c>
      <c r="O38" s="209">
        <f t="shared" ca="1" si="7"/>
        <v>-0.12410090158199731</v>
      </c>
      <c r="P38" s="209">
        <f t="shared" ca="1" si="8"/>
        <v>1.0704129311135389</v>
      </c>
      <c r="Q38" s="200">
        <f t="shared" ca="1" si="9"/>
        <v>521354301.24213743</v>
      </c>
      <c r="R38" s="200">
        <f>'14.3. More funds to invest'!G21</f>
        <v>22780449.511513352</v>
      </c>
      <c r="U38" s="211">
        <v>20</v>
      </c>
      <c r="V38" s="178">
        <v>6592568903.4965305</v>
      </c>
    </row>
    <row r="39" spans="1:22" x14ac:dyDescent="0.25">
      <c r="A39" s="198">
        <v>21</v>
      </c>
      <c r="B39" s="199">
        <v>2044</v>
      </c>
      <c r="C39" s="199" cm="1">
        <f t="array" ref="C39">_xlfn.IFS(AND(B39&gt;=2024,B39&lt;=2034),1,AND(B39&gt;=2035,B39&lt;=2044),2,AND(B39&gt;=2045,B39&lt;=2055),3,AND(B39&gt;=2056,B39&lt;=2062),4,B39&gt;=2063,5)</f>
        <v>2</v>
      </c>
      <c r="D39" s="200">
        <f t="shared" ca="1" si="1"/>
        <v>544134750.75365078</v>
      </c>
      <c r="E39" s="201" cm="1">
        <f t="array" aca="1" ref="E39" ca="1">D39*_xlfn.IFS(C39=1,$G$3,C39=2,$H$3,C39=3,$I$3,C39=4,$J$3,C39=5,$K$3)</f>
        <v>0</v>
      </c>
      <c r="F39" s="202" cm="1">
        <f t="array" aca="1" ref="F39" ca="1">D39*_xlfn.IFS(C39=1,$G$4,C39=2,$H$4,C39=3,$I$4,C39=4,$J$4,C39=5,$K$4)</f>
        <v>0</v>
      </c>
      <c r="G39" s="203">
        <f t="shared" ca="1" si="2"/>
        <v>0.55061246212890735</v>
      </c>
      <c r="H39" s="203">
        <f t="shared" ca="1" si="3"/>
        <v>1.0659398620626521</v>
      </c>
      <c r="I39" s="204" cm="1">
        <f t="array" aca="1" ref="I39" ca="1">D39*_xlfn.IFS(C39=1,$G$5,C39=2,$H$5,C39=3,$I$5,C39=4,$J$5,C39=5,$K$5)</f>
        <v>27206737.537682541</v>
      </c>
      <c r="J39" s="205">
        <f t="shared" si="4"/>
        <v>1.02318</v>
      </c>
      <c r="K39" s="206" cm="1">
        <f t="array" aca="1" ref="K39" ca="1">D39*_xlfn.IFS(C39=1,$G$6,C39=2,$H$6,C39=3,$I$6,C39=4,$J$6,C39=5,$K$6)</f>
        <v>272067375.37682539</v>
      </c>
      <c r="L39" s="207">
        <f t="shared" ca="1" si="5"/>
        <v>-0.78542909309563536</v>
      </c>
      <c r="M39" s="207">
        <f t="shared" ca="1" si="6"/>
        <v>0.87097652368205314</v>
      </c>
      <c r="N39" s="208" cm="1">
        <f t="array" aca="1" ref="N39" ca="1">D39*_xlfn.IFS(C39=1,$G$7,C39=2,$H$7,C39=3,$I$7,C39=4,$J$7,C39=5,$K$7)</f>
        <v>244860637.83914286</v>
      </c>
      <c r="O39" s="209">
        <f t="shared" ca="1" si="7"/>
        <v>-0.54584098335198061</v>
      </c>
      <c r="P39" s="209">
        <f t="shared" ca="1" si="8"/>
        <v>1.0623649726794691</v>
      </c>
      <c r="Q39" s="200">
        <f t="shared" ca="1" si="9"/>
        <v>524933051.35507202</v>
      </c>
      <c r="R39" s="200">
        <f>'14.3. More funds to invest'!G22</f>
        <v>23497374.8608412</v>
      </c>
      <c r="U39" s="211">
        <v>21</v>
      </c>
      <c r="V39" s="178">
        <v>3903450781.5938926</v>
      </c>
    </row>
    <row r="40" spans="1:22" x14ac:dyDescent="0.25">
      <c r="A40" s="198">
        <v>22</v>
      </c>
      <c r="B40" s="199">
        <v>2045</v>
      </c>
      <c r="C40" s="199" cm="1">
        <f t="array" ref="C40">_xlfn.IFS(AND(B40&gt;=2024,B40&lt;=2034),1,AND(B40&gt;=2035,B40&lt;=2044),2,AND(B40&gt;=2045,B40&lt;=2055),3,AND(B40&gt;=2056,B40&lt;=2062),4,B40&gt;=2063,5)</f>
        <v>3</v>
      </c>
      <c r="D40" s="200">
        <f t="shared" ca="1" si="1"/>
        <v>548430426.21591318</v>
      </c>
      <c r="E40" s="201" cm="1">
        <f t="array" aca="1" ref="E40" ca="1">D40*_xlfn.IFS(C40=1,$G$3,C40=2,$H$3,C40=3,$I$3,C40=4,$J$3,C40=5,$K$3)</f>
        <v>54843042.621591322</v>
      </c>
      <c r="F40" s="202" cm="1">
        <f t="array" aca="1" ref="F40" ca="1">D40*_xlfn.IFS(C40=1,$G$4,C40=2,$H$4,C40=3,$I$4,C40=4,$J$4,C40=5,$K$4)</f>
        <v>27421521.310795661</v>
      </c>
      <c r="G40" s="203">
        <f t="shared" ca="1" si="2"/>
        <v>-0.17346318269631392</v>
      </c>
      <c r="H40" s="203">
        <f t="shared" ca="1" si="3"/>
        <v>1.0607587985020723</v>
      </c>
      <c r="I40" s="204" cm="1">
        <f t="array" aca="1" ref="I40" ca="1">D40*_xlfn.IFS(C40=1,$G$5,C40=2,$H$5,C40=3,$I$5,C40=4,$J$5,C40=5,$K$5)</f>
        <v>27421521.310795661</v>
      </c>
      <c r="J40" s="205">
        <f t="shared" si="4"/>
        <v>1.02318</v>
      </c>
      <c r="K40" s="206" cm="1">
        <f t="array" aca="1" ref="K40" ca="1">D40*_xlfn.IFS(C40=1,$G$6,C40=2,$H$6,C40=3,$I$6,C40=4,$J$6,C40=5,$K$6)</f>
        <v>219372170.48636529</v>
      </c>
      <c r="L40" s="207">
        <f t="shared" ca="1" si="5"/>
        <v>0.85156415678376463</v>
      </c>
      <c r="M40" s="207">
        <f t="shared" ca="1" si="6"/>
        <v>1.392008978097601</v>
      </c>
      <c r="N40" s="208" cm="1">
        <f t="array" aca="1" ref="N40" ca="1">D40*_xlfn.IFS(C40=1,$G$7,C40=2,$H$7,C40=3,$I$7,C40=4,$J$7,C40=5,$K$7)</f>
        <v>219372170.48636529</v>
      </c>
      <c r="O40" s="209">
        <f t="shared" ca="1" si="7"/>
        <v>-2.6445300550056081</v>
      </c>
      <c r="P40" s="209">
        <f t="shared" ca="1" si="8"/>
        <v>1.0223162243038841</v>
      </c>
      <c r="Q40" s="200">
        <f t="shared" ca="1" si="9"/>
        <v>641623574.7058568</v>
      </c>
      <c r="R40" s="200">
        <f>'14.3. More funds to invest'!G23</f>
        <v>24242497.616095006</v>
      </c>
      <c r="U40" s="211">
        <v>22</v>
      </c>
      <c r="V40" s="178">
        <v>9915521613.4174042</v>
      </c>
    </row>
    <row r="41" spans="1:22" x14ac:dyDescent="0.25">
      <c r="A41" s="198">
        <v>23</v>
      </c>
      <c r="B41" s="199">
        <v>2046</v>
      </c>
      <c r="C41" s="199" cm="1">
        <f t="array" ref="C41">_xlfn.IFS(AND(B41&gt;=2024,B41&lt;=2034),1,AND(B41&gt;=2035,B41&lt;=2044),2,AND(B41&gt;=2045,B41&lt;=2055),3,AND(B41&gt;=2056,B41&lt;=2062),4,B41&gt;=2063,5)</f>
        <v>3</v>
      </c>
      <c r="D41" s="200">
        <f t="shared" ca="1" si="1"/>
        <v>665866072.32195187</v>
      </c>
      <c r="E41" s="201" cm="1">
        <f t="array" aca="1" ref="E41" ca="1">D41*_xlfn.IFS(C41=1,$G$3,C41=2,$H$3,C41=3,$I$3,C41=4,$J$3,C41=5,$K$3)</f>
        <v>66586607.232195191</v>
      </c>
      <c r="F41" s="202" cm="1">
        <f t="array" aca="1" ref="F41" ca="1">D41*_xlfn.IFS(C41=1,$G$4,C41=2,$H$4,C41=3,$I$4,C41=4,$J$4,C41=5,$K$4)</f>
        <v>33293303.616097596</v>
      </c>
      <c r="G41" s="203">
        <f t="shared" ca="1" si="2"/>
        <v>-0.18375218914554148</v>
      </c>
      <c r="H41" s="203">
        <f t="shared" ca="1" si="3"/>
        <v>1.0606851763649798</v>
      </c>
      <c r="I41" s="204" cm="1">
        <f t="array" aca="1" ref="I41" ca="1">D41*_xlfn.IFS(C41=1,$G$5,C41=2,$H$5,C41=3,$I$5,C41=4,$J$5,C41=5,$K$5)</f>
        <v>33293303.616097596</v>
      </c>
      <c r="J41" s="205">
        <f t="shared" si="4"/>
        <v>1.02318</v>
      </c>
      <c r="K41" s="206" cm="1">
        <f t="array" aca="1" ref="K41" ca="1">D41*_xlfn.IFS(C41=1,$G$6,C41=2,$H$6,C41=3,$I$6,C41=4,$J$6,C41=5,$K$6)</f>
        <v>266346428.92878076</v>
      </c>
      <c r="L41" s="207">
        <f t="shared" ca="1" si="5"/>
        <v>0.44505853584561772</v>
      </c>
      <c r="M41" s="207">
        <f t="shared" ca="1" si="6"/>
        <v>1.2626238255157423</v>
      </c>
      <c r="N41" s="208" cm="1">
        <f t="array" aca="1" ref="N41" ca="1">D41*_xlfn.IFS(C41=1,$G$7,C41=2,$H$7,C41=3,$I$7,C41=4,$J$7,C41=5,$K$7)</f>
        <v>266346428.92878076</v>
      </c>
      <c r="O41" s="209">
        <f t="shared" ca="1" si="7"/>
        <v>-1.6575112605010649</v>
      </c>
      <c r="P41" s="209">
        <f t="shared" ca="1" si="8"/>
        <v>1.0411512522634758</v>
      </c>
      <c r="Q41" s="200">
        <f t="shared" ca="1" si="9"/>
        <v>749567628.26554608</v>
      </c>
      <c r="R41" s="200">
        <f>'14.3. More funds to invest'!G24</f>
        <v>25016943.134410352</v>
      </c>
      <c r="U41" s="211">
        <v>23</v>
      </c>
      <c r="V41" s="178">
        <v>6437911297.7683859</v>
      </c>
    </row>
    <row r="42" spans="1:22" x14ac:dyDescent="0.25">
      <c r="A42" s="198">
        <v>24</v>
      </c>
      <c r="B42" s="199">
        <v>2047</v>
      </c>
      <c r="C42" s="199" cm="1">
        <f t="array" ref="C42">_xlfn.IFS(AND(B42&gt;=2024,B42&lt;=2034),1,AND(B42&gt;=2035,B42&lt;=2044),2,AND(B42&gt;=2045,B42&lt;=2055),3,AND(B42&gt;=2056,B42&lt;=2062),4,B42&gt;=2063,5)</f>
        <v>3</v>
      </c>
      <c r="D42" s="200">
        <f t="shared" ca="1" si="1"/>
        <v>774584571.39995646</v>
      </c>
      <c r="E42" s="201" cm="1">
        <f t="array" aca="1" ref="E42" ca="1">D42*_xlfn.IFS(C42=1,$G$3,C42=2,$H$3,C42=3,$I$3,C42=4,$J$3,C42=5,$K$3)</f>
        <v>77458457.139995649</v>
      </c>
      <c r="F42" s="202" cm="1">
        <f t="array" aca="1" ref="F42" ca="1">D42*_xlfn.IFS(C42=1,$G$4,C42=2,$H$4,C42=3,$I$4,C42=4,$J$4,C42=5,$K$4)</f>
        <v>38729228.569997825</v>
      </c>
      <c r="G42" s="203">
        <f t="shared" ca="1" si="2"/>
        <v>-0.24174076112657866</v>
      </c>
      <c r="H42" s="203">
        <f t="shared" ca="1" si="3"/>
        <v>1.0602702439206029</v>
      </c>
      <c r="I42" s="204" cm="1">
        <f t="array" aca="1" ref="I42" ca="1">D42*_xlfn.IFS(C42=1,$G$5,C42=2,$H$5,C42=3,$I$5,C42=4,$J$5,C42=5,$K$5)</f>
        <v>38729228.569997825</v>
      </c>
      <c r="J42" s="205">
        <f t="shared" si="4"/>
        <v>1.02318</v>
      </c>
      <c r="K42" s="206" cm="1">
        <f t="array" aca="1" ref="K42" ca="1">D42*_xlfn.IFS(C42=1,$G$6,C42=2,$H$6,C42=3,$I$6,C42=4,$J$6,C42=5,$K$6)</f>
        <v>309833828.5599826</v>
      </c>
      <c r="L42" s="207">
        <f t="shared" ca="1" si="5"/>
        <v>0.89626903635275168</v>
      </c>
      <c r="M42" s="207">
        <f t="shared" ca="1" si="6"/>
        <v>1.4062379268900882</v>
      </c>
      <c r="N42" s="208" cm="1">
        <f t="array" aca="1" ref="N42" ca="1">D42*_xlfn.IFS(C42=1,$G$7,C42=2,$H$7,C42=3,$I$7,C42=4,$J$7,C42=5,$K$7)</f>
        <v>309833828.5599826</v>
      </c>
      <c r="O42" s="209">
        <f t="shared" ca="1" si="7"/>
        <v>1.0889898657575192</v>
      </c>
      <c r="P42" s="209">
        <f t="shared" ca="1" si="8"/>
        <v>1.0935620328809796</v>
      </c>
      <c r="Q42" s="200">
        <f t="shared" ca="1" si="9"/>
        <v>932671470.02097487</v>
      </c>
      <c r="R42" s="200">
        <f>'14.3. More funds to invest'!G25</f>
        <v>25821881.773765996</v>
      </c>
      <c r="U42" s="211">
        <v>24</v>
      </c>
      <c r="V42" s="178">
        <v>5677739808.1509686</v>
      </c>
    </row>
    <row r="43" spans="1:22" x14ac:dyDescent="0.25">
      <c r="A43" s="198">
        <v>25</v>
      </c>
      <c r="B43" s="199">
        <v>2048</v>
      </c>
      <c r="C43" s="199" cm="1">
        <f t="array" ref="C43">_xlfn.IFS(AND(B43&gt;=2024,B43&lt;=2034),1,AND(B43&gt;=2035,B43&lt;=2044),2,AND(B43&gt;=2045,B43&lt;=2055),3,AND(B43&gt;=2056,B43&lt;=2062),4,B43&gt;=2063,5)</f>
        <v>3</v>
      </c>
      <c r="D43" s="200">
        <f t="shared" ca="1" si="1"/>
        <v>958493351.79474092</v>
      </c>
      <c r="E43" s="201" cm="1">
        <f t="array" aca="1" ref="E43" ca="1">D43*_xlfn.IFS(C43=1,$G$3,C43=2,$H$3,C43=3,$I$3,C43=4,$J$3,C43=5,$K$3)</f>
        <v>95849335.1794741</v>
      </c>
      <c r="F43" s="202" cm="1">
        <f t="array" aca="1" ref="F43" ca="1">D43*_xlfn.IFS(C43=1,$G$4,C43=2,$H$4,C43=3,$I$4,C43=4,$J$4,C43=5,$K$4)</f>
        <v>47924667.58973705</v>
      </c>
      <c r="G43" s="203">
        <f t="shared" ca="1" si="2"/>
        <v>0.28427196745260597</v>
      </c>
      <c r="H43" s="203">
        <f t="shared" ca="1" si="3"/>
        <v>1.0640340846186291</v>
      </c>
      <c r="I43" s="204" cm="1">
        <f t="array" aca="1" ref="I43" ca="1">D43*_xlfn.IFS(C43=1,$G$5,C43=2,$H$5,C43=3,$I$5,C43=4,$J$5,C43=5,$K$5)</f>
        <v>47924667.58973705</v>
      </c>
      <c r="J43" s="205">
        <f t="shared" si="4"/>
        <v>1.02318</v>
      </c>
      <c r="K43" s="206" cm="1">
        <f t="array" aca="1" ref="K43" ca="1">D43*_xlfn.IFS(C43=1,$G$6,C43=2,$H$6,C43=3,$I$6,C43=4,$J$6,C43=5,$K$6)</f>
        <v>383397340.7178964</v>
      </c>
      <c r="L43" s="207">
        <f t="shared" ca="1" si="5"/>
        <v>1.1090142362651658</v>
      </c>
      <c r="M43" s="207">
        <f t="shared" ca="1" si="6"/>
        <v>1.4739518002879519</v>
      </c>
      <c r="N43" s="208" cm="1">
        <f t="array" aca="1" ref="N43" ca="1">D43*_xlfn.IFS(C43=1,$G$7,C43=2,$H$7,C43=3,$I$7,C43=4,$J$7,C43=5,$K$7)</f>
        <v>383397340.7178964</v>
      </c>
      <c r="O43" s="209">
        <f t="shared" ca="1" si="7"/>
        <v>-0.38090532554947809</v>
      </c>
      <c r="P43" s="209">
        <f t="shared" ca="1" si="8"/>
        <v>1.0655123977776946</v>
      </c>
      <c r="Q43" s="200">
        <f t="shared" ca="1" si="9"/>
        <v>1169502196.7601135</v>
      </c>
      <c r="R43" s="200">
        <f>'14.3. More funds to invest'!G26</f>
        <v>26889228.067786604</v>
      </c>
      <c r="U43" s="211">
        <v>25</v>
      </c>
      <c r="V43" s="178">
        <v>6916537150.9620857</v>
      </c>
    </row>
    <row r="44" spans="1:22" x14ac:dyDescent="0.25">
      <c r="A44" s="198">
        <v>26</v>
      </c>
      <c r="B44" s="199">
        <v>2049</v>
      </c>
      <c r="C44" s="199" cm="1">
        <f t="array" ref="C44">_xlfn.IFS(AND(B44&gt;=2024,B44&lt;=2034),1,AND(B44&gt;=2035,B44&lt;=2044),2,AND(B44&gt;=2045,B44&lt;=2055),3,AND(B44&gt;=2056,B44&lt;=2062),4,B44&gt;=2063,5)</f>
        <v>3</v>
      </c>
      <c r="D44" s="200">
        <f t="shared" ca="1" si="1"/>
        <v>1196391424.8279002</v>
      </c>
      <c r="E44" s="201" cm="1">
        <f t="array" aca="1" ref="E44" ca="1">D44*_xlfn.IFS(C44=1,$G$3,C44=2,$H$3,C44=3,$I$3,C44=4,$J$3,C44=5,$K$3)</f>
        <v>119639142.48279002</v>
      </c>
      <c r="F44" s="202" cm="1">
        <f t="array" aca="1" ref="F44" ca="1">D44*_xlfn.IFS(C44=1,$G$4,C44=2,$H$4,C44=3,$I$4,C44=4,$J$4,C44=5,$K$4)</f>
        <v>59819571.241395012</v>
      </c>
      <c r="G44" s="203">
        <f t="shared" ca="1" si="2"/>
        <v>-1.7947767290530896</v>
      </c>
      <c r="H44" s="203">
        <f t="shared" ca="1" si="3"/>
        <v>1.0491576231340882</v>
      </c>
      <c r="I44" s="204" cm="1">
        <f t="array" aca="1" ref="I44" ca="1">D44*_xlfn.IFS(C44=1,$G$5,C44=2,$H$5,C44=3,$I$5,C44=4,$J$5,C44=5,$K$5)</f>
        <v>59819571.241395012</v>
      </c>
      <c r="J44" s="205">
        <f t="shared" si="4"/>
        <v>1.02318</v>
      </c>
      <c r="K44" s="206" cm="1">
        <f t="array" aca="1" ref="K44" ca="1">D44*_xlfn.IFS(C44=1,$G$6,C44=2,$H$6,C44=3,$I$6,C44=4,$J$6,C44=5,$K$6)</f>
        <v>478556569.93116009</v>
      </c>
      <c r="L44" s="207">
        <f t="shared" ca="1" si="5"/>
        <v>0.77617617028558461</v>
      </c>
      <c r="M44" s="207">
        <f t="shared" ca="1" si="6"/>
        <v>1.3680140180441698</v>
      </c>
      <c r="N44" s="208" cm="1">
        <f t="array" aca="1" ref="N44" ca="1">D44*_xlfn.IFS(C44=1,$G$7,C44=2,$H$7,C44=3,$I$7,C44=4,$J$7,C44=5,$K$7)</f>
        <v>478556569.93116009</v>
      </c>
      <c r="O44" s="209">
        <f t="shared" ca="1" si="7"/>
        <v>0.84617354813645596</v>
      </c>
      <c r="P44" s="209">
        <f t="shared" ca="1" si="8"/>
        <v>1.0889284310114897</v>
      </c>
      <c r="Q44" s="200">
        <f t="shared" ca="1" si="9"/>
        <v>1419391441.5044231</v>
      </c>
      <c r="R44" s="200">
        <f>'14.3. More funds to invest'!G27</f>
        <v>27768080.993336037</v>
      </c>
      <c r="U44" s="211">
        <v>26</v>
      </c>
      <c r="V44" s="178">
        <v>6468071275.7128639</v>
      </c>
    </row>
    <row r="45" spans="1:22" x14ac:dyDescent="0.25">
      <c r="A45" s="198">
        <v>27</v>
      </c>
      <c r="B45" s="199">
        <v>2050</v>
      </c>
      <c r="C45" s="199" cm="1">
        <f t="array" ref="C45">_xlfn.IFS(AND(B45&gt;=2024,B45&lt;=2034),1,AND(B45&gt;=2035,B45&lt;=2044),2,AND(B45&gt;=2045,B45&lt;=2055),3,AND(B45&gt;=2056,B45&lt;=2062),4,B45&gt;=2063,5)</f>
        <v>3</v>
      </c>
      <c r="D45" s="200">
        <f t="shared" ca="1" si="1"/>
        <v>1447159522.4977591</v>
      </c>
      <c r="E45" s="201" cm="1">
        <f t="array" aca="1" ref="E45" ca="1">D45*_xlfn.IFS(C45=1,$G$3,C45=2,$H$3,C45=3,$I$3,C45=4,$J$3,C45=5,$K$3)</f>
        <v>144715952.24977592</v>
      </c>
      <c r="F45" s="202" cm="1">
        <f t="array" aca="1" ref="F45" ca="1">D45*_xlfn.IFS(C45=1,$G$4,C45=2,$H$4,C45=3,$I$4,C45=4,$J$4,C45=5,$K$4)</f>
        <v>72357976.124887958</v>
      </c>
      <c r="G45" s="203">
        <f t="shared" ca="1" si="2"/>
        <v>-0.66069643375658593</v>
      </c>
      <c r="H45" s="203">
        <f t="shared" ca="1" si="3"/>
        <v>1.0572724411572114</v>
      </c>
      <c r="I45" s="204" cm="1">
        <f t="array" aca="1" ref="I45" ca="1">D45*_xlfn.IFS(C45=1,$G$5,C45=2,$H$5,C45=3,$I$5,C45=4,$J$5,C45=5,$K$5)</f>
        <v>72357976.124887958</v>
      </c>
      <c r="J45" s="205">
        <f t="shared" si="4"/>
        <v>1.02318</v>
      </c>
      <c r="K45" s="206" cm="1">
        <f t="array" aca="1" ref="K45" ca="1">D45*_xlfn.IFS(C45=1,$G$6,C45=2,$H$6,C45=3,$I$6,C45=4,$J$6,C45=5,$K$6)</f>
        <v>578863808.99910367</v>
      </c>
      <c r="L45" s="207">
        <f t="shared" ca="1" si="5"/>
        <v>0.6530652166569465</v>
      </c>
      <c r="M45" s="207">
        <f t="shared" ca="1" si="6"/>
        <v>1.328829493404686</v>
      </c>
      <c r="N45" s="208" cm="1">
        <f t="array" aca="1" ref="N45" ca="1">D45*_xlfn.IFS(C45=1,$G$7,C45=2,$H$7,C45=3,$I$7,C45=4,$J$7,C45=5,$K$7)</f>
        <v>578863808.99910367</v>
      </c>
      <c r="O45" s="209">
        <f t="shared" ca="1" si="7"/>
        <v>9.0957500696069768E-2</v>
      </c>
      <c r="P45" s="209">
        <f t="shared" ca="1" si="8"/>
        <v>1.0745168357629795</v>
      </c>
      <c r="Q45" s="200">
        <f t="shared" ca="1" si="9"/>
        <v>1686463490.7620027</v>
      </c>
      <c r="R45" s="200">
        <f>'14.3. More funds to invest'!G28</f>
        <v>28681595.597216591</v>
      </c>
      <c r="U45" s="211">
        <v>27</v>
      </c>
      <c r="V45" s="178">
        <v>8558571151.6714296</v>
      </c>
    </row>
    <row r="46" spans="1:22" x14ac:dyDescent="0.25">
      <c r="A46" s="198">
        <v>28</v>
      </c>
      <c r="B46" s="199">
        <v>2051</v>
      </c>
      <c r="C46" s="199" cm="1">
        <f t="array" ref="C46">_xlfn.IFS(AND(B46&gt;=2024,B46&lt;=2034),1,AND(B46&gt;=2035,B46&lt;=2044),2,AND(B46&gt;=2045,B46&lt;=2055),3,AND(B46&gt;=2056,B46&lt;=2062),4,B46&gt;=2063,5)</f>
        <v>3</v>
      </c>
      <c r="D46" s="200">
        <f t="shared" ca="1" si="1"/>
        <v>1715145086.3592193</v>
      </c>
      <c r="E46" s="201" cm="1">
        <f t="array" aca="1" ref="E46" ca="1">D46*_xlfn.IFS(C46=1,$G$3,C46=2,$H$3,C46=3,$I$3,C46=4,$J$3,C46=5,$K$3)</f>
        <v>171514508.63592196</v>
      </c>
      <c r="F46" s="202" cm="1">
        <f t="array" aca="1" ref="F46" ca="1">D46*_xlfn.IFS(C46=1,$G$4,C46=2,$H$4,C46=3,$I$4,C46=4,$J$4,C46=5,$K$4)</f>
        <v>85757254.317960978</v>
      </c>
      <c r="G46" s="203">
        <f t="shared" ca="1" si="2"/>
        <v>1.2072619624002764E-2</v>
      </c>
      <c r="H46" s="203">
        <f t="shared" ca="1" si="3"/>
        <v>1.0620863846340665</v>
      </c>
      <c r="I46" s="204" cm="1">
        <f t="array" aca="1" ref="I46" ca="1">D46*_xlfn.IFS(C46=1,$G$5,C46=2,$H$5,C46=3,$I$5,C46=4,$J$5,C46=5,$K$5)</f>
        <v>85757254.317960978</v>
      </c>
      <c r="J46" s="205">
        <f t="shared" si="4"/>
        <v>1.02318</v>
      </c>
      <c r="K46" s="206" cm="1">
        <f t="array" aca="1" ref="K46" ca="1">D46*_xlfn.IFS(C46=1,$G$6,C46=2,$H$6,C46=3,$I$6,C46=4,$J$6,C46=5,$K$6)</f>
        <v>686058034.54368782</v>
      </c>
      <c r="L46" s="207">
        <f t="shared" ca="1" si="5"/>
        <v>-0.56444927203590944</v>
      </c>
      <c r="M46" s="207">
        <f t="shared" ca="1" si="6"/>
        <v>0.94131136382359926</v>
      </c>
      <c r="N46" s="208" cm="1">
        <f t="array" aca="1" ref="N46" ca="1">D46*_xlfn.IFS(C46=1,$G$7,C46=2,$H$7,C46=3,$I$7,C46=4,$J$7,C46=5,$K$7)</f>
        <v>686058034.54368782</v>
      </c>
      <c r="O46" s="209">
        <f t="shared" ca="1" si="7"/>
        <v>-0.52232260518885643</v>
      </c>
      <c r="P46" s="209">
        <f t="shared" ca="1" si="8"/>
        <v>1.0628137678926233</v>
      </c>
      <c r="Q46" s="200">
        <f t="shared" ca="1" si="9"/>
        <v>1725287377.1485219</v>
      </c>
      <c r="R46" s="200">
        <f>'14.3. More funds to invest'!G29</f>
        <v>27381405.739533156</v>
      </c>
      <c r="U46" s="211">
        <v>28</v>
      </c>
      <c r="V46" s="178">
        <v>14086277158.626577</v>
      </c>
    </row>
    <row r="47" spans="1:22" x14ac:dyDescent="0.25">
      <c r="A47" s="198">
        <v>29</v>
      </c>
      <c r="B47" s="199">
        <v>2052</v>
      </c>
      <c r="C47" s="199" cm="1">
        <f t="array" ref="C47">_xlfn.IFS(AND(B47&gt;=2024,B47&lt;=2034),1,AND(B47&gt;=2035,B47&lt;=2044),2,AND(B47&gt;=2045,B47&lt;=2055),3,AND(B47&gt;=2056,B47&lt;=2062),4,B47&gt;=2063,5)</f>
        <v>3</v>
      </c>
      <c r="D47" s="200">
        <f t="shared" ca="1" si="1"/>
        <v>1752668782.8880551</v>
      </c>
      <c r="E47" s="201" cm="1">
        <f t="array" aca="1" ref="E47" ca="1">D47*_xlfn.IFS(C47=1,$G$3,C47=2,$H$3,C47=3,$I$3,C47=4,$J$3,C47=5,$K$3)</f>
        <v>175266878.28880551</v>
      </c>
      <c r="F47" s="202" cm="1">
        <f t="array" aca="1" ref="F47" ca="1">D47*_xlfn.IFS(C47=1,$G$4,C47=2,$H$4,C47=3,$I$4,C47=4,$J$4,C47=5,$K$4)</f>
        <v>87633439.144402757</v>
      </c>
      <c r="G47" s="203">
        <f t="shared" ca="1" si="2"/>
        <v>1.1491604018610617</v>
      </c>
      <c r="H47" s="203">
        <f t="shared" ca="1" si="3"/>
        <v>1.0702227224819594</v>
      </c>
      <c r="I47" s="204" cm="1">
        <f t="array" aca="1" ref="I47" ca="1">D47*_xlfn.IFS(C47=1,$G$5,C47=2,$H$5,C47=3,$I$5,C47=4,$J$5,C47=5,$K$5)</f>
        <v>87633439.144402757</v>
      </c>
      <c r="J47" s="205">
        <f t="shared" si="4"/>
        <v>1.02318</v>
      </c>
      <c r="K47" s="206" cm="1">
        <f t="array" aca="1" ref="K47" ca="1">D47*_xlfn.IFS(C47=1,$G$6,C47=2,$H$6,C47=3,$I$6,C47=4,$J$6,C47=5,$K$6)</f>
        <v>701067513.15522206</v>
      </c>
      <c r="L47" s="207">
        <f t="shared" ca="1" si="5"/>
        <v>-7.4468194066080698E-2</v>
      </c>
      <c r="M47" s="207">
        <f t="shared" ca="1" si="6"/>
        <v>1.0972656071844706</v>
      </c>
      <c r="N47" s="208" cm="1">
        <f t="array" aca="1" ref="N47" ca="1">D47*_xlfn.IFS(C47=1,$G$7,C47=2,$H$7,C47=3,$I$7,C47=4,$J$7,C47=5,$K$7)</f>
        <v>701067513.15522206</v>
      </c>
      <c r="O47" s="209">
        <f t="shared" ca="1" si="7"/>
        <v>7.686048630354704E-2</v>
      </c>
      <c r="P47" s="209">
        <f t="shared" ca="1" si="8"/>
        <v>1.0742478260321535</v>
      </c>
      <c r="Q47" s="200">
        <f t="shared" ca="1" si="9"/>
        <v>1881096480.7824922</v>
      </c>
      <c r="R47" s="200">
        <f>'14.3. More funds to invest'!G30</f>
        <v>28368450.620992884</v>
      </c>
      <c r="U47" s="211">
        <v>29</v>
      </c>
      <c r="V47" s="178">
        <v>3581845990.7169003</v>
      </c>
    </row>
    <row r="48" spans="1:22" x14ac:dyDescent="0.25">
      <c r="A48" s="198">
        <v>30</v>
      </c>
      <c r="B48" s="199">
        <v>2053</v>
      </c>
      <c r="C48" s="199" cm="1">
        <f t="array" ref="C48">_xlfn.IFS(AND(B48&gt;=2024,B48&lt;=2034),1,AND(B48&gt;=2035,B48&lt;=2044),2,AND(B48&gt;=2045,B48&lt;=2055),3,AND(B48&gt;=2056,B48&lt;=2062),4,B48&gt;=2063,5)</f>
        <v>3</v>
      </c>
      <c r="D48" s="200">
        <f t="shared" ca="1" si="1"/>
        <v>1909464931.4034851</v>
      </c>
      <c r="E48" s="201" cm="1">
        <f t="array" aca="1" ref="E48" ca="1">D48*_xlfn.IFS(C48=1,$G$3,C48=2,$H$3,C48=3,$I$3,C48=4,$J$3,C48=5,$K$3)</f>
        <v>190946493.14034852</v>
      </c>
      <c r="F48" s="202" cm="1">
        <f t="array" aca="1" ref="F48" ca="1">D48*_xlfn.IFS(C48=1,$G$4,C48=2,$H$4,C48=3,$I$4,C48=4,$J$4,C48=5,$K$4)</f>
        <v>95473246.570174262</v>
      </c>
      <c r="G48" s="203">
        <f t="shared" ca="1" si="2"/>
        <v>0.91054904592456565</v>
      </c>
      <c r="H48" s="203">
        <f t="shared" ca="1" si="3"/>
        <v>1.0685153586033116</v>
      </c>
      <c r="I48" s="204" cm="1">
        <f t="array" aca="1" ref="I48" ca="1">D48*_xlfn.IFS(C48=1,$G$5,C48=2,$H$5,C48=3,$I$5,C48=4,$J$5,C48=5,$K$5)</f>
        <v>95473246.570174262</v>
      </c>
      <c r="J48" s="205">
        <f t="shared" si="4"/>
        <v>1.02318</v>
      </c>
      <c r="K48" s="206" cm="1">
        <f t="array" aca="1" ref="K48" ca="1">D48*_xlfn.IFS(C48=1,$G$6,C48=2,$H$6,C48=3,$I$6,C48=4,$J$6,C48=5,$K$6)</f>
        <v>763785972.5613941</v>
      </c>
      <c r="L48" s="207">
        <f t="shared" ca="1" si="5"/>
        <v>-0.76837363192052632</v>
      </c>
      <c r="M48" s="207">
        <f t="shared" ca="1" si="6"/>
        <v>0.87640504258273333</v>
      </c>
      <c r="N48" s="208" cm="1">
        <f t="array" aca="1" ref="N48" ca="1">D48*_xlfn.IFS(C48=1,$G$7,C48=2,$H$7,C48=3,$I$7,C48=4,$J$7,C48=5,$K$7)</f>
        <v>763785972.5613941</v>
      </c>
      <c r="O48" s="209">
        <f t="shared" ca="1" si="7"/>
        <v>-0.67040899617967542</v>
      </c>
      <c r="P48" s="209">
        <f t="shared" ca="1" si="8"/>
        <v>1.0599878730562973</v>
      </c>
      <c r="Q48" s="200">
        <f t="shared" ca="1" si="9"/>
        <v>1869637186.1943221</v>
      </c>
      <c r="R48" s="200">
        <f>'14.3. More funds to invest'!G31</f>
        <v>29394476.996456236</v>
      </c>
      <c r="U48" s="211">
        <v>30</v>
      </c>
      <c r="V48" s="178">
        <v>4222699190.5459633</v>
      </c>
    </row>
    <row r="49" spans="1:22" x14ac:dyDescent="0.25">
      <c r="A49" s="198">
        <v>31</v>
      </c>
      <c r="B49" s="199">
        <v>2054</v>
      </c>
      <c r="C49" s="199" cm="1">
        <f t="array" ref="C49">_xlfn.IFS(AND(B49&gt;=2024,B49&lt;=2034),1,AND(B49&gt;=2035,B49&lt;=2044),2,AND(B49&gt;=2045,B49&lt;=2055),3,AND(B49&gt;=2056,B49&lt;=2062),4,B49&gt;=2063,5)</f>
        <v>3</v>
      </c>
      <c r="D49" s="200">
        <f t="shared" ca="1" si="1"/>
        <v>1899031663.1907783</v>
      </c>
      <c r="E49" s="201" cm="1">
        <f t="array" aca="1" ref="E49" ca="1">D49*_xlfn.IFS(C49=1,$G$3,C49=2,$H$3,C49=3,$I$3,C49=4,$J$3,C49=5,$K$3)</f>
        <v>189903166.31907785</v>
      </c>
      <c r="F49" s="202" cm="1">
        <f t="array" aca="1" ref="F49" ca="1">D49*_xlfn.IFS(C49=1,$G$4,C49=2,$H$4,C49=3,$I$4,C49=4,$J$4,C49=5,$K$4)</f>
        <v>94951583.159538925</v>
      </c>
      <c r="G49" s="203">
        <f t="shared" ca="1" si="2"/>
        <v>-0.61386402311986055</v>
      </c>
      <c r="H49" s="203">
        <f t="shared" ca="1" si="3"/>
        <v>1.0576075466091599</v>
      </c>
      <c r="I49" s="204" cm="1">
        <f t="array" aca="1" ref="I49" ca="1">D49*_xlfn.IFS(C49=1,$G$5,C49=2,$H$5,C49=3,$I$5,C49=4,$J$5,C49=5,$K$5)</f>
        <v>94951583.159538925</v>
      </c>
      <c r="J49" s="205">
        <f t="shared" si="4"/>
        <v>1.02318</v>
      </c>
      <c r="K49" s="206" cm="1">
        <f t="array" aca="1" ref="K49" ca="1">D49*_xlfn.IFS(C49=1,$G$6,C49=2,$H$6,C49=3,$I$6,C49=4,$J$6,C49=5,$K$6)</f>
        <v>759612665.2763114</v>
      </c>
      <c r="L49" s="207">
        <f t="shared" ca="1" si="5"/>
        <v>0.30308592650554467</v>
      </c>
      <c r="M49" s="207">
        <f t="shared" ca="1" si="6"/>
        <v>1.2174358950770019</v>
      </c>
      <c r="N49" s="208" cm="1">
        <f t="array" aca="1" ref="N49" ca="1">D49*_xlfn.IFS(C49=1,$G$7,C49=2,$H$7,C49=3,$I$7,C49=4,$J$7,C49=5,$K$7)</f>
        <v>759612665.2763114</v>
      </c>
      <c r="O49" s="209">
        <f t="shared" ca="1" si="7"/>
        <v>-1.4303542961417772</v>
      </c>
      <c r="P49" s="209">
        <f t="shared" ca="1" si="8"/>
        <v>1.0454860306879039</v>
      </c>
      <c r="Q49" s="200">
        <f t="shared" ca="1" si="9"/>
        <v>2106421393.4307537</v>
      </c>
      <c r="R49" s="200">
        <f>'14.3. More funds to invest'!G32</f>
        <v>26119997.164671049</v>
      </c>
      <c r="U49" s="211">
        <v>31</v>
      </c>
      <c r="V49" s="178">
        <v>8540919258.1054993</v>
      </c>
    </row>
    <row r="50" spans="1:22" x14ac:dyDescent="0.25">
      <c r="A50" s="198">
        <v>32</v>
      </c>
      <c r="B50" s="199">
        <v>2055</v>
      </c>
      <c r="C50" s="199" cm="1">
        <f t="array" ref="C50">_xlfn.IFS(AND(B50&gt;=2024,B50&lt;=2034),1,AND(B50&gt;=2035,B50&lt;=2044),2,AND(B50&gt;=2045,B50&lt;=2055),3,AND(B50&gt;=2056,B50&lt;=2062),4,B50&gt;=2063,5)</f>
        <v>3</v>
      </c>
      <c r="D50" s="200">
        <f t="shared" ca="1" si="1"/>
        <v>2132541390.5954247</v>
      </c>
      <c r="E50" s="201" cm="1">
        <f t="array" aca="1" ref="E50" ca="1">D50*_xlfn.IFS(C50=1,$G$3,C50=2,$H$3,C50=3,$I$3,C50=4,$J$3,C50=5,$K$3)</f>
        <v>213254139.05954248</v>
      </c>
      <c r="F50" s="202" cm="1">
        <f t="array" aca="1" ref="F50" ca="1">D50*_xlfn.IFS(C50=1,$G$4,C50=2,$H$4,C50=3,$I$4,C50=4,$J$4,C50=5,$K$4)</f>
        <v>106627069.52977124</v>
      </c>
      <c r="G50" s="203">
        <f t="shared" ca="1" si="2"/>
        <v>1.7997072765510822</v>
      </c>
      <c r="H50" s="203">
        <f t="shared" ca="1" si="3"/>
        <v>1.0748776569919016</v>
      </c>
      <c r="I50" s="204" cm="1">
        <f t="array" aca="1" ref="I50" ca="1">D50*_xlfn.IFS(C50=1,$G$5,C50=2,$H$5,C50=3,$I$5,C50=4,$J$5,C50=5,$K$5)</f>
        <v>106627069.52977124</v>
      </c>
      <c r="J50" s="205">
        <f t="shared" si="4"/>
        <v>1.02318</v>
      </c>
      <c r="K50" s="206" cm="1">
        <f t="array" aca="1" ref="K50" ca="1">D50*_xlfn.IFS(C50=1,$G$6,C50=2,$H$6,C50=3,$I$6,C50=4,$J$6,C50=5,$K$6)</f>
        <v>853016556.23816991</v>
      </c>
      <c r="L50" s="207">
        <f t="shared" ca="1" si="5"/>
        <v>-1.4728047484156308</v>
      </c>
      <c r="M50" s="207">
        <f t="shared" ca="1" si="6"/>
        <v>0.65219429912293658</v>
      </c>
      <c r="N50" s="208" cm="1">
        <f t="array" aca="1" ref="N50" ca="1">D50*_xlfn.IFS(C50=1,$G$7,C50=2,$H$7,C50=3,$I$7,C50=4,$J$7,C50=5,$K$7)</f>
        <v>853016556.23816991</v>
      </c>
      <c r="O50" s="209">
        <f t="shared" ca="1" si="7"/>
        <v>3.3285798731035232</v>
      </c>
      <c r="P50" s="209">
        <f t="shared" ca="1" si="8"/>
        <v>1.1362995578817661</v>
      </c>
      <c r="Q50" s="200">
        <f t="shared" ca="1" si="9"/>
        <v>1962578749.4843602</v>
      </c>
      <c r="R50" s="200">
        <f>'14.3. More funds to invest'!G33</f>
        <v>23357400.246415064</v>
      </c>
      <c r="U50" s="211">
        <v>32</v>
      </c>
      <c r="V50" s="178">
        <v>4567557698.3002357</v>
      </c>
    </row>
    <row r="51" spans="1:22" x14ac:dyDescent="0.25">
      <c r="A51" s="198">
        <v>33</v>
      </c>
      <c r="B51" s="199">
        <v>2056</v>
      </c>
      <c r="C51" s="199" cm="1">
        <f t="array" ref="C51">_xlfn.IFS(AND(B51&gt;=2024,B51&lt;=2034),1,AND(B51&gt;=2035,B51&lt;=2044),2,AND(B51&gt;=2045,B51&lt;=2055),3,AND(B51&gt;=2056,B51&lt;=2062),4,B51&gt;=2063,5)</f>
        <v>4</v>
      </c>
      <c r="D51" s="200">
        <f t="shared" ca="1" si="1"/>
        <v>1985936149.7307754</v>
      </c>
      <c r="E51" s="201" cm="1">
        <f t="array" aca="1" ref="E51" ca="1">D51*_xlfn.IFS(C51=1,$G$3,C51=2,$H$3,C51=3,$I$3,C51=4,$J$3,C51=5,$K$3)</f>
        <v>297890422.4596163</v>
      </c>
      <c r="F51" s="202" cm="1">
        <f t="array" aca="1" ref="F51" ca="1">D51*_xlfn.IFS(C51=1,$G$4,C51=2,$H$4,C51=3,$I$4,C51=4,$J$4,C51=5,$K$4)</f>
        <v>198593614.97307754</v>
      </c>
      <c r="G51" s="203">
        <f t="shared" ca="1" si="2"/>
        <v>0.14042102846230919</v>
      </c>
      <c r="H51" s="203">
        <f t="shared" ca="1" si="3"/>
        <v>1.0630047710883588</v>
      </c>
      <c r="I51" s="204" cm="1">
        <f t="array" aca="1" ref="I51" ca="1">D51*_xlfn.IFS(C51=1,$G$5,C51=2,$H$5,C51=3,$I$5,C51=4,$J$5,C51=5,$K$5)</f>
        <v>794374459.89231014</v>
      </c>
      <c r="J51" s="205">
        <f t="shared" si="4"/>
        <v>1.02318</v>
      </c>
      <c r="K51" s="206" cm="1">
        <f t="array" aca="1" ref="K51" ca="1">D51*_xlfn.IFS(C51=1,$G$6,C51=2,$H$6,C51=3,$I$6,C51=4,$J$6,C51=5,$K$6)</f>
        <v>397187229.94615501</v>
      </c>
      <c r="L51" s="207">
        <f t="shared" ca="1" si="5"/>
        <v>-3.1542420191230332E-2</v>
      </c>
      <c r="M51" s="207">
        <f t="shared" ca="1" si="6"/>
        <v>1.110928291084571</v>
      </c>
      <c r="N51" s="208" cm="1">
        <f t="array" aca="1" ref="N51" ca="1">D51*_xlfn.IFS(C51=1,$G$7,C51=2,$H$7,C51=3,$I$7,C51=4,$J$7,C51=5,$K$7)</f>
        <v>297890422.4596163</v>
      </c>
      <c r="O51" s="209">
        <f t="shared" ca="1" si="7"/>
        <v>-0.35908108868189981</v>
      </c>
      <c r="P51" s="209">
        <f t="shared" ca="1" si="8"/>
        <v>1.0659288641245221</v>
      </c>
      <c r="Q51" s="200">
        <f t="shared" ca="1" si="9"/>
        <v>2080560972.8069453</v>
      </c>
      <c r="R51" s="200">
        <f>'14.3. More funds to invest'!G34</f>
        <v>24279410.959539026</v>
      </c>
      <c r="U51" s="211">
        <v>33</v>
      </c>
      <c r="V51" s="178">
        <v>6314326487.5739079</v>
      </c>
    </row>
    <row r="52" spans="1:22" x14ac:dyDescent="0.25">
      <c r="A52" s="198">
        <v>34</v>
      </c>
      <c r="B52" s="199">
        <v>2057</v>
      </c>
      <c r="C52" s="199" cm="1">
        <f t="array" ref="C52">_xlfn.IFS(AND(B52&gt;=2024,B52&lt;=2034),1,AND(B52&gt;=2035,B52&lt;=2044),2,AND(B52&gt;=2045,B52&lt;=2055),3,AND(B52&gt;=2056,B52&lt;=2062),4,B52&gt;=2063,5)</f>
        <v>4</v>
      </c>
      <c r="D52" s="200">
        <f t="shared" ca="1" si="1"/>
        <v>2104840383.7664843</v>
      </c>
      <c r="E52" s="201" cm="1">
        <f t="array" aca="1" ref="E52" ca="1">D52*_xlfn.IFS(C52=1,$G$3,C52=2,$H$3,C52=3,$I$3,C52=4,$J$3,C52=5,$K$3)</f>
        <v>315726057.56497264</v>
      </c>
      <c r="F52" s="202" cm="1">
        <f t="array" aca="1" ref="F52" ca="1">D52*_xlfn.IFS(C52=1,$G$4,C52=2,$H$4,C52=3,$I$4,C52=4,$J$4,C52=5,$K$4)</f>
        <v>210484038.37664843</v>
      </c>
      <c r="G52" s="203">
        <f t="shared" ca="1" si="2"/>
        <v>-0.42175277992898835</v>
      </c>
      <c r="H52" s="203">
        <f t="shared" ca="1" si="3"/>
        <v>1.0589821827660137</v>
      </c>
      <c r="I52" s="204" cm="1">
        <f t="array" aca="1" ref="I52" ca="1">D52*_xlfn.IFS(C52=1,$G$5,C52=2,$H$5,C52=3,$I$5,C52=4,$J$5,C52=5,$K$5)</f>
        <v>841936153.5065937</v>
      </c>
      <c r="J52" s="205">
        <f t="shared" si="4"/>
        <v>1.02318</v>
      </c>
      <c r="K52" s="206" cm="1">
        <f t="array" aca="1" ref="K52" ca="1">D52*_xlfn.IFS(C52=1,$G$6,C52=2,$H$6,C52=3,$I$6,C52=4,$J$6,C52=5,$K$6)</f>
        <v>420968076.75329673</v>
      </c>
      <c r="L52" s="207">
        <f t="shared" ca="1" si="5"/>
        <v>-0.16209040564705568</v>
      </c>
      <c r="M52" s="207">
        <f t="shared" ca="1" si="6"/>
        <v>1.0693766614208169</v>
      </c>
      <c r="N52" s="208" cm="1">
        <f t="array" aca="1" ref="N52" ca="1">D52*_xlfn.IFS(C52=1,$G$7,C52=2,$H$7,C52=3,$I$7,C52=4,$J$7,C52=5,$K$7)</f>
        <v>315726057.56497264</v>
      </c>
      <c r="O52" s="209">
        <f t="shared" ca="1" si="7"/>
        <v>-0.10876353460922399</v>
      </c>
      <c r="P52" s="209">
        <f t="shared" ca="1" si="8"/>
        <v>1.0707056101763561</v>
      </c>
      <c r="Q52" s="200">
        <f t="shared" ca="1" si="9"/>
        <v>2188300235.1042199</v>
      </c>
      <c r="R52" s="200">
        <f>'14.3. More funds to invest'!G35</f>
        <v>28863418.762153283</v>
      </c>
      <c r="U52" s="211">
        <v>34</v>
      </c>
      <c r="V52" s="178">
        <v>6161422435.4564762</v>
      </c>
    </row>
    <row r="53" spans="1:22" x14ac:dyDescent="0.25">
      <c r="A53" s="198">
        <v>35</v>
      </c>
      <c r="B53" s="199">
        <v>2058</v>
      </c>
      <c r="C53" s="199" cm="1">
        <f t="array" ref="C53">_xlfn.IFS(AND(B53&gt;=2024,B53&lt;=2034),1,AND(B53&gt;=2035,B53&lt;=2044),2,AND(B53&gt;=2045,B53&lt;=2055),3,AND(B53&gt;=2056,B53&lt;=2062),4,B53&gt;=2063,5)</f>
        <v>4</v>
      </c>
      <c r="D53" s="200">
        <f t="shared" ca="1" si="1"/>
        <v>2217163653.8663731</v>
      </c>
      <c r="E53" s="201" cm="1">
        <f t="array" aca="1" ref="E53" ca="1">D53*_xlfn.IFS(C53=1,$G$3,C53=2,$H$3,C53=3,$I$3,C53=4,$J$3,C53=5,$K$3)</f>
        <v>332574548.07995594</v>
      </c>
      <c r="F53" s="202" cm="1">
        <f t="array" aca="1" ref="F53" ca="1">D53*_xlfn.IFS(C53=1,$G$4,C53=2,$H$4,C53=3,$I$4,C53=4,$J$4,C53=5,$K$4)</f>
        <v>221716365.38663733</v>
      </c>
      <c r="G53" s="203">
        <f t="shared" ca="1" si="2"/>
        <v>0.1155988832557574</v>
      </c>
      <c r="H53" s="203">
        <f t="shared" ca="1" si="3"/>
        <v>1.0628271582754654</v>
      </c>
      <c r="I53" s="204" cm="1">
        <f t="array" aca="1" ref="I53" ca="1">D53*_xlfn.IFS(C53=1,$G$5,C53=2,$H$5,C53=3,$I$5,C53=4,$J$5,C53=5,$K$5)</f>
        <v>886865461.54654932</v>
      </c>
      <c r="J53" s="205">
        <f t="shared" si="4"/>
        <v>1.02318</v>
      </c>
      <c r="K53" s="206" cm="1">
        <f t="array" aca="1" ref="K53" ca="1">D53*_xlfn.IFS(C53=1,$G$6,C53=2,$H$6,C53=3,$I$6,C53=4,$J$6,C53=5,$K$6)</f>
        <v>443432730.77327454</v>
      </c>
      <c r="L53" s="207">
        <f t="shared" ca="1" si="5"/>
        <v>0.47298881261234205</v>
      </c>
      <c r="M53" s="207">
        <f t="shared" ca="1" si="6"/>
        <v>1.27151364876782</v>
      </c>
      <c r="N53" s="208" cm="1">
        <f t="array" aca="1" ref="N53" ca="1">D53*_xlfn.IFS(C53=1,$G$7,C53=2,$H$7,C53=3,$I$7,C53=4,$J$7,C53=5,$K$7)</f>
        <v>332574548.07995594</v>
      </c>
      <c r="O53" s="209">
        <f t="shared" ca="1" si="7"/>
        <v>-0.65494385347878203</v>
      </c>
      <c r="P53" s="209">
        <f t="shared" ca="1" si="8"/>
        <v>1.0602829904307507</v>
      </c>
      <c r="Q53" s="200">
        <f t="shared" ca="1" si="9"/>
        <v>2392097631.4601746</v>
      </c>
      <c r="R53" s="200">
        <f>'14.3. More funds to invest'!G36</f>
        <v>25316803.064393163</v>
      </c>
      <c r="U53" s="211">
        <v>35</v>
      </c>
      <c r="V53" s="178">
        <v>9139972378.7730885</v>
      </c>
    </row>
    <row r="54" spans="1:22" x14ac:dyDescent="0.25">
      <c r="A54" s="198">
        <v>36</v>
      </c>
      <c r="B54" s="199">
        <v>2059</v>
      </c>
      <c r="C54" s="199" cm="1">
        <f t="array" ref="C54">_xlfn.IFS(AND(B54&gt;=2024,B54&lt;=2034),1,AND(B54&gt;=2035,B54&lt;=2044),2,AND(B54&gt;=2045,B54&lt;=2055),3,AND(B54&gt;=2056,B54&lt;=2062),4,B54&gt;=2063,5)</f>
        <v>4</v>
      </c>
      <c r="D54" s="200">
        <f t="shared" ca="1" si="1"/>
        <v>2417414434.5245676</v>
      </c>
      <c r="E54" s="201" cm="1">
        <f t="array" aca="1" ref="E54" ca="1">D54*_xlfn.IFS(C54=1,$G$3,C54=2,$H$3,C54=3,$I$3,C54=4,$J$3,C54=5,$K$3)</f>
        <v>362612165.17868513</v>
      </c>
      <c r="F54" s="202" cm="1">
        <f t="array" aca="1" ref="F54" ca="1">D54*_xlfn.IFS(C54=1,$G$4,C54=2,$H$4,C54=3,$I$4,C54=4,$J$4,C54=5,$K$4)</f>
        <v>241741443.45245677</v>
      </c>
      <c r="G54" s="203">
        <f t="shared" ca="1" si="2"/>
        <v>0.45370907858009524</v>
      </c>
      <c r="H54" s="203">
        <f t="shared" ca="1" si="3"/>
        <v>1.0652464778934845</v>
      </c>
      <c r="I54" s="204" cm="1">
        <f t="array" aca="1" ref="I54" ca="1">D54*_xlfn.IFS(C54=1,$G$5,C54=2,$H$5,C54=3,$I$5,C54=4,$J$5,C54=5,$K$5)</f>
        <v>966965773.80982709</v>
      </c>
      <c r="J54" s="205">
        <f t="shared" si="4"/>
        <v>1.02318</v>
      </c>
      <c r="K54" s="206" cm="1">
        <f t="array" aca="1" ref="K54" ca="1">D54*_xlfn.IFS(C54=1,$G$6,C54=2,$H$6,C54=3,$I$6,C54=4,$J$6,C54=5,$K$6)</f>
        <v>483482886.90491343</v>
      </c>
      <c r="L54" s="207">
        <f t="shared" ca="1" si="5"/>
        <v>-1.0453406572890198</v>
      </c>
      <c r="M54" s="207">
        <f t="shared" ca="1" si="6"/>
        <v>0.78825024473579597</v>
      </c>
      <c r="N54" s="208" cm="1">
        <f t="array" aca="1" ref="N54" ca="1">D54*_xlfn.IFS(C54=1,$G$7,C54=2,$H$7,C54=3,$I$7,C54=4,$J$7,C54=5,$K$7)</f>
        <v>362612165.17868513</v>
      </c>
      <c r="O54" s="209">
        <f t="shared" ca="1" si="7"/>
        <v>1.0406821762752867</v>
      </c>
      <c r="P54" s="209">
        <f t="shared" ca="1" si="8"/>
        <v>1.0926401895613518</v>
      </c>
      <c r="Q54" s="200">
        <f t="shared" ca="1" si="9"/>
        <v>2386816555.6504984</v>
      </c>
      <c r="R54" s="200">
        <f>'14.3. More funds to invest'!G37</f>
        <v>26032034.83700189</v>
      </c>
      <c r="U54" s="211">
        <v>36</v>
      </c>
      <c r="V54" s="178">
        <v>6702453343.9532938</v>
      </c>
    </row>
    <row r="55" spans="1:22" x14ac:dyDescent="0.25">
      <c r="A55" s="198">
        <v>37</v>
      </c>
      <c r="B55" s="199">
        <v>2060</v>
      </c>
      <c r="C55" s="199" cm="1">
        <f t="array" ref="C55">_xlfn.IFS(AND(B55&gt;=2024,B55&lt;=2034),1,AND(B55&gt;=2035,B55&lt;=2044),2,AND(B55&gt;=2045,B55&lt;=2055),3,AND(B55&gt;=2056,B55&lt;=2062),4,B55&gt;=2063,5)</f>
        <v>4</v>
      </c>
      <c r="D55" s="200">
        <f t="shared" ca="1" si="1"/>
        <v>2412848590.4875002</v>
      </c>
      <c r="E55" s="201" cm="1">
        <f t="array" aca="1" ref="E55" ca="1">D55*_xlfn.IFS(C55=1,$G$3,C55=2,$H$3,C55=3,$I$3,C55=4,$J$3,C55=5,$K$3)</f>
        <v>361927288.573125</v>
      </c>
      <c r="F55" s="202" cm="1">
        <f t="array" aca="1" ref="F55" ca="1">D55*_xlfn.IFS(C55=1,$G$4,C55=2,$H$4,C55=3,$I$4,C55=4,$J$4,C55=5,$K$4)</f>
        <v>241284859.04875004</v>
      </c>
      <c r="G55" s="203">
        <f t="shared" ca="1" si="2"/>
        <v>0.37133417323403406</v>
      </c>
      <c r="H55" s="203">
        <f t="shared" ca="1" si="3"/>
        <v>1.064657051051904</v>
      </c>
      <c r="I55" s="204" cm="1">
        <f t="array" aca="1" ref="I55" ca="1">D55*_xlfn.IFS(C55=1,$G$5,C55=2,$H$5,C55=3,$I$5,C55=4,$J$5,C55=5,$K$5)</f>
        <v>965139436.19500017</v>
      </c>
      <c r="J55" s="205">
        <f t="shared" si="4"/>
        <v>1.02318</v>
      </c>
      <c r="K55" s="206" cm="1">
        <f t="array" aca="1" ref="K55" ca="1">D55*_xlfn.IFS(C55=1,$G$6,C55=2,$H$6,C55=3,$I$6,C55=4,$J$6,C55=5,$K$6)</f>
        <v>482569718.09749991</v>
      </c>
      <c r="L55" s="207">
        <f t="shared" ca="1" si="5"/>
        <v>1.0884701517363284</v>
      </c>
      <c r="M55" s="207">
        <f t="shared" ca="1" si="6"/>
        <v>1.4674129005175534</v>
      </c>
      <c r="N55" s="208" cm="1">
        <f t="array" aca="1" ref="N55" ca="1">D55*_xlfn.IFS(C55=1,$G$7,C55=2,$H$7,C55=3,$I$7,C55=4,$J$7,C55=5,$K$7)</f>
        <v>361927288.573125</v>
      </c>
      <c r="O55" s="209">
        <f t="shared" ca="1" si="7"/>
        <v>1.0131448038783522</v>
      </c>
      <c r="P55" s="209">
        <f t="shared" ca="1" si="8"/>
        <v>1.0921147009061025</v>
      </c>
      <c r="Q55" s="200">
        <f t="shared" ca="1" si="9"/>
        <v>2709719425.6426277</v>
      </c>
      <c r="R55" s="200">
        <f>'14.3. More funds to invest'!G38</f>
        <v>19504236.773472235</v>
      </c>
      <c r="U55" s="211">
        <v>37</v>
      </c>
      <c r="V55" s="178">
        <v>21405495856.070805</v>
      </c>
    </row>
    <row r="56" spans="1:22" x14ac:dyDescent="0.25">
      <c r="A56" s="198">
        <v>38</v>
      </c>
      <c r="B56" s="199">
        <v>2061</v>
      </c>
      <c r="C56" s="199" cm="1">
        <f t="array" ref="C56">_xlfn.IFS(AND(B56&gt;=2024,B56&lt;=2034),1,AND(B56&gt;=2035,B56&lt;=2044),2,AND(B56&gt;=2045,B56&lt;=2055),3,AND(B56&gt;=2056,B56&lt;=2062),4,B56&gt;=2063,5)</f>
        <v>4</v>
      </c>
      <c r="D56" s="200">
        <f t="shared" ca="1" si="1"/>
        <v>2729223662.4161</v>
      </c>
      <c r="E56" s="201" cm="1">
        <f t="array" aca="1" ref="E56" ca="1">D56*_xlfn.IFS(C56=1,$G$3,C56=2,$H$3,C56=3,$I$3,C56=4,$J$3,C56=5,$K$3)</f>
        <v>409383549.36241502</v>
      </c>
      <c r="F56" s="202" cm="1">
        <f t="array" aca="1" ref="F56" ca="1">D56*_xlfn.IFS(C56=1,$G$4,C56=2,$H$4,C56=3,$I$4,C56=4,$J$4,C56=5,$K$4)</f>
        <v>272922366.24160999</v>
      </c>
      <c r="G56" s="203">
        <f t="shared" ca="1" si="2"/>
        <v>-0.19612162155787535</v>
      </c>
      <c r="H56" s="203">
        <f t="shared" ca="1" si="3"/>
        <v>1.0605966679114851</v>
      </c>
      <c r="I56" s="204" cm="1">
        <f t="array" aca="1" ref="I56" ca="1">D56*_xlfn.IFS(C56=1,$G$5,C56=2,$H$5,C56=3,$I$5,C56=4,$J$5,C56=5,$K$5)</f>
        <v>1091689464.96644</v>
      </c>
      <c r="J56" s="205">
        <f t="shared" si="4"/>
        <v>1.02318</v>
      </c>
      <c r="K56" s="206" cm="1">
        <f t="array" aca="1" ref="K56" ca="1">D56*_xlfn.IFS(C56=1,$G$6,C56=2,$H$6,C56=3,$I$6,C56=4,$J$6,C56=5,$K$6)</f>
        <v>545844732.48321986</v>
      </c>
      <c r="L56" s="207">
        <f t="shared" ca="1" si="5"/>
        <v>-0.27529644050532209</v>
      </c>
      <c r="M56" s="207">
        <f t="shared" ca="1" si="6"/>
        <v>1.0333447363037158</v>
      </c>
      <c r="N56" s="208" cm="1">
        <f t="array" aca="1" ref="N56" ca="1">D56*_xlfn.IFS(C56=1,$G$7,C56=2,$H$7,C56=3,$I$7,C56=4,$J$7,C56=5,$K$7)</f>
        <v>409383549.36241502</v>
      </c>
      <c r="O56" s="209">
        <f t="shared" ca="1" si="7"/>
        <v>-0.40970240322825863</v>
      </c>
      <c r="P56" s="209">
        <f t="shared" ca="1" si="8"/>
        <v>1.0649628704877845</v>
      </c>
      <c r="Q56" s="200">
        <f t="shared" ca="1" si="9"/>
        <v>2815862989.3712668</v>
      </c>
      <c r="R56" s="200">
        <f>'14.3. More funds to invest'!G39</f>
        <v>20161879.716824517</v>
      </c>
      <c r="U56" s="211">
        <v>38</v>
      </c>
      <c r="V56" s="178">
        <v>7953785901.6088619</v>
      </c>
    </row>
    <row r="57" spans="1:22" x14ac:dyDescent="0.25">
      <c r="A57" s="198">
        <v>39</v>
      </c>
      <c r="B57" s="199">
        <v>2062</v>
      </c>
      <c r="C57" s="199" cm="1">
        <f t="array" ref="C57">_xlfn.IFS(AND(B57&gt;=2024,B57&lt;=2034),1,AND(B57&gt;=2035,B57&lt;=2044),2,AND(B57&gt;=2045,B57&lt;=2055),3,AND(B57&gt;=2056,B57&lt;=2062),4,B57&gt;=2063,5)</f>
        <v>4</v>
      </c>
      <c r="D57" s="200">
        <f t="shared" ca="1" si="1"/>
        <v>2836024869.0880914</v>
      </c>
      <c r="E57" s="201" cm="1">
        <f t="array" aca="1" ref="E57" ca="1">D57*_xlfn.IFS(C57=1,$G$3,C57=2,$H$3,C57=3,$I$3,C57=4,$J$3,C57=5,$K$3)</f>
        <v>425403730.36321372</v>
      </c>
      <c r="F57" s="202" cm="1">
        <f t="array" aca="1" ref="F57" ca="1">D57*_xlfn.IFS(C57=1,$G$4,C57=2,$H$4,C57=3,$I$4,C57=4,$J$4,C57=5,$K$4)</f>
        <v>283602486.90880913</v>
      </c>
      <c r="G57" s="203">
        <f t="shared" ca="1" si="2"/>
        <v>1.0466767487996032</v>
      </c>
      <c r="H57" s="203">
        <f t="shared" ca="1" si="3"/>
        <v>1.06948940915451</v>
      </c>
      <c r="I57" s="204" cm="1">
        <f t="array" aca="1" ref="I57" ca="1">D57*_xlfn.IFS(C57=1,$G$5,C57=2,$H$5,C57=3,$I$5,C57=4,$J$5,C57=5,$K$5)</f>
        <v>1134409947.6352365</v>
      </c>
      <c r="J57" s="205">
        <f t="shared" si="4"/>
        <v>1.02318</v>
      </c>
      <c r="K57" s="206" cm="1">
        <f t="array" aca="1" ref="K57" ca="1">D57*_xlfn.IFS(C57=1,$G$6,C57=2,$H$6,C57=3,$I$6,C57=4,$J$6,C57=5,$K$6)</f>
        <v>567204973.81761813</v>
      </c>
      <c r="L57" s="207">
        <f t="shared" ca="1" si="5"/>
        <v>-1.6070590814991339</v>
      </c>
      <c r="M57" s="207">
        <f t="shared" ca="1" si="6"/>
        <v>0.60946298994522707</v>
      </c>
      <c r="N57" s="208" cm="1">
        <f t="array" aca="1" ref="N57" ca="1">D57*_xlfn.IFS(C57=1,$G$7,C57=2,$H$7,C57=3,$I$7,C57=4,$J$7,C57=5,$K$7)</f>
        <v>425403730.36321372</v>
      </c>
      <c r="O57" s="209">
        <f t="shared" ca="1" si="7"/>
        <v>-1.043228669787182</v>
      </c>
      <c r="P57" s="209">
        <f t="shared" ca="1" si="8"/>
        <v>1.0528734502961834</v>
      </c>
      <c r="Q57" s="200">
        <f t="shared" ca="1" si="9"/>
        <v>2683005889.3545609</v>
      </c>
      <c r="R57" s="200">
        <f>'14.3. More funds to invest'!G40</f>
        <v>20865124.223586813</v>
      </c>
      <c r="U57" s="211">
        <v>39</v>
      </c>
      <c r="V57" s="178">
        <v>8950812046.9617519</v>
      </c>
    </row>
    <row r="58" spans="1:22" x14ac:dyDescent="0.25">
      <c r="A58" s="198">
        <v>40</v>
      </c>
      <c r="B58" s="199">
        <v>2063</v>
      </c>
      <c r="C58" s="199" cm="1">
        <f t="array" ref="C58">_xlfn.IFS(AND(B58&gt;=2024,B58&lt;=2034),1,AND(B58&gt;=2035,B58&lt;=2044),2,AND(B58&gt;=2045,B58&lt;=2055),3,AND(B58&gt;=2056,B58&lt;=2062),4,B58&gt;=2063,5)</f>
        <v>5</v>
      </c>
      <c r="D58" s="200">
        <f t="shared" ca="1" si="1"/>
        <v>2703871013.5781479</v>
      </c>
      <c r="E58" s="201" cm="1">
        <f t="array" aca="1" ref="E58" ca="1">D58*_xlfn.IFS(C58=1,$G$3,C58=2,$H$3,C58=3,$I$3,C58=4,$J$3,C58=5,$K$3)</f>
        <v>1622322608.1468887</v>
      </c>
      <c r="F58" s="202" cm="1">
        <f t="array" aca="1" ref="F58" ca="1">D58*_xlfn.IFS(C58=1,$G$4,C58=2,$H$4,C58=3,$I$4,C58=4,$J$4,C58=5,$K$4)</f>
        <v>405580652.03672218</v>
      </c>
      <c r="G58" s="203">
        <f t="shared" ca="1" si="2"/>
        <v>0.26263686027943128</v>
      </c>
      <c r="H58" s="203">
        <f t="shared" ca="1" si="3"/>
        <v>1.0638792763935421</v>
      </c>
      <c r="I58" s="204" cm="1">
        <f t="array" aca="1" ref="I58" ca="1">D58*_xlfn.IFS(C58=1,$G$5,C58=2,$H$5,C58=3,$I$5,C58=4,$J$5,C58=5,$K$5)</f>
        <v>405580652.03672218</v>
      </c>
      <c r="J58" s="205">
        <f t="shared" si="4"/>
        <v>1.02318</v>
      </c>
      <c r="K58" s="206" cm="1">
        <f t="array" aca="1" ref="K58" ca="1">D58*_xlfn.IFS(C58=1,$G$6,C58=2,$H$6,C58=3,$I$6,C58=4,$J$6,C58=5,$K$6)</f>
        <v>135193550.67890739</v>
      </c>
      <c r="L58" s="207">
        <f t="shared" ca="1" si="5"/>
        <v>1.3153155431814082E-2</v>
      </c>
      <c r="M58" s="207">
        <f t="shared" ca="1" si="6"/>
        <v>1.1251542785589275</v>
      </c>
      <c r="N58" s="208" cm="1">
        <f t="array" aca="1" ref="N58" ca="1">D58*_xlfn.IFS(C58=1,$G$7,C58=2,$H$7,C58=3,$I$7,C58=4,$J$7,C58=5,$K$7)</f>
        <v>135193550.67890739</v>
      </c>
      <c r="O58" s="209">
        <f t="shared" ca="1" si="7"/>
        <v>0.56993437344954023</v>
      </c>
      <c r="P58" s="209">
        <f t="shared" ca="1" si="8"/>
        <v>1.0836570292836489</v>
      </c>
      <c r="Q58" s="200">
        <f t="shared" ca="1" si="9"/>
        <v>2767410513.79283</v>
      </c>
      <c r="R58" s="200">
        <f>'14.3. More funds to invest'!G41</f>
        <v>21342083.911461189</v>
      </c>
      <c r="U58" s="211">
        <v>40</v>
      </c>
      <c r="V58" s="178">
        <v>15566248009.284288</v>
      </c>
    </row>
    <row r="59" spans="1:22" x14ac:dyDescent="0.25">
      <c r="A59" s="198">
        <v>41</v>
      </c>
      <c r="B59" s="199">
        <v>2064</v>
      </c>
      <c r="C59" s="199" cm="1">
        <f t="array" ref="C59">_xlfn.IFS(AND(B59&gt;=2024,B59&lt;=2034),1,AND(B59&gt;=2035,B59&lt;=2044),2,AND(B59&gt;=2045,B59&lt;=2055),3,AND(B59&gt;=2056,B59&lt;=2062),4,B59&gt;=2063,5)</f>
        <v>5</v>
      </c>
      <c r="D59" s="200">
        <f t="shared" ca="1" si="1"/>
        <v>2788752597.7042913</v>
      </c>
      <c r="E59" s="201" cm="1">
        <f t="array" aca="1" ref="E59" ca="1">D59*_xlfn.IFS(C59=1,$G$3,C59=2,$H$3,C59=3,$I$3,C59=4,$J$3,C59=5,$K$3)</f>
        <v>1673251558.6225748</v>
      </c>
      <c r="F59" s="202" cm="1">
        <f t="array" aca="1" ref="F59" ca="1">D59*_xlfn.IFS(C59=1,$G$4,C59=2,$H$4,C59=3,$I$4,C59=4,$J$4,C59=5,$K$4)</f>
        <v>418312889.6556437</v>
      </c>
      <c r="G59" s="203">
        <f t="shared" ca="1" si="2"/>
        <v>-1.7244179954036518</v>
      </c>
      <c r="H59" s="203">
        <f t="shared" ca="1" si="3"/>
        <v>1.0496610692500912</v>
      </c>
      <c r="I59" s="204" cm="1">
        <f t="array" aca="1" ref="I59" ca="1">D59*_xlfn.IFS(C59=1,$G$5,C59=2,$H$5,C59=3,$I$5,C59=4,$J$5,C59=5,$K$5)</f>
        <v>418312889.6556437</v>
      </c>
      <c r="J59" s="205">
        <f t="shared" si="4"/>
        <v>1.02318</v>
      </c>
      <c r="K59" s="206" cm="1">
        <f t="array" aca="1" ref="K59" ca="1">D59*_xlfn.IFS(C59=1,$G$6,C59=2,$H$6,C59=3,$I$6,C59=4,$J$6,C59=5,$K$6)</f>
        <v>139437629.88521457</v>
      </c>
      <c r="L59" s="207">
        <f t="shared" ca="1" si="5"/>
        <v>1.7333827629307594</v>
      </c>
      <c r="M59" s="207">
        <f t="shared" ca="1" si="6"/>
        <v>1.6726797216965226</v>
      </c>
      <c r="N59" s="208" cm="1">
        <f t="array" aca="1" ref="N59" ca="1">D59*_xlfn.IFS(C59=1,$G$7,C59=2,$H$7,C59=3,$I$7,C59=4,$J$7,C59=5,$K$7)</f>
        <v>139437629.88521457</v>
      </c>
      <c r="O59" s="209">
        <f t="shared" ca="1" si="7"/>
        <v>0.29033445828245114</v>
      </c>
      <c r="P59" s="209">
        <f t="shared" ca="1" si="8"/>
        <v>1.0783214954022347</v>
      </c>
      <c r="Q59" s="200">
        <f t="shared" ca="1" si="9"/>
        <v>2923940785.6210656</v>
      </c>
      <c r="R59" s="200">
        <f>'14.3. More funds to invest'!G42</f>
        <v>22075767.26791963</v>
      </c>
      <c r="U59" s="211">
        <v>41</v>
      </c>
      <c r="V59" s="178">
        <v>11531276646.893976</v>
      </c>
    </row>
    <row r="60" spans="1:22" x14ac:dyDescent="0.25">
      <c r="A60" s="198">
        <v>42</v>
      </c>
      <c r="B60" s="199">
        <v>2065</v>
      </c>
      <c r="C60" s="199" cm="1">
        <f t="array" ref="C60">_xlfn.IFS(AND(B60&gt;=2024,B60&lt;=2034),1,AND(B60&gt;=2035,B60&lt;=2044),2,AND(B60&gt;=2045,B60&lt;=2055),3,AND(B60&gt;=2056,B60&lt;=2062),4,B60&gt;=2063,5)</f>
        <v>5</v>
      </c>
      <c r="D60" s="200">
        <f t="shared" ca="1" si="1"/>
        <v>2946016552.8889852</v>
      </c>
      <c r="E60" s="201" cm="1">
        <f t="array" aca="1" ref="E60" ca="1">D60*_xlfn.IFS(C60=1,$G$3,C60=2,$H$3,C60=3,$I$3,C60=4,$J$3,C60=5,$K$3)</f>
        <v>1767609931.733391</v>
      </c>
      <c r="F60" s="202" cm="1">
        <f t="array" aca="1" ref="F60" ca="1">D60*_xlfn.IFS(C60=1,$G$4,C60=2,$H$4,C60=3,$I$4,C60=4,$J$4,C60=5,$K$4)</f>
        <v>441902482.93334776</v>
      </c>
      <c r="G60" s="203">
        <f t="shared" ca="1" si="2"/>
        <v>-9.4683797022970403E-2</v>
      </c>
      <c r="H60" s="203">
        <f t="shared" ca="1" si="3"/>
        <v>1.0613224978991642</v>
      </c>
      <c r="I60" s="204" cm="1">
        <f t="array" aca="1" ref="I60" ca="1">D60*_xlfn.IFS(C60=1,$G$5,C60=2,$H$5,C60=3,$I$5,C60=4,$J$5,C60=5,$K$5)</f>
        <v>441902482.93334776</v>
      </c>
      <c r="J60" s="205">
        <f t="shared" si="4"/>
        <v>1.02318</v>
      </c>
      <c r="K60" s="206" cm="1">
        <f t="array" aca="1" ref="K60" ca="1">D60*_xlfn.IFS(C60=1,$G$6,C60=2,$H$6,C60=3,$I$6,C60=4,$J$6,C60=5,$K$6)</f>
        <v>147300827.64444926</v>
      </c>
      <c r="L60" s="207">
        <f t="shared" ca="1" si="5"/>
        <v>-1.1578874570867799</v>
      </c>
      <c r="M60" s="207">
        <f t="shared" ca="1" si="6"/>
        <v>0.75242814507865785</v>
      </c>
      <c r="N60" s="208" cm="1">
        <f t="array" aca="1" ref="N60" ca="1">D60*_xlfn.IFS(C60=1,$G$7,C60=2,$H$7,C60=3,$I$7,C60=4,$J$7,C60=5,$K$7)</f>
        <v>147300827.64444926</v>
      </c>
      <c r="O60" s="209">
        <f t="shared" ca="1" si="7"/>
        <v>1.8643841870704858</v>
      </c>
      <c r="P60" s="209">
        <f t="shared" ca="1" si="8"/>
        <v>1.1083586849842149</v>
      </c>
      <c r="Q60" s="200">
        <f t="shared" ca="1" si="9"/>
        <v>2962852201.3739495</v>
      </c>
      <c r="R60" s="200">
        <f>'14.3. More funds to invest'!G43</f>
        <v>22838797.958636418</v>
      </c>
      <c r="U60" s="211">
        <v>42</v>
      </c>
      <c r="V60" s="178">
        <v>4863055224.6427345</v>
      </c>
    </row>
    <row r="61" spans="1:22" x14ac:dyDescent="0.25">
      <c r="A61" s="198">
        <v>43</v>
      </c>
      <c r="B61" s="199">
        <v>2066</v>
      </c>
      <c r="C61" s="199" cm="1">
        <f t="array" ref="C61">_xlfn.IFS(AND(B61&gt;=2024,B61&lt;=2034),1,AND(B61&gt;=2035,B61&lt;=2044),2,AND(B61&gt;=2045,B61&lt;=2055),3,AND(B61&gt;=2056,B61&lt;=2062),4,B61&gt;=2063,5)</f>
        <v>5</v>
      </c>
      <c r="D61" s="200">
        <f t="shared" ca="1" si="1"/>
        <v>2985690999.3325858</v>
      </c>
      <c r="E61" s="201" cm="1">
        <f t="array" aca="1" ref="E61" ca="1">D61*_xlfn.IFS(C61=1,$G$3,C61=2,$H$3,C61=3,$I$3,C61=4,$J$3,C61=5,$K$3)</f>
        <v>1791414599.5995514</v>
      </c>
      <c r="F61" s="202" cm="1">
        <f t="array" aca="1" ref="F61" ca="1">D61*_xlfn.IFS(C61=1,$G$4,C61=2,$H$4,C61=3,$I$4,C61=4,$J$4,C61=5,$K$4)</f>
        <v>447853649.89988786</v>
      </c>
      <c r="G61" s="203">
        <f t="shared" ca="1" si="2"/>
        <v>1.5764959750188259</v>
      </c>
      <c r="H61" s="203">
        <f t="shared" ca="1" si="3"/>
        <v>1.0732804869324701</v>
      </c>
      <c r="I61" s="204" cm="1">
        <f t="array" aca="1" ref="I61" ca="1">D61*_xlfn.IFS(C61=1,$G$5,C61=2,$H$5,C61=3,$I$5,C61=4,$J$5,C61=5,$K$5)</f>
        <v>447853649.89988786</v>
      </c>
      <c r="J61" s="205">
        <f t="shared" si="4"/>
        <v>1.02318</v>
      </c>
      <c r="K61" s="206" cm="1">
        <f t="array" aca="1" ref="K61" ca="1">D61*_xlfn.IFS(C61=1,$G$6,C61=2,$H$6,C61=3,$I$6,C61=4,$J$6,C61=5,$K$6)</f>
        <v>149284549.9666293</v>
      </c>
      <c r="L61" s="207">
        <f t="shared" ca="1" si="5"/>
        <v>-2.4241491378907027</v>
      </c>
      <c r="M61" s="207">
        <f t="shared" ca="1" si="6"/>
        <v>0.3493944541760039</v>
      </c>
      <c r="N61" s="208" cm="1">
        <f t="array" aca="1" ref="N61" ca="1">D61*_xlfn.IFS(C61=1,$G$7,C61=2,$H$7,C61=3,$I$7,C61=4,$J$7,C61=5,$K$7)</f>
        <v>149284549.9666293</v>
      </c>
      <c r="O61" s="209">
        <f t="shared" ca="1" si="7"/>
        <v>1.2803769445082496</v>
      </c>
      <c r="P61" s="209">
        <f t="shared" ca="1" si="8"/>
        <v>1.097214223699883</v>
      </c>
      <c r="Q61" s="200">
        <f t="shared" ca="1" si="9"/>
        <v>2946278405.9976768</v>
      </c>
      <c r="R61" s="200">
        <f>'14.3. More funds to invest'!G44</f>
        <v>23632349.876981869</v>
      </c>
      <c r="U61" s="211">
        <v>43</v>
      </c>
      <c r="V61" s="178">
        <v>6826369092.1459875</v>
      </c>
    </row>
    <row r="62" spans="1:22" x14ac:dyDescent="0.25">
      <c r="A62" s="198">
        <v>44</v>
      </c>
      <c r="B62" s="199">
        <v>2067</v>
      </c>
      <c r="C62" s="199" cm="1">
        <f t="array" ref="C62">_xlfn.IFS(AND(B62&gt;=2024,B62&lt;=2034),1,AND(B62&gt;=2035,B62&lt;=2044),2,AND(B62&gt;=2045,B62&lt;=2055),3,AND(B62&gt;=2056,B62&lt;=2062),4,B62&gt;=2063,5)</f>
        <v>5</v>
      </c>
      <c r="D62" s="200">
        <f t="shared" ca="1" si="1"/>
        <v>2969910755.8746586</v>
      </c>
      <c r="E62" s="201" cm="1">
        <f t="array" aca="1" ref="E62" ca="1">D62*_xlfn.IFS(C62=1,$G$3,C62=2,$H$3,C62=3,$I$3,C62=4,$J$3,C62=5,$K$3)</f>
        <v>1781946453.5247951</v>
      </c>
      <c r="F62" s="202" cm="1">
        <f t="array" aca="1" ref="F62" ca="1">D62*_xlfn.IFS(C62=1,$G$4,C62=2,$H$4,C62=3,$I$4,C62=4,$J$4,C62=5,$K$4)</f>
        <v>445486613.38119876</v>
      </c>
      <c r="G62" s="203">
        <f t="shared" ca="1" si="2"/>
        <v>9.169079777588135E-2</v>
      </c>
      <c r="H62" s="203">
        <f t="shared" ca="1" si="3"/>
        <v>1.0626560859415617</v>
      </c>
      <c r="I62" s="204" cm="1">
        <f t="array" aca="1" ref="I62" ca="1">D62*_xlfn.IFS(C62=1,$G$5,C62=2,$H$5,C62=3,$I$5,C62=4,$J$5,C62=5,$K$5)</f>
        <v>445486613.38119876</v>
      </c>
      <c r="J62" s="205">
        <f t="shared" si="4"/>
        <v>1.02318</v>
      </c>
      <c r="K62" s="206" cm="1">
        <f t="array" aca="1" ref="K62" ca="1">D62*_xlfn.IFS(C62=1,$G$6,C62=2,$H$6,C62=3,$I$6,C62=4,$J$6,C62=5,$K$6)</f>
        <v>148495537.79373294</v>
      </c>
      <c r="L62" s="207">
        <f t="shared" ca="1" si="5"/>
        <v>-0.70625341940940978</v>
      </c>
      <c r="M62" s="207">
        <f t="shared" ca="1" si="6"/>
        <v>0.89617705251366431</v>
      </c>
      <c r="N62" s="208" cm="1">
        <f t="array" aca="1" ref="N62" ca="1">D62*_xlfn.IFS(C62=1,$G$7,C62=2,$H$7,C62=3,$I$7,C62=4,$J$7,C62=5,$K$7)</f>
        <v>148495537.79373294</v>
      </c>
      <c r="O62" s="209">
        <f t="shared" ca="1" si="7"/>
        <v>0.17659169132531832</v>
      </c>
      <c r="P62" s="209">
        <f t="shared" ca="1" si="8"/>
        <v>1.0761509711855055</v>
      </c>
      <c r="Q62" s="200">
        <f t="shared" ca="1" si="9"/>
        <v>3004040418.1040545</v>
      </c>
      <c r="R62" s="200">
        <f>'14.3. More funds to invest'!G45</f>
        <v>24457643.872061163</v>
      </c>
      <c r="U62" s="211">
        <v>44</v>
      </c>
      <c r="V62" s="178">
        <v>4484201909.7150335</v>
      </c>
    </row>
    <row r="63" spans="1:22" x14ac:dyDescent="0.25">
      <c r="A63" s="198">
        <v>45</v>
      </c>
      <c r="B63" s="199">
        <v>2068</v>
      </c>
      <c r="C63" s="199" cm="1">
        <f t="array" ref="C63">_xlfn.IFS(AND(B63&gt;=2024,B63&lt;=2034),1,AND(B63&gt;=2035,B63&lt;=2044),2,AND(B63&gt;=2045,B63&lt;=2055),3,AND(B63&gt;=2056,B63&lt;=2062),4,B63&gt;=2063,5)</f>
        <v>5</v>
      </c>
      <c r="D63" s="200">
        <f t="shared" ca="1" si="1"/>
        <v>3028498061.9761157</v>
      </c>
      <c r="E63" s="201" cm="1">
        <f t="array" aca="1" ref="E63" ca="1">D63*_xlfn.IFS(C63=1,$G$3,C63=2,$H$3,C63=3,$I$3,C63=4,$J$3,C63=5,$K$3)</f>
        <v>1817098837.1856694</v>
      </c>
      <c r="F63" s="202" cm="1">
        <f t="array" aca="1" ref="F63" ca="1">D63*_xlfn.IFS(C63=1,$G$4,C63=2,$H$4,C63=3,$I$4,C63=4,$J$4,C63=5,$K$4)</f>
        <v>454274709.29641736</v>
      </c>
      <c r="G63" s="203">
        <f t="shared" ca="1" si="2"/>
        <v>0.99338494619181195</v>
      </c>
      <c r="H63" s="203">
        <f t="shared" ca="1" si="3"/>
        <v>1.0691080840560316</v>
      </c>
      <c r="I63" s="204" cm="1">
        <f t="array" aca="1" ref="I63" ca="1">D63*_xlfn.IFS(C63=1,$G$5,C63=2,$H$5,C63=3,$I$5,C63=4,$J$5,C63=5,$K$5)</f>
        <v>454274709.29641736</v>
      </c>
      <c r="J63" s="205">
        <f t="shared" si="4"/>
        <v>1.02318</v>
      </c>
      <c r="K63" s="206" cm="1">
        <f t="array" aca="1" ref="K63" ca="1">D63*_xlfn.IFS(C63=1,$G$6,C63=2,$H$6,C63=3,$I$6,C63=4,$J$6,C63=5,$K$6)</f>
        <v>151424903.09880579</v>
      </c>
      <c r="L63" s="207">
        <f t="shared" ca="1" si="5"/>
        <v>-1.0286508411162611</v>
      </c>
      <c r="M63" s="207">
        <f t="shared" ca="1" si="6"/>
        <v>0.79356238385724764</v>
      </c>
      <c r="N63" s="208" cm="1">
        <f t="array" aca="1" ref="N63" ca="1">D63*_xlfn.IFS(C63=1,$G$7,C63=2,$H$7,C63=3,$I$7,C63=4,$J$7,C63=5,$K$7)</f>
        <v>151424903.09880579</v>
      </c>
      <c r="O63" s="209">
        <f t="shared" ca="1" si="7"/>
        <v>-1.1035947356940849</v>
      </c>
      <c r="P63" s="209">
        <f t="shared" ca="1" si="8"/>
        <v>1.0517215000542046</v>
      </c>
      <c r="Q63" s="200">
        <f t="shared" ca="1" si="9"/>
        <v>3046994331.6456614</v>
      </c>
      <c r="R63" s="200">
        <f>'14.3. More funds to invest'!G46</f>
        <v>25315949.626943603</v>
      </c>
      <c r="U63" s="211">
        <v>45</v>
      </c>
      <c r="V63" s="178">
        <v>7439030769.2597094</v>
      </c>
    </row>
    <row r="64" spans="1:22" x14ac:dyDescent="0.25">
      <c r="A64" s="198">
        <v>46</v>
      </c>
      <c r="B64" s="199">
        <v>2069</v>
      </c>
      <c r="C64" s="199" cm="1">
        <f t="array" ref="C64">_xlfn.IFS(AND(B64&gt;=2024,B64&lt;=2034),1,AND(B64&gt;=2035,B64&lt;=2044),2,AND(B64&gt;=2045,B64&lt;=2055),3,AND(B64&gt;=2056,B64&lt;=2062),4,B64&gt;=2063,5)</f>
        <v>5</v>
      </c>
      <c r="D64" s="200">
        <f t="shared" ca="1" si="1"/>
        <v>3072310281.2726049</v>
      </c>
      <c r="E64" s="201" cm="1">
        <f t="array" aca="1" ref="E64" ca="1">D64*_xlfn.IFS(C64=1,$G$3,C64=2,$H$3,C64=3,$I$3,C64=4,$J$3,C64=5,$K$3)</f>
        <v>1843386168.7635629</v>
      </c>
      <c r="F64" s="202" cm="1">
        <f t="array" aca="1" ref="F64" ca="1">D64*_xlfn.IFS(C64=1,$G$4,C64=2,$H$4,C64=3,$I$4,C64=4,$J$4,C64=5,$K$4)</f>
        <v>460846542.19089073</v>
      </c>
      <c r="G64" s="203">
        <f t="shared" ca="1" si="2"/>
        <v>0.94501087296462816</v>
      </c>
      <c r="H64" s="203">
        <f t="shared" ca="1" si="3"/>
        <v>1.0687619473645611</v>
      </c>
      <c r="I64" s="204" cm="1">
        <f t="array" aca="1" ref="I64" ca="1">D64*_xlfn.IFS(C64=1,$G$5,C64=2,$H$5,C64=3,$I$5,C64=4,$J$5,C64=5,$K$5)</f>
        <v>460846542.19089073</v>
      </c>
      <c r="J64" s="205">
        <f t="shared" si="4"/>
        <v>1.02318</v>
      </c>
      <c r="K64" s="206" cm="1">
        <f t="array" aca="1" ref="K64" ca="1">D64*_xlfn.IFS(C64=1,$G$6,C64=2,$H$6,C64=3,$I$6,C64=4,$J$6,C64=5,$K$6)</f>
        <v>153615514.06363025</v>
      </c>
      <c r="L64" s="207">
        <f t="shared" ca="1" si="5"/>
        <v>-0.95665401840593511</v>
      </c>
      <c r="M64" s="207">
        <f t="shared" ca="1" si="6"/>
        <v>0.81647798308140196</v>
      </c>
      <c r="N64" s="208" cm="1">
        <f t="array" aca="1" ref="N64" ca="1">D64*_xlfn.IFS(C64=1,$G$7,C64=2,$H$7,C64=3,$I$7,C64=4,$J$7,C64=5,$K$7)</f>
        <v>153615514.06363025</v>
      </c>
      <c r="O64" s="209">
        <f t="shared" ca="1" si="7"/>
        <v>0.41476625289935426</v>
      </c>
      <c r="P64" s="209">
        <f t="shared" ca="1" si="8"/>
        <v>1.0806959956080266</v>
      </c>
      <c r="Q64" s="200">
        <f t="shared" ca="1" si="9"/>
        <v>3098885737.6751184</v>
      </c>
      <c r="R64" s="200">
        <f>'14.3. More funds to invest'!G47</f>
        <v>26208587.612021357</v>
      </c>
      <c r="U64" s="211">
        <v>46</v>
      </c>
      <c r="V64" s="178">
        <v>5060199763.5864725</v>
      </c>
    </row>
    <row r="65" spans="1:22" x14ac:dyDescent="0.25">
      <c r="A65" s="198">
        <v>47</v>
      </c>
      <c r="B65" s="199">
        <v>2070</v>
      </c>
      <c r="C65" s="199" cm="1">
        <f t="array" ref="C65">_xlfn.IFS(AND(B65&gt;=2024,B65&lt;=2034),1,AND(B65&gt;=2035,B65&lt;=2044),2,AND(B65&gt;=2045,B65&lt;=2055),3,AND(B65&gt;=2056,B65&lt;=2062),4,B65&gt;=2063,5)</f>
        <v>5</v>
      </c>
      <c r="D65" s="200">
        <f t="shared" ca="1" si="1"/>
        <v>3125094325.2871399</v>
      </c>
      <c r="E65" s="201" cm="1">
        <f t="array" aca="1" ref="E65" ca="1">D65*_xlfn.IFS(C65=1,$G$3,C65=2,$H$3,C65=3,$I$3,C65=4,$J$3,C65=5,$K$3)</f>
        <v>1875056595.1722839</v>
      </c>
      <c r="F65" s="202" cm="1">
        <f t="array" aca="1" ref="F65" ca="1">D65*_xlfn.IFS(C65=1,$G$4,C65=2,$H$4,C65=3,$I$4,C65=4,$J$4,C65=5,$K$4)</f>
        <v>468764148.79307097</v>
      </c>
      <c r="G65" s="203">
        <f t="shared" ca="1" si="2"/>
        <v>0.31996190035579081</v>
      </c>
      <c r="H65" s="203">
        <f t="shared" ca="1" si="3"/>
        <v>1.0642894609900977</v>
      </c>
      <c r="I65" s="204" cm="1">
        <f t="array" aca="1" ref="I65" ca="1">D65*_xlfn.IFS(C65=1,$G$5,C65=2,$H$5,C65=3,$I$5,C65=4,$J$5,C65=5,$K$5)</f>
        <v>468764148.79307097</v>
      </c>
      <c r="J65" s="205">
        <f t="shared" si="4"/>
        <v>1.02318</v>
      </c>
      <c r="K65" s="206" cm="1">
        <f t="array" aca="1" ref="K65" ca="1">D65*_xlfn.IFS(C65=1,$G$6,C65=2,$H$6,C65=3,$I$6,C65=4,$J$6,C65=5,$K$6)</f>
        <v>156254716.264357</v>
      </c>
      <c r="L65" s="207">
        <f t="shared" ca="1" si="5"/>
        <v>-0.30021863508053998</v>
      </c>
      <c r="M65" s="207">
        <f t="shared" ca="1" si="6"/>
        <v>1.0254123442734466</v>
      </c>
      <c r="N65" s="208" cm="1">
        <f t="array" aca="1" ref="N65" ca="1">D65*_xlfn.IFS(C65=1,$G$7,C65=2,$H$7,C65=3,$I$7,C65=4,$J$7,C65=5,$K$7)</f>
        <v>156254716.264357</v>
      </c>
      <c r="O65" s="209">
        <f t="shared" ca="1" si="7"/>
        <v>1.9763484235652218E-2</v>
      </c>
      <c r="P65" s="209">
        <f t="shared" ca="1" si="8"/>
        <v>1.0731582585017829</v>
      </c>
      <c r="Q65" s="200">
        <f t="shared" ca="1" si="9"/>
        <v>3181498994.2822022</v>
      </c>
      <c r="R65" s="200">
        <f>'14.3. More funds to invest'!G48</f>
        <v>27136931.116502196</v>
      </c>
      <c r="U65" s="211">
        <v>47</v>
      </c>
      <c r="V65" s="178">
        <v>4383839704.0773764</v>
      </c>
    </row>
    <row r="66" spans="1:22" x14ac:dyDescent="0.25">
      <c r="A66" s="198">
        <v>48</v>
      </c>
      <c r="B66" s="199">
        <v>2071</v>
      </c>
      <c r="C66" s="199" cm="1">
        <f t="array" ref="C66">_xlfn.IFS(AND(B66&gt;=2024,B66&lt;=2034),1,AND(B66&gt;=2035,B66&lt;=2044),2,AND(B66&gt;=2045,B66&lt;=2055),3,AND(B66&gt;=2056,B66&lt;=2062),4,B66&gt;=2063,5)</f>
        <v>5</v>
      </c>
      <c r="D66" s="200">
        <f t="shared" ca="1" si="1"/>
        <v>3208635925.3987045</v>
      </c>
      <c r="E66" s="201" cm="1">
        <f t="array" aca="1" ref="E66" ca="1">D66*_xlfn.IFS(C66=1,$G$3,C66=2,$H$3,C66=3,$I$3,C66=4,$J$3,C66=5,$K$3)</f>
        <v>1925181555.2392228</v>
      </c>
      <c r="F66" s="202" cm="1">
        <f t="array" aca="1" ref="F66" ca="1">D66*_xlfn.IFS(C66=1,$G$4,C66=2,$H$4,C66=3,$I$4,C66=4,$J$4,C66=5,$K$4)</f>
        <v>481295388.80980569</v>
      </c>
      <c r="G66" s="203">
        <f t="shared" ca="1" si="2"/>
        <v>-0.70937477106836955</v>
      </c>
      <c r="H66" s="203">
        <f t="shared" ca="1" si="3"/>
        <v>1.056924127329177</v>
      </c>
      <c r="I66" s="204" cm="1">
        <f t="array" aca="1" ref="I66" ca="1">D66*_xlfn.IFS(C66=1,$G$5,C66=2,$H$5,C66=3,$I$5,C66=4,$J$5,C66=5,$K$5)</f>
        <v>481295388.80980569</v>
      </c>
      <c r="J66" s="205">
        <f t="shared" si="4"/>
        <v>1.02318</v>
      </c>
      <c r="K66" s="206" cm="1">
        <f t="array" aca="1" ref="K66" ca="1">D66*_xlfn.IFS(C66=1,$G$6,C66=2,$H$6,C66=3,$I$6,C66=4,$J$6,C66=5,$K$6)</f>
        <v>160431796.26993522</v>
      </c>
      <c r="L66" s="207">
        <f t="shared" ca="1" si="5"/>
        <v>0.39271597046085538</v>
      </c>
      <c r="M66" s="207">
        <f t="shared" ca="1" si="6"/>
        <v>1.2459639062919836</v>
      </c>
      <c r="N66" s="208" cm="1">
        <f t="array" aca="1" ref="N66" ca="1">D66*_xlfn.IFS(C66=1,$G$7,C66=2,$H$7,C66=3,$I$7,C66=4,$J$7,C66=5,$K$7)</f>
        <v>160431796.26993522</v>
      </c>
      <c r="O66" s="209">
        <f t="shared" ca="1" si="7"/>
        <v>-0.18376610887161607</v>
      </c>
      <c r="P66" s="209">
        <f t="shared" ca="1" si="8"/>
        <v>1.0692743551778303</v>
      </c>
      <c r="Q66" s="200">
        <f t="shared" ca="1" si="9"/>
        <v>3297763913.0474849</v>
      </c>
      <c r="R66" s="200">
        <f>'14.3. More funds to invest'!G49</f>
        <v>28102408.36116229</v>
      </c>
      <c r="U66" s="211">
        <v>48</v>
      </c>
      <c r="V66" s="178">
        <v>4620733508.182209</v>
      </c>
    </row>
    <row r="67" spans="1:22" x14ac:dyDescent="0.25">
      <c r="A67" s="198">
        <v>49</v>
      </c>
      <c r="B67" s="199">
        <v>2072</v>
      </c>
      <c r="C67" s="199" cm="1">
        <f t="array" ref="C67">_xlfn.IFS(AND(B67&gt;=2024,B67&lt;=2034),1,AND(B67&gt;=2035,B67&lt;=2044),2,AND(B67&gt;=2045,B67&lt;=2055),3,AND(B67&gt;=2056,B67&lt;=2062),4,B67&gt;=2063,5)</f>
        <v>5</v>
      </c>
      <c r="D67" s="200">
        <f t="shared" ca="1" si="1"/>
        <v>3325866321.4086471</v>
      </c>
      <c r="E67" s="201" cm="1">
        <f t="array" aca="1" ref="E67" ca="1">D67*_xlfn.IFS(C67=1,$G$3,C67=2,$H$3,C67=3,$I$3,C67=4,$J$3,C67=5,$K$3)</f>
        <v>1995519792.8451881</v>
      </c>
      <c r="F67" s="202" cm="1">
        <f t="array" aca="1" ref="F67" ca="1">D67*_xlfn.IFS(C67=1,$G$4,C67=2,$H$4,C67=3,$I$4,C67=4,$J$4,C67=5,$K$4)</f>
        <v>498879948.21129704</v>
      </c>
      <c r="G67" s="203">
        <f t="shared" ca="1" si="2"/>
        <v>0.1526935187978046</v>
      </c>
      <c r="H67" s="203">
        <f t="shared" ca="1" si="3"/>
        <v>1.0630925858808178</v>
      </c>
      <c r="I67" s="204" cm="1">
        <f t="array" aca="1" ref="I67" ca="1">D67*_xlfn.IFS(C67=1,$G$5,C67=2,$H$5,C67=3,$I$5,C67=4,$J$5,C67=5,$K$5)</f>
        <v>498879948.21129704</v>
      </c>
      <c r="J67" s="205">
        <f t="shared" si="4"/>
        <v>1.02318</v>
      </c>
      <c r="K67" s="206" cm="1">
        <f t="array" aca="1" ref="K67" ca="1">D67*_xlfn.IFS(C67=1,$G$6,C67=2,$H$6,C67=3,$I$6,C67=4,$J$6,C67=5,$K$6)</f>
        <v>166293316.07043236</v>
      </c>
      <c r="L67" s="207">
        <f t="shared" ca="1" si="5"/>
        <v>0.88456178046727851</v>
      </c>
      <c r="M67" s="207">
        <f t="shared" ca="1" si="6"/>
        <v>1.4025116682332925</v>
      </c>
      <c r="N67" s="208" cm="1">
        <f t="array" aca="1" ref="N67" ca="1">D67*_xlfn.IFS(C67=1,$G$7,C67=2,$H$7,C67=3,$I$7,C67=4,$J$7,C67=5,$K$7)</f>
        <v>166293316.07043236</v>
      </c>
      <c r="O67" s="209">
        <f t="shared" ca="1" si="7"/>
        <v>-0.52150579174995093</v>
      </c>
      <c r="P67" s="209">
        <f t="shared" ca="1" si="8"/>
        <v>1.0628293549351853</v>
      </c>
      <c r="Q67" s="200">
        <f t="shared" ca="1" si="9"/>
        <v>3446289086.4312177</v>
      </c>
      <c r="R67" s="200">
        <f>'14.3. More funds to invest'!G50</f>
        <v>29106504.695608795</v>
      </c>
      <c r="U67" s="211">
        <v>49</v>
      </c>
      <c r="V67" s="178">
        <v>7463194367.248435</v>
      </c>
    </row>
    <row r="68" spans="1:22" x14ac:dyDescent="0.25">
      <c r="A68" s="198">
        <v>50</v>
      </c>
      <c r="B68" s="199">
        <v>2073</v>
      </c>
      <c r="C68" s="199" cm="1">
        <f t="array" ref="C68">_xlfn.IFS(AND(B68&gt;=2024,B68&lt;=2034),1,AND(B68&gt;=2035,B68&lt;=2044),2,AND(B68&gt;=2045,B68&lt;=2055),3,AND(B68&gt;=2056,B68&lt;=2062),4,B68&gt;=2063,5)</f>
        <v>5</v>
      </c>
      <c r="D68" s="200">
        <f t="shared" ca="1" si="1"/>
        <v>3475395591.1268263</v>
      </c>
      <c r="E68" s="201" cm="1">
        <f t="array" aca="1" ref="E68" ca="1">D68*_xlfn.IFS(C68=1,$G$3,C68=2,$H$3,C68=3,$I$3,C68=4,$J$3,C68=5,$K$3)</f>
        <v>2085237354.6760957</v>
      </c>
      <c r="F68" s="202" cm="1">
        <f t="array" aca="1" ref="F68" ca="1">D68*_xlfn.IFS(C68=1,$G$4,C68=2,$H$4,C68=3,$I$4,C68=4,$J$4,C68=5,$K$4)</f>
        <v>521309338.66902393</v>
      </c>
      <c r="G68" s="203">
        <f t="shared" ca="1" si="2"/>
        <v>0.27782816046808395</v>
      </c>
      <c r="H68" s="203">
        <f t="shared" ca="1" si="3"/>
        <v>1.0639879764891851</v>
      </c>
      <c r="I68" s="204" cm="1">
        <f t="array" aca="1" ref="I68" ca="1">D68*_xlfn.IFS(C68=1,$G$5,C68=2,$H$5,C68=3,$I$5,C68=4,$J$5,C68=5,$K$5)</f>
        <v>521309338.66902393</v>
      </c>
      <c r="J68" s="205">
        <f t="shared" si="4"/>
        <v>1.02318</v>
      </c>
      <c r="K68" s="206" cm="1">
        <f t="array" aca="1" ref="K68" ca="1">D68*_xlfn.IFS(C68=1,$G$6,C68=2,$H$6,C68=3,$I$6,C68=4,$J$6,C68=5,$K$6)</f>
        <v>173769779.55634132</v>
      </c>
      <c r="L68" s="207">
        <f t="shared" ca="1" si="5"/>
        <v>2.019344283241622</v>
      </c>
      <c r="M68" s="207">
        <f t="shared" ca="1" si="6"/>
        <v>1.7636973436732455</v>
      </c>
      <c r="N68" s="208" cm="1">
        <f t="array" aca="1" ref="N68" ca="1">D68*_xlfn.IFS(C68=1,$G$7,C68=2,$H$7,C68=3,$I$7,C68=4,$J$7,C68=5,$K$7)</f>
        <v>173769779.55634132</v>
      </c>
      <c r="O68" s="209">
        <f t="shared" ca="1" si="7"/>
        <v>1.862244557443562</v>
      </c>
      <c r="P68" s="209">
        <f t="shared" ca="1" si="8"/>
        <v>1.1083178549776631</v>
      </c>
      <c r="Q68" s="200">
        <f t="shared" ca="1" si="9"/>
        <v>3672366960.142868</v>
      </c>
      <c r="R68" s="200">
        <f>'14.3. More funds to invest'!G51</f>
        <v>30150764.883433133</v>
      </c>
      <c r="U68" s="211">
        <v>50</v>
      </c>
      <c r="V68" s="178">
        <v>6877449131.781496</v>
      </c>
    </row>
    <row r="69" spans="1:22" x14ac:dyDescent="0.25">
      <c r="A69" s="198">
        <v>51</v>
      </c>
      <c r="B69" s="199">
        <v>2074</v>
      </c>
      <c r="C69" s="199" cm="1">
        <f t="array" ref="C69">_xlfn.IFS(AND(B69&gt;=2024,B69&lt;=2034),1,AND(B69&gt;=2035,B69&lt;=2044),2,AND(B69&gt;=2045,B69&lt;=2055),3,AND(B69&gt;=2056,B69&lt;=2062),4,B69&gt;=2063,5)</f>
        <v>5</v>
      </c>
      <c r="D69" s="200">
        <f t="shared" ca="1" si="1"/>
        <v>3702517725.0263014</v>
      </c>
      <c r="E69" s="201" cm="1">
        <f t="array" aca="1" ref="E69" ca="1">D69*_xlfn.IFS(C69=1,$G$3,C69=2,$H$3,C69=3,$I$3,C69=4,$J$3,C69=5,$K$3)</f>
        <v>2221510635.0157809</v>
      </c>
      <c r="F69" s="202" cm="1">
        <f t="array" aca="1" ref="F69" ca="1">D69*_xlfn.IFS(C69=1,$G$4,C69=2,$H$4,C69=3,$I$4,C69=4,$J$4,C69=5,$K$4)</f>
        <v>555377658.75394523</v>
      </c>
      <c r="G69" s="203">
        <f t="shared" ca="1" si="2"/>
        <v>0.37916488764996981</v>
      </c>
      <c r="H69" s="203">
        <f t="shared" ca="1" si="3"/>
        <v>1.0647130830830924</v>
      </c>
      <c r="I69" s="204" cm="1">
        <f t="array" aca="1" ref="I69" ca="1">D69*_xlfn.IFS(C69=1,$G$5,C69=2,$H$5,C69=3,$I$5,C69=4,$J$5,C69=5,$K$5)</f>
        <v>555377658.75394523</v>
      </c>
      <c r="J69" s="205">
        <f t="shared" si="4"/>
        <v>1.02318</v>
      </c>
      <c r="K69" s="206" cm="1">
        <f t="array" aca="1" ref="K69" ca="1">D69*_xlfn.IFS(C69=1,$G$6,C69=2,$H$6,C69=3,$I$6,C69=4,$J$6,C69=5,$K$6)</f>
        <v>185125886.25131509</v>
      </c>
      <c r="L69" s="207">
        <f t="shared" ca="1" si="5"/>
        <v>0.68563175287056821</v>
      </c>
      <c r="M69" s="207">
        <f t="shared" ca="1" si="6"/>
        <v>1.3391949743230991</v>
      </c>
      <c r="N69" s="208" cm="1">
        <f t="array" aca="1" ref="N69" ca="1">D69*_xlfn.IFS(C69=1,$G$7,C69=2,$H$7,C69=3,$I$7,C69=4,$J$7,C69=5,$K$7)</f>
        <v>185125886.25131509</v>
      </c>
      <c r="O69" s="209">
        <f t="shared" ca="1" si="7"/>
        <v>8.8427533314940604E-2</v>
      </c>
      <c r="P69" s="209">
        <f t="shared" ca="1" si="8"/>
        <v>1.0744685570406027</v>
      </c>
      <c r="Q69" s="200">
        <f t="shared" ca="1" si="9"/>
        <v>3827911407.583209</v>
      </c>
      <c r="R69" s="200">
        <f>'14.3. More funds to invest'!G52</f>
        <v>31236795.478770465</v>
      </c>
      <c r="U69" s="211">
        <v>51</v>
      </c>
      <c r="V69" s="178">
        <v>5765698542.6774464</v>
      </c>
    </row>
    <row r="70" spans="1:22" x14ac:dyDescent="0.25">
      <c r="A70" s="198">
        <v>52</v>
      </c>
      <c r="B70" s="199">
        <v>2075</v>
      </c>
      <c r="C70" s="199" cm="1">
        <f t="array" ref="C70">_xlfn.IFS(AND(B70&gt;=2024,B70&lt;=2034),1,AND(B70&gt;=2035,B70&lt;=2044),2,AND(B70&gt;=2045,B70&lt;=2055),3,AND(B70&gt;=2056,B70&lt;=2062),4,B70&gt;=2063,5)</f>
        <v>5</v>
      </c>
      <c r="D70" s="200">
        <f t="shared" ca="1" si="1"/>
        <v>3859148203.0619793</v>
      </c>
      <c r="E70" s="201" cm="1">
        <f t="array" aca="1" ref="E70" ca="1">D70*_xlfn.IFS(C70=1,$G$3,C70=2,$H$3,C70=3,$I$3,C70=4,$J$3,C70=5,$K$3)</f>
        <v>2315488921.8371873</v>
      </c>
      <c r="F70" s="202" cm="1">
        <f t="array" aca="1" ref="F70" ca="1">D70*_xlfn.IFS(C70=1,$G$4,C70=2,$H$4,C70=3,$I$4,C70=4,$J$4,C70=5,$K$4)</f>
        <v>578872230.45929682</v>
      </c>
      <c r="G70" s="203">
        <f t="shared" ca="1" si="2"/>
        <v>2.1228074675491482</v>
      </c>
      <c r="H70" s="203">
        <f t="shared" ca="1" si="3"/>
        <v>1.0771895737618691</v>
      </c>
      <c r="I70" s="204" cm="1">
        <f t="array" aca="1" ref="I70" ca="1">D70*_xlfn.IFS(C70=1,$G$5,C70=2,$H$5,C70=3,$I$5,C70=4,$J$5,C70=5,$K$5)</f>
        <v>578872230.45929682</v>
      </c>
      <c r="J70" s="205">
        <f t="shared" si="4"/>
        <v>1.02318</v>
      </c>
      <c r="K70" s="206" cm="1">
        <f t="array" aca="1" ref="K70" ca="1">D70*_xlfn.IFS(C70=1,$G$6,C70=2,$H$6,C70=3,$I$6,C70=4,$J$6,C70=5,$K$6)</f>
        <v>192957410.15309897</v>
      </c>
      <c r="L70" s="207">
        <f t="shared" ca="1" si="5"/>
        <v>-1.8476138193109641</v>
      </c>
      <c r="M70" s="207">
        <f t="shared" ca="1" si="6"/>
        <v>0.53289772281744852</v>
      </c>
      <c r="N70" s="208" cm="1">
        <f t="array" aca="1" ref="N70" ca="1">D70*_xlfn.IFS(C70=1,$G$7,C70=2,$H$7,C70=3,$I$7,C70=4,$J$7,C70=5,$K$7)</f>
        <v>192957410.15309897</v>
      </c>
      <c r="O70" s="209">
        <f t="shared" ca="1" si="7"/>
        <v>2.6403794448265443</v>
      </c>
      <c r="P70" s="209">
        <f t="shared" ca="1" si="8"/>
        <v>1.123166804604351</v>
      </c>
      <c r="Q70" s="200">
        <f t="shared" ca="1" si="9"/>
        <v>3850884464.0472894</v>
      </c>
      <c r="R70" s="200">
        <f>'14.3. More funds to invest'!G53</f>
        <v>32366267.29792127</v>
      </c>
      <c r="U70" s="211">
        <v>52</v>
      </c>
      <c r="V70" s="178">
        <v>4406874227.394598</v>
      </c>
    </row>
    <row r="71" spans="1:22" x14ac:dyDescent="0.25">
      <c r="A71" s="198">
        <v>53</v>
      </c>
      <c r="B71" s="199">
        <v>2076</v>
      </c>
      <c r="C71" s="199" cm="1">
        <f t="array" ref="C71">_xlfn.IFS(AND(B71&gt;=2024,B71&lt;=2034),1,AND(B71&gt;=2035,B71&lt;=2044),2,AND(B71&gt;=2045,B71&lt;=2055),3,AND(B71&gt;=2056,B71&lt;=2062),4,B71&gt;=2063,5)</f>
        <v>5</v>
      </c>
      <c r="D71" s="200">
        <f t="shared" ca="1" si="1"/>
        <v>3883250731.3452106</v>
      </c>
      <c r="E71" s="201" cm="1">
        <f t="array" aca="1" ref="E71" ca="1">D71*_xlfn.IFS(C71=1,$G$3,C71=2,$H$3,C71=3,$I$3,C71=4,$J$3,C71=5,$K$3)</f>
        <v>2329950438.807126</v>
      </c>
      <c r="F71" s="202" cm="1">
        <f t="array" aca="1" ref="F71" ca="1">D71*_xlfn.IFS(C71=1,$G$4,C71=2,$H$4,C71=3,$I$4,C71=4,$J$4,C71=5,$K$4)</f>
        <v>582487609.70178151</v>
      </c>
      <c r="G71" s="203">
        <f t="shared" ca="1" si="2"/>
        <v>-0.1147112254721523</v>
      </c>
      <c r="H71" s="203">
        <f t="shared" ca="1" si="3"/>
        <v>1.0611791932865984</v>
      </c>
      <c r="I71" s="204" cm="1">
        <f t="array" aca="1" ref="I71" ca="1">D71*_xlfn.IFS(C71=1,$G$5,C71=2,$H$5,C71=3,$I$5,C71=4,$J$5,C71=5,$K$5)</f>
        <v>582487609.70178151</v>
      </c>
      <c r="J71" s="205">
        <f t="shared" si="4"/>
        <v>1.02318</v>
      </c>
      <c r="K71" s="206" cm="1">
        <f t="array" aca="1" ref="K71" ca="1">D71*_xlfn.IFS(C71=1,$G$6,C71=2,$H$6,C71=3,$I$6,C71=4,$J$6,C71=5,$K$6)</f>
        <v>194162536.56726053</v>
      </c>
      <c r="L71" s="207">
        <f t="shared" ca="1" si="5"/>
        <v>1.5755713707239707</v>
      </c>
      <c r="M71" s="207">
        <f t="shared" ca="1" si="6"/>
        <v>1.6224505243419851</v>
      </c>
      <c r="N71" s="208" cm="1">
        <f t="array" aca="1" ref="N71" ca="1">D71*_xlfn.IFS(C71=1,$G$7,C71=2,$H$7,C71=3,$I$7,C71=4,$J$7,C71=5,$K$7)</f>
        <v>194162536.56726053</v>
      </c>
      <c r="O71" s="209">
        <f t="shared" ca="1" si="7"/>
        <v>0.62020660975428399</v>
      </c>
      <c r="P71" s="209">
        <f t="shared" ca="1" si="8"/>
        <v>1.0846163615493192</v>
      </c>
      <c r="Q71" s="200">
        <f t="shared" ca="1" si="9"/>
        <v>4069674816.2864609</v>
      </c>
      <c r="R71" s="200">
        <f>'14.3. More funds to invest'!G54</f>
        <v>33540917.989838138</v>
      </c>
      <c r="U71" s="211">
        <v>53</v>
      </c>
      <c r="V71" s="178">
        <v>4094530389.4021735</v>
      </c>
    </row>
    <row r="72" spans="1:22" x14ac:dyDescent="0.25">
      <c r="A72" s="198">
        <v>54</v>
      </c>
      <c r="B72" s="199">
        <v>2077</v>
      </c>
      <c r="C72" s="199" cm="1">
        <f t="array" ref="C72">_xlfn.IFS(AND(B72&gt;=2024,B72&lt;=2034),1,AND(B72&gt;=2035,B72&lt;=2044),2,AND(B72&gt;=2045,B72&lt;=2055),3,AND(B72&gt;=2056,B72&lt;=2062),4,B72&gt;=2063,5)</f>
        <v>5</v>
      </c>
      <c r="D72" s="200">
        <f t="shared" ca="1" si="1"/>
        <v>4103215734.276299</v>
      </c>
      <c r="E72" s="201" cm="1">
        <f t="array" aca="1" ref="E72" ca="1">D72*_xlfn.IFS(C72=1,$G$3,C72=2,$H$3,C72=3,$I$3,C72=4,$J$3,C72=5,$K$3)</f>
        <v>2461929440.5657792</v>
      </c>
      <c r="F72" s="202" cm="1">
        <f t="array" aca="1" ref="F72" ca="1">D72*_xlfn.IFS(C72=1,$G$4,C72=2,$H$4,C72=3,$I$4,C72=4,$J$4,C72=5,$K$4)</f>
        <v>615482360.1414448</v>
      </c>
      <c r="G72" s="203">
        <f t="shared" ca="1" si="2"/>
        <v>0.9611250900440288</v>
      </c>
      <c r="H72" s="203">
        <f t="shared" ca="1" si="3"/>
        <v>1.0688772513159011</v>
      </c>
      <c r="I72" s="204" cm="1">
        <f t="array" aca="1" ref="I72" ca="1">D72*_xlfn.IFS(C72=1,$G$5,C72=2,$H$5,C72=3,$I$5,C72=4,$J$5,C72=5,$K$5)</f>
        <v>615482360.1414448</v>
      </c>
      <c r="J72" s="205">
        <f t="shared" si="4"/>
        <v>1.02318</v>
      </c>
      <c r="K72" s="206" cm="1">
        <f t="array" aca="1" ref="K72" ca="1">D72*_xlfn.IFS(C72=1,$G$6,C72=2,$H$6,C72=3,$I$6,C72=4,$J$6,C72=5,$K$6)</f>
        <v>205160786.71381497</v>
      </c>
      <c r="L72" s="207">
        <f t="shared" ca="1" si="5"/>
        <v>0.95849998745501375</v>
      </c>
      <c r="M72" s="207">
        <f t="shared" ca="1" si="6"/>
        <v>1.4260451833927121</v>
      </c>
      <c r="N72" s="208" cm="1">
        <f t="array" aca="1" ref="N72" ca="1">D72*_xlfn.IFS(C72=1,$G$7,C72=2,$H$7,C72=3,$I$7,C72=4,$J$7,C72=5,$K$7)</f>
        <v>205160786.71381497</v>
      </c>
      <c r="O72" s="209">
        <f t="shared" ca="1" si="7"/>
        <v>-7.3922206152214308E-3</v>
      </c>
      <c r="P72" s="209">
        <f t="shared" ca="1" si="8"/>
        <v>1.0726400531109874</v>
      </c>
      <c r="Q72" s="200">
        <f t="shared" ca="1" si="9"/>
        <v>4262186004.028008</v>
      </c>
      <c r="R72" s="200">
        <f>'14.3. More funds to invest'!G55</f>
        <v>34762554.709431678</v>
      </c>
      <c r="U72" s="211">
        <v>54</v>
      </c>
      <c r="V72" s="178">
        <v>5695881501.0339537</v>
      </c>
    </row>
    <row r="73" spans="1:22" x14ac:dyDescent="0.25">
      <c r="A73" s="198">
        <v>55</v>
      </c>
      <c r="B73" s="199">
        <v>2078</v>
      </c>
      <c r="C73" s="199" cm="1">
        <f t="array" ref="C73">_xlfn.IFS(AND(B73&gt;=2024,B73&lt;=2034),1,AND(B73&gt;=2035,B73&lt;=2044),2,AND(B73&gt;=2045,B73&lt;=2055),3,AND(B73&gt;=2056,B73&lt;=2062),4,B73&gt;=2063,5)</f>
        <v>5</v>
      </c>
      <c r="D73" s="200">
        <f t="shared" ca="1" si="1"/>
        <v>4296948558.7374401</v>
      </c>
      <c r="E73" s="201" cm="1">
        <f t="array" aca="1" ref="E73" ca="1">D73*_xlfn.IFS(C73=1,$G$3,C73=2,$H$3,C73=3,$I$3,C73=4,$J$3,C73=5,$K$3)</f>
        <v>2578169135.2424641</v>
      </c>
      <c r="F73" s="202" cm="1">
        <f t="array" aca="1" ref="F73" ca="1">D73*_xlfn.IFS(C73=1,$G$4,C73=2,$H$4,C73=3,$I$4,C73=4,$J$4,C73=5,$K$4)</f>
        <v>644542283.81061602</v>
      </c>
      <c r="G73" s="203">
        <f t="shared" ca="1" si="2"/>
        <v>-0.31672527443477483</v>
      </c>
      <c r="H73" s="203">
        <f t="shared" ca="1" si="3"/>
        <v>1.059733698419749</v>
      </c>
      <c r="I73" s="204" cm="1">
        <f t="array" aca="1" ref="I73" ca="1">D73*_xlfn.IFS(C73=1,$G$5,C73=2,$H$5,C73=3,$I$5,C73=4,$J$5,C73=5,$K$5)</f>
        <v>644542283.81061602</v>
      </c>
      <c r="J73" s="205">
        <f t="shared" si="4"/>
        <v>1.02318</v>
      </c>
      <c r="K73" s="206" cm="1">
        <f t="array" aca="1" ref="K73" ca="1">D73*_xlfn.IFS(C73=1,$G$6,C73=2,$H$6,C73=3,$I$6,C73=4,$J$6,C73=5,$K$6)</f>
        <v>214847427.93687201</v>
      </c>
      <c r="L73" s="207">
        <f t="shared" ca="1" si="5"/>
        <v>0.83036873741688011</v>
      </c>
      <c r="M73" s="207">
        <f t="shared" ca="1" si="6"/>
        <v>1.3852627673994762</v>
      </c>
      <c r="N73" s="208" cm="1">
        <f t="array" aca="1" ref="N73" ca="1">D73*_xlfn.IFS(C73=1,$G$7,C73=2,$H$7,C73=3,$I$7,C73=4,$J$7,C73=5,$K$7)</f>
        <v>214847427.93687201</v>
      </c>
      <c r="O73" s="209">
        <f t="shared" ca="1" si="7"/>
        <v>0.64174487768139576</v>
      </c>
      <c r="P73" s="209">
        <f t="shared" ca="1" si="8"/>
        <v>1.0850273708237796</v>
      </c>
      <c r="Q73" s="200">
        <f t="shared" ca="1" si="9"/>
        <v>4451430569.8574324</v>
      </c>
      <c r="R73" s="200">
        <f>'14.3. More funds to invest'!G56</f>
        <v>36033056.897808939</v>
      </c>
      <c r="U73" s="211">
        <v>55</v>
      </c>
      <c r="V73" s="178">
        <v>5381154831.7976999</v>
      </c>
    </row>
    <row r="74" spans="1:22" x14ac:dyDescent="0.25">
      <c r="A74" s="198">
        <v>56</v>
      </c>
      <c r="B74" s="199">
        <v>2079</v>
      </c>
      <c r="C74" s="199" cm="1">
        <f t="array" ref="C74">_xlfn.IFS(AND(B74&gt;=2024,B74&lt;=2034),1,AND(B74&gt;=2035,B74&lt;=2044),2,AND(B74&gt;=2045,B74&lt;=2055),3,AND(B74&gt;=2056,B74&lt;=2062),4,B74&gt;=2063,5)</f>
        <v>5</v>
      </c>
      <c r="D74" s="200">
        <f t="shared" ca="1" si="1"/>
        <v>4487463626.7552414</v>
      </c>
      <c r="E74" s="201" cm="1">
        <f t="array" aca="1" ref="E74" ca="1">D74*_xlfn.IFS(C74=1,$G$3,C74=2,$H$3,C74=3,$I$3,C74=4,$J$3,C74=5,$K$3)</f>
        <v>2692478176.0531449</v>
      </c>
      <c r="F74" s="202" cm="1">
        <f t="array" aca="1" ref="F74" ca="1">D74*_xlfn.IFS(C74=1,$G$4,C74=2,$H$4,C74=3,$I$4,C74=4,$J$4,C74=5,$K$4)</f>
        <v>673119544.01328623</v>
      </c>
      <c r="G74" s="203">
        <f t="shared" ca="1" si="2"/>
        <v>-3.3154434104247558E-2</v>
      </c>
      <c r="H74" s="203">
        <f t="shared" ca="1" si="3"/>
        <v>1.0617627661810796</v>
      </c>
      <c r="I74" s="204" cm="1">
        <f t="array" aca="1" ref="I74" ca="1">D74*_xlfn.IFS(C74=1,$G$5,C74=2,$H$5,C74=3,$I$5,C74=4,$J$5,C74=5,$K$5)</f>
        <v>673119544.01328623</v>
      </c>
      <c r="J74" s="205">
        <f t="shared" si="4"/>
        <v>1.02318</v>
      </c>
      <c r="K74" s="206" cm="1">
        <f t="array" aca="1" ref="K74" ca="1">D74*_xlfn.IFS(C74=1,$G$6,C74=2,$H$6,C74=3,$I$6,C74=4,$J$6,C74=5,$K$6)</f>
        <v>224373181.33776209</v>
      </c>
      <c r="L74" s="207">
        <f t="shared" ca="1" si="5"/>
        <v>-4.4840957573434294E-2</v>
      </c>
      <c r="M74" s="207">
        <f t="shared" ca="1" si="6"/>
        <v>1.1066955493961754</v>
      </c>
      <c r="N74" s="208" cm="1">
        <f t="array" aca="1" ref="N74" ca="1">D74*_xlfn.IFS(C74=1,$G$7,C74=2,$H$7,C74=3,$I$7,C74=4,$J$7,C74=5,$K$7)</f>
        <v>224373181.33776209</v>
      </c>
      <c r="O74" s="209">
        <f t="shared" ca="1" si="7"/>
        <v>-1.4988579932868522</v>
      </c>
      <c r="P74" s="209">
        <f t="shared" ca="1" si="8"/>
        <v>1.0441787921041537</v>
      </c>
      <c r="Q74" s="200">
        <f t="shared" ca="1" si="9"/>
        <v>4578492418.7789459</v>
      </c>
      <c r="R74" s="200">
        <f>'14.3. More funds to invest'!G57</f>
        <v>37354379.173721284</v>
      </c>
      <c r="U74" s="211">
        <v>56</v>
      </c>
      <c r="V74" s="178">
        <v>7240673925.1435766</v>
      </c>
    </row>
    <row r="75" spans="1:22" x14ac:dyDescent="0.25">
      <c r="A75" s="198">
        <v>57</v>
      </c>
      <c r="B75" s="199">
        <v>2080</v>
      </c>
      <c r="C75" s="199" cm="1">
        <f t="array" ref="C75">_xlfn.IFS(AND(B75&gt;=2024,B75&lt;=2034),1,AND(B75&gt;=2035,B75&lt;=2044),2,AND(B75&gt;=2045,B75&lt;=2055),3,AND(B75&gt;=2056,B75&lt;=2062),4,B75&gt;=2063,5)</f>
        <v>5</v>
      </c>
      <c r="D75" s="200">
        <f t="shared" ca="1" si="1"/>
        <v>4615846797.9526672</v>
      </c>
      <c r="E75" s="201" cm="1">
        <f t="array" aca="1" ref="E75" ca="1">D75*_xlfn.IFS(C75=1,$G$3,C75=2,$H$3,C75=3,$I$3,C75=4,$J$3,C75=5,$K$3)</f>
        <v>2769508078.7716002</v>
      </c>
      <c r="F75" s="202" cm="1">
        <f t="array" aca="1" ref="F75" ca="1">D75*_xlfn.IFS(C75=1,$G$4,C75=2,$H$4,C75=3,$I$4,C75=4,$J$4,C75=5,$K$4)</f>
        <v>692377019.69290006</v>
      </c>
      <c r="G75" s="203">
        <f t="shared" ca="1" si="2"/>
        <v>-0.78020354745951015</v>
      </c>
      <c r="H75" s="203">
        <f t="shared" ca="1" si="3"/>
        <v>1.0564173178611009</v>
      </c>
      <c r="I75" s="204" cm="1">
        <f t="array" aca="1" ref="I75" ca="1">D75*_xlfn.IFS(C75=1,$G$5,C75=2,$H$5,C75=3,$I$5,C75=4,$J$5,C75=5,$K$5)</f>
        <v>692377019.69290006</v>
      </c>
      <c r="J75" s="205">
        <f t="shared" si="4"/>
        <v>1.02318</v>
      </c>
      <c r="K75" s="206" cm="1">
        <f t="array" aca="1" ref="K75" ca="1">D75*_xlfn.IFS(C75=1,$G$6,C75=2,$H$6,C75=3,$I$6,C75=4,$J$6,C75=5,$K$6)</f>
        <v>230792339.89763337</v>
      </c>
      <c r="L75" s="207">
        <f t="shared" ca="1" si="5"/>
        <v>-0.96210948522313244</v>
      </c>
      <c r="M75" s="207">
        <f t="shared" ca="1" si="6"/>
        <v>0.81474158296737809</v>
      </c>
      <c r="N75" s="208" cm="1">
        <f t="array" aca="1" ref="N75" ca="1">D75*_xlfn.IFS(C75=1,$G$7,C75=2,$H$7,C75=3,$I$7,C75=4,$J$7,C75=5,$K$7)</f>
        <v>230792339.89763337</v>
      </c>
      <c r="O75" s="209">
        <f t="shared" ca="1" si="7"/>
        <v>-1.7347574112975603</v>
      </c>
      <c r="P75" s="209">
        <f t="shared" ca="1" si="8"/>
        <v>1.0396771836660759</v>
      </c>
      <c r="Q75" s="200">
        <f t="shared" ca="1" si="9"/>
        <v>4637359118.1750355</v>
      </c>
      <c r="R75" s="200">
        <f>'14.3. More funds to invest'!G58</f>
        <v>38728554.340670139</v>
      </c>
      <c r="U75" s="211">
        <v>57</v>
      </c>
      <c r="V75" s="178">
        <v>3557219739.2854896</v>
      </c>
    </row>
    <row r="76" spans="1:22" x14ac:dyDescent="0.25">
      <c r="A76" s="198">
        <v>58</v>
      </c>
      <c r="B76" s="199">
        <v>2081</v>
      </c>
      <c r="C76" s="199" cm="1">
        <f t="array" ref="C76">_xlfn.IFS(AND(B76&gt;=2024,B76&lt;=2034),1,AND(B76&gt;=2035,B76&lt;=2044),2,AND(B76&gt;=2045,B76&lt;=2055),3,AND(B76&gt;=2056,B76&lt;=2062),4,B76&gt;=2063,5)</f>
        <v>5</v>
      </c>
      <c r="D76" s="200">
        <f t="shared" ca="1" si="1"/>
        <v>4676087672.5157061</v>
      </c>
      <c r="E76" s="201" cm="1">
        <f t="array" aca="1" ref="E76" ca="1">D76*_xlfn.IFS(C76=1,$G$3,C76=2,$H$3,C76=3,$I$3,C76=4,$J$3,C76=5,$K$3)</f>
        <v>2805652603.5094237</v>
      </c>
      <c r="F76" s="202" cm="1">
        <f t="array" aca="1" ref="F76" ca="1">D76*_xlfn.IFS(C76=1,$G$4,C76=2,$H$4,C76=3,$I$4,C76=4,$J$4,C76=5,$K$4)</f>
        <v>701413150.87735593</v>
      </c>
      <c r="G76" s="203">
        <f t="shared" ca="1" si="2"/>
        <v>-2.884579747395009</v>
      </c>
      <c r="H76" s="203">
        <f t="shared" ca="1" si="3"/>
        <v>1.0413596275145778</v>
      </c>
      <c r="I76" s="204" cm="1">
        <f t="array" aca="1" ref="I76" ca="1">D76*_xlfn.IFS(C76=1,$G$5,C76=2,$H$5,C76=3,$I$5,C76=4,$J$5,C76=5,$K$5)</f>
        <v>701413150.87735593</v>
      </c>
      <c r="J76" s="205">
        <f t="shared" si="4"/>
        <v>1.02318</v>
      </c>
      <c r="K76" s="206" cm="1">
        <f t="array" aca="1" ref="K76" ca="1">D76*_xlfn.IFS(C76=1,$G$6,C76=2,$H$6,C76=3,$I$6,C76=4,$J$6,C76=5,$K$6)</f>
        <v>233804383.62578532</v>
      </c>
      <c r="L76" s="207">
        <f t="shared" ca="1" si="5"/>
        <v>-0.58824092233930991</v>
      </c>
      <c r="M76" s="207">
        <f t="shared" ca="1" si="6"/>
        <v>0.93373880849810209</v>
      </c>
      <c r="N76" s="208" cm="1">
        <f t="array" aca="1" ref="N76" ca="1">D76*_xlfn.IFS(C76=1,$G$7,C76=2,$H$7,C76=3,$I$7,C76=4,$J$7,C76=5,$K$7)</f>
        <v>233804383.62578532</v>
      </c>
      <c r="O76" s="209">
        <f t="shared" ca="1" si="7"/>
        <v>1.6085201206915973</v>
      </c>
      <c r="P76" s="209">
        <f t="shared" ca="1" si="8"/>
        <v>1.1034760962524366</v>
      </c>
      <c r="Q76" s="200">
        <f t="shared" ca="1" si="9"/>
        <v>4730057623.8740492</v>
      </c>
      <c r="R76" s="200">
        <f>'14.3. More funds to invest'!G59</f>
        <v>40157696.514296949</v>
      </c>
      <c r="U76" s="211">
        <v>58</v>
      </c>
      <c r="V76" s="178">
        <v>5070907428.2651453</v>
      </c>
    </row>
    <row r="77" spans="1:22" x14ac:dyDescent="0.25">
      <c r="A77" s="198">
        <v>59</v>
      </c>
      <c r="B77" s="199">
        <v>2082</v>
      </c>
      <c r="C77" s="199" cm="1">
        <f t="array" ref="C77">_xlfn.IFS(AND(B77&gt;=2024,B77&lt;=2034),1,AND(B77&gt;=2035,B77&lt;=2044),2,AND(B77&gt;=2045,B77&lt;=2055),3,AND(B77&gt;=2056,B77&lt;=2062),4,B77&gt;=2063,5)</f>
        <v>5</v>
      </c>
      <c r="D77" s="200">
        <f t="shared" ca="1" si="1"/>
        <v>4770215320.3883457</v>
      </c>
      <c r="E77" s="201" cm="1">
        <f t="array" aca="1" ref="E77" ca="1">D77*_xlfn.IFS(C77=1,$G$3,C77=2,$H$3,C77=3,$I$3,C77=4,$J$3,C77=5,$K$3)</f>
        <v>2862129192.2330074</v>
      </c>
      <c r="F77" s="202" cm="1">
        <f t="array" aca="1" ref="F77" ca="1">D77*_xlfn.IFS(C77=1,$G$4,C77=2,$H$4,C77=3,$I$4,C77=4,$J$4,C77=5,$K$4)</f>
        <v>715532298.05825186</v>
      </c>
      <c r="G77" s="203">
        <f t="shared" ca="1" si="2"/>
        <v>-0.42775855487242992</v>
      </c>
      <c r="H77" s="203">
        <f t="shared" ca="1" si="3"/>
        <v>1.0589392089387142</v>
      </c>
      <c r="I77" s="204" cm="1">
        <f t="array" aca="1" ref="I77" ca="1">D77*_xlfn.IFS(C77=1,$G$5,C77=2,$H$5,C77=3,$I$5,C77=4,$J$5,C77=5,$K$5)</f>
        <v>715532298.05825186</v>
      </c>
      <c r="J77" s="205">
        <f t="shared" si="4"/>
        <v>1.02318</v>
      </c>
      <c r="K77" s="206" cm="1">
        <f t="array" aca="1" ref="K77" ca="1">D77*_xlfn.IFS(C77=1,$G$6,C77=2,$H$6,C77=3,$I$6,C77=4,$J$6,C77=5,$K$6)</f>
        <v>238510766.01941729</v>
      </c>
      <c r="L77" s="207">
        <f t="shared" ca="1" si="5"/>
        <v>0.15651114945433117</v>
      </c>
      <c r="M77" s="207">
        <f t="shared" ca="1" si="6"/>
        <v>1.1707831579028982</v>
      </c>
      <c r="N77" s="208" cm="1">
        <f t="array" aca="1" ref="N77" ca="1">D77*_xlfn.IFS(C77=1,$G$7,C77=2,$H$7,C77=3,$I$7,C77=4,$J$7,C77=5,$K$7)</f>
        <v>238510766.01941729</v>
      </c>
      <c r="O77" s="209">
        <f t="shared" ca="1" si="7"/>
        <v>-0.18703267300546964</v>
      </c>
      <c r="P77" s="209">
        <f t="shared" ca="1" si="8"/>
        <v>1.0692120201674582</v>
      </c>
      <c r="Q77" s="200">
        <f t="shared" ca="1" si="9"/>
        <v>4886215700.4375172</v>
      </c>
      <c r="R77" s="200">
        <f>'14.3. More funds to invest'!G60</f>
        <v>41644004.37486884</v>
      </c>
      <c r="U77" s="211">
        <v>59</v>
      </c>
      <c r="V77" s="178">
        <v>4386097444.3278246</v>
      </c>
    </row>
    <row r="78" spans="1:22" x14ac:dyDescent="0.25">
      <c r="A78" s="198">
        <v>60</v>
      </c>
      <c r="B78" s="199">
        <v>2083</v>
      </c>
      <c r="C78" s="199" cm="1">
        <f t="array" ref="C78">_xlfn.IFS(AND(B78&gt;=2024,B78&lt;=2034),1,AND(B78&gt;=2035,B78&lt;=2044),2,AND(B78&gt;=2045,B78&lt;=2055),3,AND(B78&gt;=2056,B78&lt;=2062),4,B78&gt;=2063,5)</f>
        <v>5</v>
      </c>
      <c r="D78" s="200">
        <f t="shared" ca="1" si="1"/>
        <v>4927859704.8123856</v>
      </c>
      <c r="E78" s="201" cm="1">
        <f t="array" aca="1" ref="E78" ca="1">D78*_xlfn.IFS(C78=1,$G$3,C78=2,$H$3,C78=3,$I$3,C78=4,$J$3,C78=5,$K$3)</f>
        <v>2956715822.8874311</v>
      </c>
      <c r="F78" s="202" cm="1">
        <f t="array" aca="1" ref="F78" ca="1">D78*_xlfn.IFS(C78=1,$G$4,C78=2,$H$4,C78=3,$I$4,C78=4,$J$4,C78=5,$K$4)</f>
        <v>739178955.72185779</v>
      </c>
      <c r="G78" s="203">
        <f t="shared" ca="1" si="2"/>
        <v>-5.0505134619977368E-2</v>
      </c>
      <c r="H78" s="203">
        <f t="shared" ca="1" si="3"/>
        <v>1.0616386146744863</v>
      </c>
      <c r="I78" s="204" cm="1">
        <f t="array" aca="1" ref="I78" ca="1">D78*_xlfn.IFS(C78=1,$G$5,C78=2,$H$5,C78=3,$I$5,C78=4,$J$5,C78=5,$K$5)</f>
        <v>739178955.72185779</v>
      </c>
      <c r="J78" s="205">
        <f t="shared" si="4"/>
        <v>1.02318</v>
      </c>
      <c r="K78" s="206" cm="1">
        <f t="array" aca="1" ref="K78" ca="1">D78*_xlfn.IFS(C78=1,$G$6,C78=2,$H$6,C78=3,$I$6,C78=4,$J$6,C78=5,$K$6)</f>
        <v>246392985.2406193</v>
      </c>
      <c r="L78" s="207">
        <f t="shared" ca="1" si="5"/>
        <v>-0.4438525763218078</v>
      </c>
      <c r="M78" s="207">
        <f t="shared" ca="1" si="6"/>
        <v>0.97969563472206045</v>
      </c>
      <c r="N78" s="208" cm="1">
        <f t="array" aca="1" ref="N78" ca="1">D78*_xlfn.IFS(C78=1,$G$7,C78=2,$H$7,C78=3,$I$7,C78=4,$J$7,C78=5,$K$7)</f>
        <v>246392985.2406193</v>
      </c>
      <c r="O78" s="209">
        <f t="shared" ca="1" si="7"/>
        <v>9.7228877942192607E-2</v>
      </c>
      <c r="P78" s="209">
        <f t="shared" ca="1" si="8"/>
        <v>1.074636510855727</v>
      </c>
      <c r="Q78" s="200">
        <f t="shared" ca="1" si="9"/>
        <v>5003942899.3766851</v>
      </c>
      <c r="R78" s="200">
        <f>'14.3. More funds to invest'!G61</f>
        <v>43189764.549863577</v>
      </c>
      <c r="U78" s="211">
        <v>60</v>
      </c>
      <c r="V78" s="178">
        <v>11422377876.283655</v>
      </c>
    </row>
    <row r="79" spans="1:22" x14ac:dyDescent="0.25">
      <c r="A79" s="198">
        <v>61</v>
      </c>
      <c r="B79" s="199">
        <v>2084</v>
      </c>
      <c r="C79" s="199" cm="1">
        <f t="array" ref="C79">_xlfn.IFS(AND(B79&gt;=2024,B79&lt;=2034),1,AND(B79&gt;=2035,B79&lt;=2044),2,AND(B79&gt;=2045,B79&lt;=2055),3,AND(B79&gt;=2056,B79&lt;=2062),4,B79&gt;=2063,5)</f>
        <v>5</v>
      </c>
      <c r="D79" s="200">
        <f t="shared" ca="1" si="1"/>
        <v>5047132663.926549</v>
      </c>
      <c r="E79" s="201" cm="1">
        <f t="array" aca="1" ref="E79" ca="1">D79*_xlfn.IFS(C79=1,$G$3,C79=2,$H$3,C79=3,$I$3,C79=4,$J$3,C79=5,$K$3)</f>
        <v>3028279598.3559294</v>
      </c>
      <c r="F79" s="202" cm="1">
        <f t="array" aca="1" ref="F79" ca="1">D79*_xlfn.IFS(C79=1,$G$4,C79=2,$H$4,C79=3,$I$4,C79=4,$J$4,C79=5,$K$4)</f>
        <v>757069899.58898234</v>
      </c>
      <c r="G79" s="203">
        <f t="shared" ca="1" si="2"/>
        <v>-2.1579736090257127</v>
      </c>
      <c r="H79" s="203">
        <f t="shared" ca="1" si="3"/>
        <v>1.0465587978130175</v>
      </c>
      <c r="I79" s="204" cm="1">
        <f t="array" aca="1" ref="I79" ca="1">D79*_xlfn.IFS(C79=1,$G$5,C79=2,$H$5,C79=3,$I$5,C79=4,$J$5,C79=5,$K$5)</f>
        <v>757069899.58898234</v>
      </c>
      <c r="J79" s="205">
        <f t="shared" si="4"/>
        <v>1.02318</v>
      </c>
      <c r="K79" s="206" cm="1">
        <f t="array" aca="1" ref="K79" ca="1">D79*_xlfn.IFS(C79=1,$G$6,C79=2,$H$6,C79=3,$I$6,C79=4,$J$6,C79=5,$K$6)</f>
        <v>252356633.19632745</v>
      </c>
      <c r="L79" s="207">
        <f t="shared" ca="1" si="5"/>
        <v>-1.3122680624632155</v>
      </c>
      <c r="M79" s="207">
        <f t="shared" ca="1" si="6"/>
        <v>0.70329092002328975</v>
      </c>
      <c r="N79" s="208" cm="1">
        <f t="array" aca="1" ref="N79" ca="1">D79*_xlfn.IFS(C79=1,$G$7,C79=2,$H$7,C79=3,$I$7,C79=4,$J$7,C79=5,$K$7)</f>
        <v>252356633.19632745</v>
      </c>
      <c r="O79" s="209">
        <f t="shared" ca="1" si="7"/>
        <v>-0.53440480543137914</v>
      </c>
      <c r="P79" s="209">
        <f t="shared" ca="1" si="8"/>
        <v>1.0625832063464313</v>
      </c>
      <c r="Q79" s="200">
        <f t="shared" ca="1" si="9"/>
        <v>5040846591.37082</v>
      </c>
      <c r="R79" s="200">
        <f>'14.3. More funds to invest'!G62</f>
        <v>44797355.13185814</v>
      </c>
      <c r="U79" s="211">
        <v>61</v>
      </c>
      <c r="V79" s="178">
        <v>3627852233.496839</v>
      </c>
    </row>
    <row r="80" spans="1:22" x14ac:dyDescent="0.25">
      <c r="A80" s="198">
        <v>62</v>
      </c>
      <c r="B80" s="199">
        <v>2085</v>
      </c>
      <c r="C80" s="199" cm="1">
        <f t="array" ref="C80">_xlfn.IFS(AND(B80&gt;=2024,B80&lt;=2034),1,AND(B80&gt;=2035,B80&lt;=2044),2,AND(B80&gt;=2045,B80&lt;=2055),3,AND(B80&gt;=2056,B80&lt;=2062),4,B80&gt;=2063,5)</f>
        <v>5</v>
      </c>
      <c r="D80" s="200">
        <f t="shared" ca="1" si="1"/>
        <v>5085643946.5026779</v>
      </c>
      <c r="E80" s="201" cm="1">
        <f t="array" aca="1" ref="E80" ca="1">D80*_xlfn.IFS(C80=1,$G$3,C80=2,$H$3,C80=3,$I$3,C80=4,$J$3,C80=5,$K$3)</f>
        <v>3051386367.9016066</v>
      </c>
      <c r="F80" s="202" cm="1">
        <f t="array" aca="1" ref="F80" ca="1">D80*_xlfn.IFS(C80=1,$G$4,C80=2,$H$4,C80=3,$I$4,C80=4,$J$4,C80=5,$K$4)</f>
        <v>762846591.97540164</v>
      </c>
      <c r="G80" s="203">
        <f t="shared" ca="1" si="2"/>
        <v>-0.70341239010447332</v>
      </c>
      <c r="H80" s="203">
        <f t="shared" ca="1" si="3"/>
        <v>1.0569667906544344</v>
      </c>
      <c r="I80" s="204" cm="1">
        <f t="array" aca="1" ref="I80" ca="1">D80*_xlfn.IFS(C80=1,$G$5,C80=2,$H$5,C80=3,$I$5,C80=4,$J$5,C80=5,$K$5)</f>
        <v>762846591.97540164</v>
      </c>
      <c r="J80" s="205">
        <f t="shared" si="4"/>
        <v>1.02318</v>
      </c>
      <c r="K80" s="206" cm="1">
        <f t="array" aca="1" ref="K80" ca="1">D80*_xlfn.IFS(C80=1,$G$6,C80=2,$H$6,C80=3,$I$6,C80=4,$J$6,C80=5,$K$6)</f>
        <v>254282197.32513392</v>
      </c>
      <c r="L80" s="207">
        <f t="shared" ca="1" si="5"/>
        <v>1.2763778291709496</v>
      </c>
      <c r="M80" s="207">
        <f t="shared" ca="1" si="6"/>
        <v>1.5272213318501189</v>
      </c>
      <c r="N80" s="208" cm="1">
        <f t="array" aca="1" ref="N80" ca="1">D80*_xlfn.IFS(C80=1,$G$7,C80=2,$H$7,C80=3,$I$7,C80=4,$J$7,C80=5,$K$7)</f>
        <v>254282197.32513392</v>
      </c>
      <c r="O80" s="209">
        <f t="shared" ca="1" si="7"/>
        <v>0.43262632470580065</v>
      </c>
      <c r="P80" s="209">
        <f t="shared" ca="1" si="8"/>
        <v>1.0810368148038796</v>
      </c>
      <c r="Q80" s="200">
        <f t="shared" ca="1" si="9"/>
        <v>5301452870.6832714</v>
      </c>
      <c r="R80" s="200">
        <f>'14.3. More funds to invest'!G63</f>
        <v>46469249.337132454</v>
      </c>
      <c r="U80" s="211">
        <v>62</v>
      </c>
      <c r="V80" s="178">
        <v>4885963776.2033148</v>
      </c>
    </row>
    <row r="81" spans="1:22" x14ac:dyDescent="0.25">
      <c r="A81" s="217">
        <v>63</v>
      </c>
      <c r="B81" s="218">
        <v>2086</v>
      </c>
      <c r="C81" s="218" cm="1">
        <f t="array" ref="C81">_xlfn.IFS(AND(B81&gt;=2024,B81&lt;=2034),1,AND(B81&gt;=2035,B81&lt;=2044),2,AND(B81&gt;=2045,B81&lt;=2055),3,AND(B81&gt;=2056,B81&lt;=2062),4,B81&gt;=2063,5)</f>
        <v>5</v>
      </c>
      <c r="D81" s="219">
        <f t="shared" ca="1" si="1"/>
        <v>5347922120.0204039</v>
      </c>
      <c r="E81" s="220" cm="1">
        <f t="array" aca="1" ref="E81" ca="1">D81*_xlfn.IFS(C81=1,$G$3,C81=2,$H$3,C81=3,$I$3,C81=4,$J$3,C81=5,$K$3)</f>
        <v>3208753272.0122423</v>
      </c>
      <c r="F81" s="221" cm="1">
        <f t="array" aca="1" ref="F81" ca="1">D81*_xlfn.IFS(C81=1,$G$4,C81=2,$H$4,C81=3,$I$4,C81=4,$J$4,C81=5,$K$4)</f>
        <v>802188318.00306058</v>
      </c>
      <c r="G81" s="222">
        <f t="shared" ca="1" si="2"/>
        <v>-0.33880518897168388</v>
      </c>
      <c r="H81" s="222">
        <f t="shared" ca="1" si="3"/>
        <v>1.0595757074122549</v>
      </c>
      <c r="I81" s="223" cm="1">
        <f t="array" aca="1" ref="I81" ca="1">D81*_xlfn.IFS(C81=1,$G$5,C81=2,$H$5,C81=3,$I$5,C81=4,$J$5,C81=5,$K$5)</f>
        <v>802188318.00306058</v>
      </c>
      <c r="J81" s="224">
        <f t="shared" si="4"/>
        <v>1.02318</v>
      </c>
      <c r="K81" s="225" cm="1">
        <f t="array" aca="1" ref="K81" ca="1">D81*_xlfn.IFS(C81=1,$G$6,C81=2,$H$6,C81=3,$I$6,C81=4,$J$6,C81=5,$K$6)</f>
        <v>267396106.00102019</v>
      </c>
      <c r="L81" s="226">
        <f t="shared" ca="1" si="5"/>
        <v>-8.9500820797675104E-4</v>
      </c>
      <c r="M81" s="226">
        <f t="shared" ca="1" si="6"/>
        <v>1.1206829411347745</v>
      </c>
      <c r="N81" s="227" cm="1">
        <f t="array" aca="1" ref="N81" ca="1">D81*_xlfn.IFS(C81=1,$G$7,C81=2,$H$7,C81=3,$I$7,C81=4,$J$7,C81=5,$K$7)</f>
        <v>267396106.00102019</v>
      </c>
      <c r="O81" s="228">
        <f t="shared" ca="1" si="7"/>
        <v>1.2380742556599209</v>
      </c>
      <c r="P81" s="228">
        <f t="shared" ca="1" si="8"/>
        <v>1.0964069722760394</v>
      </c>
      <c r="Q81" s="219">
        <f t="shared" ca="1" si="9"/>
        <v>5472356779.2527447</v>
      </c>
      <c r="R81" s="219">
        <f>'14.3. More funds to invest'!G64</f>
        <v>48208019.310617775</v>
      </c>
      <c r="U81" s="211">
        <v>63</v>
      </c>
      <c r="V81" s="178">
        <v>4457802812.7494049</v>
      </c>
    </row>
    <row r="82" spans="1:22" x14ac:dyDescent="0.25">
      <c r="U82" s="211">
        <v>64</v>
      </c>
      <c r="V82" s="178">
        <v>5602095470.8269415</v>
      </c>
    </row>
    <row r="83" spans="1:22" x14ac:dyDescent="0.25">
      <c r="U83" s="211">
        <v>65</v>
      </c>
      <c r="V83" s="178">
        <v>5695115922.6816883</v>
      </c>
    </row>
    <row r="84" spans="1:22" x14ac:dyDescent="0.25">
      <c r="U84" s="211">
        <v>66</v>
      </c>
      <c r="V84" s="178">
        <v>8128492753.4331303</v>
      </c>
    </row>
    <row r="85" spans="1:22" x14ac:dyDescent="0.25">
      <c r="U85" s="211">
        <v>67</v>
      </c>
      <c r="V85" s="178">
        <v>7861675043.6904879</v>
      </c>
    </row>
    <row r="86" spans="1:22" x14ac:dyDescent="0.25">
      <c r="U86" s="211">
        <v>68</v>
      </c>
      <c r="V86" s="178">
        <v>3680593957.3704343</v>
      </c>
    </row>
    <row r="87" spans="1:22" x14ac:dyDescent="0.25">
      <c r="U87" s="211">
        <v>69</v>
      </c>
      <c r="V87" s="178">
        <v>6597491834.8061361</v>
      </c>
    </row>
    <row r="88" spans="1:22" x14ac:dyDescent="0.25">
      <c r="U88" s="211">
        <v>70</v>
      </c>
      <c r="V88" s="178">
        <v>12907027773.636856</v>
      </c>
    </row>
    <row r="89" spans="1:22" x14ac:dyDescent="0.25">
      <c r="U89" s="211">
        <v>71</v>
      </c>
      <c r="V89" s="178">
        <v>6075929220.1896601</v>
      </c>
    </row>
    <row r="90" spans="1:22" x14ac:dyDescent="0.25">
      <c r="U90" s="211">
        <v>72</v>
      </c>
      <c r="V90" s="178">
        <v>5490424948.5978746</v>
      </c>
    </row>
    <row r="91" spans="1:22" x14ac:dyDescent="0.25">
      <c r="U91" s="211">
        <v>73</v>
      </c>
      <c r="V91" s="178">
        <v>4294795852.0583706</v>
      </c>
    </row>
    <row r="92" spans="1:22" x14ac:dyDescent="0.25">
      <c r="U92" s="211">
        <v>74</v>
      </c>
      <c r="V92" s="178">
        <v>5547366108.9975529</v>
      </c>
    </row>
    <row r="93" spans="1:22" x14ac:dyDescent="0.25">
      <c r="U93" s="211">
        <v>75</v>
      </c>
      <c r="V93" s="178">
        <v>4310403018.3765888</v>
      </c>
    </row>
    <row r="94" spans="1:22" x14ac:dyDescent="0.25">
      <c r="U94" s="211">
        <v>76</v>
      </c>
      <c r="V94" s="178">
        <v>3393678664.6524124</v>
      </c>
    </row>
    <row r="95" spans="1:22" x14ac:dyDescent="0.25">
      <c r="U95" s="211">
        <v>77</v>
      </c>
      <c r="V95" s="178">
        <v>10463459446.864103</v>
      </c>
    </row>
    <row r="96" spans="1:22" x14ac:dyDescent="0.25">
      <c r="U96" s="211">
        <v>78</v>
      </c>
      <c r="V96" s="178">
        <v>4463626764.4607182</v>
      </c>
    </row>
    <row r="97" spans="21:22" x14ac:dyDescent="0.25">
      <c r="U97" s="211">
        <v>79</v>
      </c>
      <c r="V97" s="178">
        <v>5367018388.5296526</v>
      </c>
    </row>
    <row r="98" spans="21:22" x14ac:dyDescent="0.25">
      <c r="U98" s="211">
        <v>80</v>
      </c>
      <c r="V98" s="178">
        <v>15828363840.50852</v>
      </c>
    </row>
    <row r="99" spans="21:22" x14ac:dyDescent="0.25">
      <c r="U99" s="211">
        <v>81</v>
      </c>
      <c r="V99" s="178">
        <v>4705891238.2935553</v>
      </c>
    </row>
    <row r="100" spans="21:22" x14ac:dyDescent="0.25">
      <c r="U100" s="211">
        <v>82</v>
      </c>
      <c r="V100" s="178">
        <v>5006611722.5154324</v>
      </c>
    </row>
    <row r="101" spans="21:22" x14ac:dyDescent="0.25">
      <c r="U101" s="211">
        <v>83</v>
      </c>
      <c r="V101" s="178">
        <v>7881461046.1610098</v>
      </c>
    </row>
    <row r="102" spans="21:22" x14ac:dyDescent="0.25">
      <c r="U102" s="211">
        <v>84</v>
      </c>
      <c r="V102" s="178">
        <v>4685108615.8516293</v>
      </c>
    </row>
    <row r="103" spans="21:22" x14ac:dyDescent="0.25">
      <c r="U103" s="211">
        <v>85</v>
      </c>
      <c r="V103" s="178">
        <v>6270536269.0589294</v>
      </c>
    </row>
    <row r="104" spans="21:22" x14ac:dyDescent="0.25">
      <c r="U104" s="211">
        <v>86</v>
      </c>
      <c r="V104" s="178">
        <v>8455710196.3304272</v>
      </c>
    </row>
    <row r="105" spans="21:22" x14ac:dyDescent="0.25">
      <c r="U105" s="211">
        <v>87</v>
      </c>
      <c r="V105" s="178">
        <v>3463215280.5145054</v>
      </c>
    </row>
    <row r="106" spans="21:22" x14ac:dyDescent="0.25">
      <c r="U106" s="211">
        <v>88</v>
      </c>
      <c r="V106" s="178">
        <v>5512428445.8946438</v>
      </c>
    </row>
    <row r="107" spans="21:22" x14ac:dyDescent="0.25">
      <c r="U107" s="211">
        <v>89</v>
      </c>
      <c r="V107" s="178">
        <v>4412269678.2626381</v>
      </c>
    </row>
    <row r="108" spans="21:22" x14ac:dyDescent="0.25">
      <c r="U108" s="211">
        <v>90</v>
      </c>
      <c r="V108" s="178">
        <v>6272993546.6961327</v>
      </c>
    </row>
    <row r="109" spans="21:22" x14ac:dyDescent="0.25">
      <c r="U109" s="211">
        <v>91</v>
      </c>
      <c r="V109" s="178">
        <v>6379583746.0975485</v>
      </c>
    </row>
    <row r="110" spans="21:22" x14ac:dyDescent="0.25">
      <c r="U110" s="211">
        <v>92</v>
      </c>
      <c r="V110" s="178">
        <v>8230716778.0221128</v>
      </c>
    </row>
    <row r="111" spans="21:22" x14ac:dyDescent="0.25">
      <c r="U111" s="211">
        <v>93</v>
      </c>
      <c r="V111" s="178">
        <v>11825935991.165022</v>
      </c>
    </row>
    <row r="112" spans="21:22" x14ac:dyDescent="0.25">
      <c r="U112" s="211">
        <v>94</v>
      </c>
      <c r="V112" s="178">
        <v>3256995080.4627733</v>
      </c>
    </row>
    <row r="113" spans="21:22" x14ac:dyDescent="0.25">
      <c r="U113" s="211">
        <v>95</v>
      </c>
      <c r="V113" s="178">
        <v>7367270094.3322172</v>
      </c>
    </row>
    <row r="114" spans="21:22" x14ac:dyDescent="0.25">
      <c r="U114" s="211">
        <v>96</v>
      </c>
      <c r="V114" s="178">
        <v>3086155291.9999452</v>
      </c>
    </row>
    <row r="115" spans="21:22" x14ac:dyDescent="0.25">
      <c r="U115" s="211">
        <v>97</v>
      </c>
      <c r="V115" s="178">
        <v>4980973987.7075291</v>
      </c>
    </row>
    <row r="116" spans="21:22" x14ac:dyDescent="0.25">
      <c r="U116" s="211">
        <v>98</v>
      </c>
      <c r="V116" s="178">
        <v>4803304893.7710772</v>
      </c>
    </row>
    <row r="117" spans="21:22" x14ac:dyDescent="0.25">
      <c r="U117" s="211">
        <v>99</v>
      </c>
      <c r="V117" s="178">
        <v>5633402784.7495909</v>
      </c>
    </row>
    <row r="118" spans="21:22" x14ac:dyDescent="0.25">
      <c r="U118" s="211">
        <v>100</v>
      </c>
      <c r="V118" s="178">
        <v>4328352494.8548527</v>
      </c>
    </row>
    <row r="119" spans="21:22" x14ac:dyDescent="0.25">
      <c r="U119" s="211">
        <v>101</v>
      </c>
      <c r="V119" s="178">
        <v>4362908313.6079769</v>
      </c>
    </row>
    <row r="120" spans="21:22" x14ac:dyDescent="0.25">
      <c r="U120" s="211">
        <v>102</v>
      </c>
      <c r="V120" s="178">
        <v>5187832033.3019266</v>
      </c>
    </row>
    <row r="121" spans="21:22" x14ac:dyDescent="0.25">
      <c r="U121" s="211">
        <v>103</v>
      </c>
      <c r="V121" s="178">
        <v>8879081587.3937073</v>
      </c>
    </row>
    <row r="122" spans="21:22" x14ac:dyDescent="0.25">
      <c r="U122" s="211">
        <v>104</v>
      </c>
      <c r="V122" s="178">
        <v>7744223728.0729694</v>
      </c>
    </row>
    <row r="123" spans="21:22" x14ac:dyDescent="0.25">
      <c r="U123" s="211">
        <v>105</v>
      </c>
      <c r="V123" s="178">
        <v>6223393801.2611008</v>
      </c>
    </row>
    <row r="124" spans="21:22" x14ac:dyDescent="0.25">
      <c r="U124" s="211">
        <v>106</v>
      </c>
      <c r="V124" s="178">
        <v>3975674968.2350073</v>
      </c>
    </row>
    <row r="125" spans="21:22" x14ac:dyDescent="0.25">
      <c r="U125" s="211">
        <v>107</v>
      </c>
      <c r="V125" s="178">
        <v>4421246801.4602604</v>
      </c>
    </row>
    <row r="126" spans="21:22" x14ac:dyDescent="0.25">
      <c r="U126" s="211">
        <v>108</v>
      </c>
      <c r="V126" s="178">
        <v>5902354024.1636915</v>
      </c>
    </row>
    <row r="127" spans="21:22" x14ac:dyDescent="0.25">
      <c r="U127" s="211">
        <v>109</v>
      </c>
      <c r="V127" s="178">
        <v>5627426260.326726</v>
      </c>
    </row>
    <row r="128" spans="21:22" x14ac:dyDescent="0.25">
      <c r="U128" s="211">
        <v>110</v>
      </c>
      <c r="V128" s="178">
        <v>3934358724.3598051</v>
      </c>
    </row>
    <row r="129" spans="21:22" x14ac:dyDescent="0.25">
      <c r="U129" s="211">
        <v>111</v>
      </c>
      <c r="V129" s="178">
        <v>7297726282.3245211</v>
      </c>
    </row>
    <row r="130" spans="21:22" x14ac:dyDescent="0.25">
      <c r="U130" s="211">
        <v>112</v>
      </c>
      <c r="V130" s="178">
        <v>5055717950.0525494</v>
      </c>
    </row>
    <row r="131" spans="21:22" x14ac:dyDescent="0.25">
      <c r="U131" s="211">
        <v>113</v>
      </c>
      <c r="V131" s="178">
        <v>5799169859.2526312</v>
      </c>
    </row>
    <row r="132" spans="21:22" x14ac:dyDescent="0.25">
      <c r="U132" s="211">
        <v>114</v>
      </c>
      <c r="V132" s="178">
        <v>6757007491.8136101</v>
      </c>
    </row>
    <row r="133" spans="21:22" x14ac:dyDescent="0.25">
      <c r="U133" s="211">
        <v>115</v>
      </c>
      <c r="V133" s="178">
        <v>11033194724.505827</v>
      </c>
    </row>
    <row r="134" spans="21:22" x14ac:dyDescent="0.25">
      <c r="U134" s="211">
        <v>116</v>
      </c>
      <c r="V134" s="178">
        <v>6543942496.5157871</v>
      </c>
    </row>
    <row r="135" spans="21:22" x14ac:dyDescent="0.25">
      <c r="U135" s="211">
        <v>117</v>
      </c>
      <c r="V135" s="178">
        <v>7889003991.2362862</v>
      </c>
    </row>
    <row r="136" spans="21:22" x14ac:dyDescent="0.25">
      <c r="U136" s="211">
        <v>118</v>
      </c>
      <c r="V136" s="178">
        <v>5811963395.4134932</v>
      </c>
    </row>
    <row r="137" spans="21:22" x14ac:dyDescent="0.25">
      <c r="U137" s="211">
        <v>119</v>
      </c>
      <c r="V137" s="178">
        <v>7081783226.7179928</v>
      </c>
    </row>
    <row r="138" spans="21:22" x14ac:dyDescent="0.25">
      <c r="U138" s="211">
        <v>120</v>
      </c>
      <c r="V138" s="178">
        <v>8909991034.1679993</v>
      </c>
    </row>
    <row r="139" spans="21:22" x14ac:dyDescent="0.25">
      <c r="U139" s="211">
        <v>121</v>
      </c>
      <c r="V139" s="178">
        <v>3953163126.6065764</v>
      </c>
    </row>
    <row r="140" spans="21:22" x14ac:dyDescent="0.25">
      <c r="U140" s="211">
        <v>122</v>
      </c>
      <c r="V140" s="178">
        <v>7009940605.4220085</v>
      </c>
    </row>
    <row r="141" spans="21:22" x14ac:dyDescent="0.25">
      <c r="U141" s="211">
        <v>123</v>
      </c>
      <c r="V141" s="178">
        <v>7055988968.3593321</v>
      </c>
    </row>
    <row r="142" spans="21:22" x14ac:dyDescent="0.25">
      <c r="U142" s="211">
        <v>124</v>
      </c>
      <c r="V142" s="178">
        <v>6590223689.9108372</v>
      </c>
    </row>
    <row r="143" spans="21:22" x14ac:dyDescent="0.25">
      <c r="U143" s="211">
        <v>125</v>
      </c>
      <c r="V143" s="178">
        <v>4727033826.6270781</v>
      </c>
    </row>
    <row r="144" spans="21:22" x14ac:dyDescent="0.25">
      <c r="U144" s="211">
        <v>126</v>
      </c>
      <c r="V144" s="178">
        <v>6368968955.7037821</v>
      </c>
    </row>
    <row r="145" spans="21:22" x14ac:dyDescent="0.25">
      <c r="U145" s="211">
        <v>127</v>
      </c>
      <c r="V145" s="178">
        <v>4617728920.6258049</v>
      </c>
    </row>
    <row r="146" spans="21:22" x14ac:dyDescent="0.25">
      <c r="U146" s="211">
        <v>128</v>
      </c>
      <c r="V146" s="178">
        <v>5132879602.3298512</v>
      </c>
    </row>
    <row r="147" spans="21:22" x14ac:dyDescent="0.25">
      <c r="U147" s="211">
        <v>129</v>
      </c>
      <c r="V147" s="178">
        <v>6374272685.3863754</v>
      </c>
    </row>
    <row r="148" spans="21:22" x14ac:dyDescent="0.25">
      <c r="U148" s="211">
        <v>130</v>
      </c>
      <c r="V148" s="178">
        <v>5397322671.4731798</v>
      </c>
    </row>
    <row r="149" spans="21:22" x14ac:dyDescent="0.25">
      <c r="U149" s="211">
        <v>131</v>
      </c>
      <c r="V149" s="178">
        <v>4350151166.5993547</v>
      </c>
    </row>
    <row r="150" spans="21:22" x14ac:dyDescent="0.25">
      <c r="U150" s="211">
        <v>132</v>
      </c>
      <c r="V150" s="178">
        <v>5890718011.1524029</v>
      </c>
    </row>
    <row r="151" spans="21:22" x14ac:dyDescent="0.25">
      <c r="U151" s="211">
        <v>133</v>
      </c>
      <c r="V151" s="178">
        <v>4535258874.2225418</v>
      </c>
    </row>
    <row r="152" spans="21:22" x14ac:dyDescent="0.25">
      <c r="U152" s="211">
        <v>134</v>
      </c>
      <c r="V152" s="178">
        <v>6739984527.3407536</v>
      </c>
    </row>
    <row r="153" spans="21:22" x14ac:dyDescent="0.25">
      <c r="U153" s="211">
        <v>135</v>
      </c>
      <c r="V153" s="178">
        <v>7269474625.6592579</v>
      </c>
    </row>
    <row r="154" spans="21:22" x14ac:dyDescent="0.25">
      <c r="U154" s="211">
        <v>136</v>
      </c>
      <c r="V154" s="178">
        <v>6938626288.292057</v>
      </c>
    </row>
    <row r="155" spans="21:22" x14ac:dyDescent="0.25">
      <c r="U155" s="211">
        <v>137</v>
      </c>
      <c r="V155" s="178">
        <v>6136012344.0381651</v>
      </c>
    </row>
    <row r="156" spans="21:22" x14ac:dyDescent="0.25">
      <c r="U156" s="211">
        <v>138</v>
      </c>
      <c r="V156" s="178">
        <v>8254472851.1714458</v>
      </c>
    </row>
    <row r="157" spans="21:22" x14ac:dyDescent="0.25">
      <c r="U157" s="211">
        <v>139</v>
      </c>
      <c r="V157" s="178">
        <v>4835637740.1827517</v>
      </c>
    </row>
    <row r="158" spans="21:22" x14ac:dyDescent="0.25">
      <c r="U158" s="211">
        <v>140</v>
      </c>
      <c r="V158" s="178">
        <v>5834511693.5618334</v>
      </c>
    </row>
    <row r="159" spans="21:22" x14ac:dyDescent="0.25">
      <c r="U159" s="211">
        <v>141</v>
      </c>
      <c r="V159" s="178">
        <v>8741058713.881876</v>
      </c>
    </row>
    <row r="160" spans="21:22" x14ac:dyDescent="0.25">
      <c r="U160" s="211">
        <v>142</v>
      </c>
      <c r="V160" s="178">
        <v>6937015321.5577974</v>
      </c>
    </row>
    <row r="161" spans="21:22" x14ac:dyDescent="0.25">
      <c r="U161" s="211">
        <v>143</v>
      </c>
      <c r="V161" s="178">
        <v>14008692860.984715</v>
      </c>
    </row>
    <row r="162" spans="21:22" x14ac:dyDescent="0.25">
      <c r="U162" s="211">
        <v>144</v>
      </c>
      <c r="V162" s="178">
        <v>4734379714.2455721</v>
      </c>
    </row>
    <row r="163" spans="21:22" x14ac:dyDescent="0.25">
      <c r="U163" s="211">
        <v>145</v>
      </c>
      <c r="V163" s="178">
        <v>6423428903.844924</v>
      </c>
    </row>
    <row r="164" spans="21:22" x14ac:dyDescent="0.25">
      <c r="U164" s="211">
        <v>146</v>
      </c>
      <c r="V164" s="178">
        <v>2594709365.9492254</v>
      </c>
    </row>
    <row r="165" spans="21:22" x14ac:dyDescent="0.25">
      <c r="U165" s="211">
        <v>147</v>
      </c>
      <c r="V165" s="178">
        <v>5204880129.9805765</v>
      </c>
    </row>
    <row r="166" spans="21:22" x14ac:dyDescent="0.25">
      <c r="U166" s="211">
        <v>148</v>
      </c>
      <c r="V166" s="178">
        <v>4417649213.918294</v>
      </c>
    </row>
    <row r="167" spans="21:22" x14ac:dyDescent="0.25">
      <c r="U167" s="211">
        <v>149</v>
      </c>
      <c r="V167" s="178">
        <v>4451452864.2243471</v>
      </c>
    </row>
    <row r="168" spans="21:22" x14ac:dyDescent="0.25">
      <c r="U168" s="211">
        <v>150</v>
      </c>
      <c r="V168" s="178">
        <v>6459122269.4944305</v>
      </c>
    </row>
    <row r="169" spans="21:22" x14ac:dyDescent="0.25">
      <c r="U169" s="211">
        <v>151</v>
      </c>
      <c r="V169" s="178">
        <v>4539990679.3089256</v>
      </c>
    </row>
    <row r="170" spans="21:22" x14ac:dyDescent="0.25">
      <c r="U170" s="211">
        <v>152</v>
      </c>
      <c r="V170" s="178">
        <v>3382801094.9506106</v>
      </c>
    </row>
    <row r="171" spans="21:22" x14ac:dyDescent="0.25">
      <c r="U171" s="211">
        <v>153</v>
      </c>
      <c r="V171" s="178">
        <v>7790850870.4362154</v>
      </c>
    </row>
    <row r="172" spans="21:22" x14ac:dyDescent="0.25">
      <c r="U172" s="211">
        <v>154</v>
      </c>
      <c r="V172" s="178">
        <v>7584140872.2031822</v>
      </c>
    </row>
    <row r="173" spans="21:22" x14ac:dyDescent="0.25">
      <c r="U173" s="211">
        <v>155</v>
      </c>
      <c r="V173" s="178">
        <v>7832435079.5987501</v>
      </c>
    </row>
    <row r="174" spans="21:22" x14ac:dyDescent="0.25">
      <c r="U174" s="211">
        <v>156</v>
      </c>
      <c r="V174" s="178">
        <v>6163434473.1383524</v>
      </c>
    </row>
    <row r="175" spans="21:22" x14ac:dyDescent="0.25">
      <c r="U175" s="211">
        <v>157</v>
      </c>
      <c r="V175" s="178">
        <v>8500537347.9175406</v>
      </c>
    </row>
    <row r="176" spans="21:22" x14ac:dyDescent="0.25">
      <c r="U176" s="211">
        <v>158</v>
      </c>
      <c r="V176" s="178">
        <v>3614843699.0029731</v>
      </c>
    </row>
    <row r="177" spans="21:22" x14ac:dyDescent="0.25">
      <c r="U177" s="211">
        <v>159</v>
      </c>
      <c r="V177" s="178">
        <v>13523731856.053249</v>
      </c>
    </row>
    <row r="178" spans="21:22" x14ac:dyDescent="0.25">
      <c r="U178" s="211">
        <v>160</v>
      </c>
      <c r="V178" s="178">
        <v>5445340513.2279301</v>
      </c>
    </row>
    <row r="179" spans="21:22" x14ac:dyDescent="0.25">
      <c r="U179" s="211">
        <v>161</v>
      </c>
      <c r="V179" s="178">
        <v>4919850810.8300848</v>
      </c>
    </row>
    <row r="180" spans="21:22" x14ac:dyDescent="0.25">
      <c r="U180" s="211">
        <v>162</v>
      </c>
      <c r="V180" s="178">
        <v>3094073778.8625574</v>
      </c>
    </row>
    <row r="181" spans="21:22" x14ac:dyDescent="0.25">
      <c r="U181" s="211">
        <v>163</v>
      </c>
      <c r="V181" s="178">
        <v>7968268457.6752739</v>
      </c>
    </row>
    <row r="182" spans="21:22" x14ac:dyDescent="0.25">
      <c r="U182" s="211">
        <v>164</v>
      </c>
      <c r="V182" s="178">
        <v>12069391055.833263</v>
      </c>
    </row>
    <row r="183" spans="21:22" x14ac:dyDescent="0.25">
      <c r="U183" s="211">
        <v>165</v>
      </c>
      <c r="V183" s="178">
        <v>5982053264.2375584</v>
      </c>
    </row>
    <row r="184" spans="21:22" x14ac:dyDescent="0.25">
      <c r="U184" s="211">
        <v>166</v>
      </c>
      <c r="V184" s="178">
        <v>5303925537.4785576</v>
      </c>
    </row>
    <row r="185" spans="21:22" x14ac:dyDescent="0.25">
      <c r="U185" s="211">
        <v>167</v>
      </c>
      <c r="V185" s="178">
        <v>4771627476.0275536</v>
      </c>
    </row>
    <row r="186" spans="21:22" x14ac:dyDescent="0.25">
      <c r="U186" s="211">
        <v>168</v>
      </c>
      <c r="V186" s="178">
        <v>3586186548.4649463</v>
      </c>
    </row>
    <row r="187" spans="21:22" x14ac:dyDescent="0.25">
      <c r="U187" s="211">
        <v>169</v>
      </c>
      <c r="V187" s="178">
        <v>4290684798.157763</v>
      </c>
    </row>
    <row r="188" spans="21:22" x14ac:dyDescent="0.25">
      <c r="U188" s="211">
        <v>170</v>
      </c>
      <c r="V188" s="178">
        <v>9661807070.3232689</v>
      </c>
    </row>
    <row r="189" spans="21:22" x14ac:dyDescent="0.25">
      <c r="U189" s="211">
        <v>171</v>
      </c>
      <c r="V189" s="178">
        <v>8782698723.6907959</v>
      </c>
    </row>
    <row r="190" spans="21:22" x14ac:dyDescent="0.25">
      <c r="U190" s="211">
        <v>172</v>
      </c>
      <c r="V190" s="178">
        <v>4007527107.5861554</v>
      </c>
    </row>
    <row r="191" spans="21:22" x14ac:dyDescent="0.25">
      <c r="U191" s="211">
        <v>173</v>
      </c>
      <c r="V191" s="178">
        <v>4290084428.7661901</v>
      </c>
    </row>
    <row r="192" spans="21:22" x14ac:dyDescent="0.25">
      <c r="U192" s="211">
        <v>174</v>
      </c>
      <c r="V192" s="178">
        <v>2926749003.540318</v>
      </c>
    </row>
    <row r="193" spans="21:22" x14ac:dyDescent="0.25">
      <c r="U193" s="211">
        <v>175</v>
      </c>
      <c r="V193" s="178">
        <v>7701893073.9317608</v>
      </c>
    </row>
    <row r="194" spans="21:22" x14ac:dyDescent="0.25">
      <c r="U194" s="211">
        <v>176</v>
      </c>
      <c r="V194" s="178">
        <v>6823429975.3701544</v>
      </c>
    </row>
    <row r="195" spans="21:22" x14ac:dyDescent="0.25">
      <c r="U195" s="211">
        <v>177</v>
      </c>
      <c r="V195" s="178">
        <v>8523043173.0186043</v>
      </c>
    </row>
    <row r="196" spans="21:22" x14ac:dyDescent="0.25">
      <c r="U196" s="211">
        <v>178</v>
      </c>
      <c r="V196" s="178">
        <v>6725507909.362483</v>
      </c>
    </row>
    <row r="197" spans="21:22" x14ac:dyDescent="0.25">
      <c r="U197" s="211">
        <v>179</v>
      </c>
      <c r="V197" s="178">
        <v>8315322624.0007019</v>
      </c>
    </row>
    <row r="198" spans="21:22" x14ac:dyDescent="0.25">
      <c r="U198" s="211">
        <v>180</v>
      </c>
      <c r="V198" s="178">
        <v>6640276855.5386181</v>
      </c>
    </row>
    <row r="199" spans="21:22" x14ac:dyDescent="0.25">
      <c r="U199" s="211">
        <v>181</v>
      </c>
      <c r="V199" s="178">
        <v>6456981956.1429501</v>
      </c>
    </row>
    <row r="200" spans="21:22" x14ac:dyDescent="0.25">
      <c r="U200" s="211">
        <v>182</v>
      </c>
      <c r="V200" s="178">
        <v>7311321008.9039221</v>
      </c>
    </row>
    <row r="201" spans="21:22" x14ac:dyDescent="0.25">
      <c r="U201" s="211">
        <v>183</v>
      </c>
      <c r="V201" s="178">
        <v>4950306433.0274096</v>
      </c>
    </row>
    <row r="202" spans="21:22" x14ac:dyDescent="0.25">
      <c r="U202" s="211">
        <v>184</v>
      </c>
      <c r="V202" s="178">
        <v>9544278082.925333</v>
      </c>
    </row>
    <row r="203" spans="21:22" x14ac:dyDescent="0.25">
      <c r="U203" s="211">
        <v>185</v>
      </c>
      <c r="V203" s="178">
        <v>7535365814.5615044</v>
      </c>
    </row>
    <row r="204" spans="21:22" x14ac:dyDescent="0.25">
      <c r="U204" s="211">
        <v>186</v>
      </c>
      <c r="V204" s="178">
        <v>8222290574.050581</v>
      </c>
    </row>
    <row r="205" spans="21:22" x14ac:dyDescent="0.25">
      <c r="U205" s="211">
        <v>187</v>
      </c>
      <c r="V205" s="178">
        <v>8619667901.3390694</v>
      </c>
    </row>
    <row r="206" spans="21:22" x14ac:dyDescent="0.25">
      <c r="U206" s="211">
        <v>188</v>
      </c>
      <c r="V206" s="178">
        <v>2869497886.4545074</v>
      </c>
    </row>
    <row r="207" spans="21:22" x14ac:dyDescent="0.25">
      <c r="U207" s="211">
        <v>189</v>
      </c>
      <c r="V207" s="178">
        <v>4594803214.557147</v>
      </c>
    </row>
    <row r="208" spans="21:22" x14ac:dyDescent="0.25">
      <c r="U208" s="211">
        <v>190</v>
      </c>
      <c r="V208" s="178">
        <v>4624995499.9219208</v>
      </c>
    </row>
    <row r="209" spans="21:22" x14ac:dyDescent="0.25">
      <c r="U209" s="211">
        <v>191</v>
      </c>
      <c r="V209" s="178">
        <v>3715702702.6670637</v>
      </c>
    </row>
    <row r="210" spans="21:22" x14ac:dyDescent="0.25">
      <c r="U210" s="211">
        <v>192</v>
      </c>
      <c r="V210" s="178">
        <v>5913956741.3744535</v>
      </c>
    </row>
    <row r="211" spans="21:22" x14ac:dyDescent="0.25">
      <c r="U211" s="211">
        <v>193</v>
      </c>
      <c r="V211" s="178">
        <v>10662787553.772608</v>
      </c>
    </row>
    <row r="212" spans="21:22" x14ac:dyDescent="0.25">
      <c r="U212" s="211">
        <v>194</v>
      </c>
      <c r="V212" s="178">
        <v>5446318312.3027945</v>
      </c>
    </row>
    <row r="213" spans="21:22" x14ac:dyDescent="0.25">
      <c r="U213" s="211">
        <v>195</v>
      </c>
      <c r="V213" s="178">
        <v>3440755925.9846301</v>
      </c>
    </row>
    <row r="214" spans="21:22" x14ac:dyDescent="0.25">
      <c r="U214" s="211">
        <v>196</v>
      </c>
      <c r="V214" s="178">
        <v>9618152808.2407188</v>
      </c>
    </row>
    <row r="215" spans="21:22" x14ac:dyDescent="0.25">
      <c r="U215" s="211">
        <v>197</v>
      </c>
      <c r="V215" s="178">
        <v>7302997802.1778793</v>
      </c>
    </row>
    <row r="216" spans="21:22" x14ac:dyDescent="0.25">
      <c r="U216" s="211">
        <v>198</v>
      </c>
      <c r="V216" s="178">
        <v>5745975299.5601311</v>
      </c>
    </row>
    <row r="217" spans="21:22" x14ac:dyDescent="0.25">
      <c r="U217" s="211">
        <v>199</v>
      </c>
      <c r="V217" s="178">
        <v>8852164986.3709812</v>
      </c>
    </row>
    <row r="218" spans="21:22" x14ac:dyDescent="0.25">
      <c r="U218" s="211">
        <v>200</v>
      </c>
      <c r="V218" s="178">
        <v>10791983216.782835</v>
      </c>
    </row>
    <row r="219" spans="21:22" x14ac:dyDescent="0.25">
      <c r="U219" s="211">
        <v>201</v>
      </c>
      <c r="V219" s="178">
        <v>7937031598.9838858</v>
      </c>
    </row>
    <row r="220" spans="21:22" x14ac:dyDescent="0.25">
      <c r="U220" s="211">
        <v>202</v>
      </c>
      <c r="V220" s="178">
        <v>4435475290.1608896</v>
      </c>
    </row>
    <row r="221" spans="21:22" x14ac:dyDescent="0.25">
      <c r="U221" s="211">
        <v>203</v>
      </c>
      <c r="V221" s="178">
        <v>13879541178.107084</v>
      </c>
    </row>
    <row r="222" spans="21:22" x14ac:dyDescent="0.25">
      <c r="U222" s="211">
        <v>204</v>
      </c>
      <c r="V222" s="178">
        <v>4485208027.5902205</v>
      </c>
    </row>
    <row r="223" spans="21:22" x14ac:dyDescent="0.25">
      <c r="U223" s="211">
        <v>205</v>
      </c>
      <c r="V223" s="178">
        <v>4255502215.3385272</v>
      </c>
    </row>
    <row r="224" spans="21:22" x14ac:dyDescent="0.25">
      <c r="U224" s="211">
        <v>206</v>
      </c>
      <c r="V224" s="178">
        <v>5171404944.6345387</v>
      </c>
    </row>
    <row r="225" spans="21:22" x14ac:dyDescent="0.25">
      <c r="U225" s="211">
        <v>207</v>
      </c>
      <c r="V225" s="178">
        <v>4532653759.726882</v>
      </c>
    </row>
    <row r="226" spans="21:22" x14ac:dyDescent="0.25">
      <c r="U226" s="211">
        <v>208</v>
      </c>
      <c r="V226" s="178">
        <v>5732039765.9677649</v>
      </c>
    </row>
    <row r="227" spans="21:22" x14ac:dyDescent="0.25">
      <c r="U227" s="211">
        <v>209</v>
      </c>
      <c r="V227" s="178">
        <v>13016364183.783255</v>
      </c>
    </row>
    <row r="228" spans="21:22" x14ac:dyDescent="0.25">
      <c r="U228" s="211">
        <v>210</v>
      </c>
      <c r="V228" s="178">
        <v>6940034995.4023428</v>
      </c>
    </row>
    <row r="229" spans="21:22" x14ac:dyDescent="0.25">
      <c r="U229" s="211">
        <v>211</v>
      </c>
      <c r="V229" s="178">
        <v>11707803209.98189</v>
      </c>
    </row>
    <row r="230" spans="21:22" x14ac:dyDescent="0.25">
      <c r="U230" s="211">
        <v>212</v>
      </c>
      <c r="V230" s="178">
        <v>5296362365.7404919</v>
      </c>
    </row>
    <row r="231" spans="21:22" x14ac:dyDescent="0.25">
      <c r="U231" s="211">
        <v>213</v>
      </c>
      <c r="V231" s="178">
        <v>7411659918.5899534</v>
      </c>
    </row>
    <row r="232" spans="21:22" x14ac:dyDescent="0.25">
      <c r="U232" s="211">
        <v>214</v>
      </c>
      <c r="V232" s="178">
        <v>8889992925.9847603</v>
      </c>
    </row>
    <row r="233" spans="21:22" x14ac:dyDescent="0.25">
      <c r="U233" s="211">
        <v>215</v>
      </c>
      <c r="V233" s="178">
        <v>7839395477.6617756</v>
      </c>
    </row>
    <row r="234" spans="21:22" x14ac:dyDescent="0.25">
      <c r="U234" s="211">
        <v>216</v>
      </c>
      <c r="V234" s="178">
        <v>4008254913.3645644</v>
      </c>
    </row>
    <row r="235" spans="21:22" x14ac:dyDescent="0.25">
      <c r="U235" s="211">
        <v>217</v>
      </c>
      <c r="V235" s="178">
        <v>5645282489.7167654</v>
      </c>
    </row>
    <row r="236" spans="21:22" x14ac:dyDescent="0.25">
      <c r="U236" s="211">
        <v>218</v>
      </c>
      <c r="V236" s="178">
        <v>6024207111.4300995</v>
      </c>
    </row>
    <row r="237" spans="21:22" x14ac:dyDescent="0.25">
      <c r="U237" s="211">
        <v>219</v>
      </c>
      <c r="V237" s="178">
        <v>10117812174.020275</v>
      </c>
    </row>
    <row r="238" spans="21:22" x14ac:dyDescent="0.25">
      <c r="U238" s="211">
        <v>220</v>
      </c>
      <c r="V238" s="178">
        <v>6747329798.3226652</v>
      </c>
    </row>
    <row r="239" spans="21:22" x14ac:dyDescent="0.25">
      <c r="U239" s="211">
        <v>221</v>
      </c>
      <c r="V239" s="178">
        <v>14259944164.050726</v>
      </c>
    </row>
    <row r="240" spans="21:22" x14ac:dyDescent="0.25">
      <c r="U240" s="211">
        <v>222</v>
      </c>
      <c r="V240" s="178">
        <v>4818675305.785347</v>
      </c>
    </row>
    <row r="241" spans="21:22" x14ac:dyDescent="0.25">
      <c r="U241" s="211">
        <v>223</v>
      </c>
      <c r="V241" s="178">
        <v>5591339210.7966709</v>
      </c>
    </row>
    <row r="242" spans="21:22" x14ac:dyDescent="0.25">
      <c r="U242" s="211">
        <v>224</v>
      </c>
      <c r="V242" s="178">
        <v>5436722452.1955118</v>
      </c>
    </row>
    <row r="243" spans="21:22" x14ac:dyDescent="0.25">
      <c r="U243" s="211">
        <v>225</v>
      </c>
      <c r="V243" s="178">
        <v>6265767103.5873594</v>
      </c>
    </row>
    <row r="244" spans="21:22" x14ac:dyDescent="0.25">
      <c r="U244" s="211">
        <v>226</v>
      </c>
      <c r="V244" s="178">
        <v>15007921050.121653</v>
      </c>
    </row>
    <row r="245" spans="21:22" x14ac:dyDescent="0.25">
      <c r="U245" s="211">
        <v>227</v>
      </c>
      <c r="V245" s="178">
        <v>4789732735.1203728</v>
      </c>
    </row>
    <row r="246" spans="21:22" x14ac:dyDescent="0.25">
      <c r="U246" s="211">
        <v>228</v>
      </c>
      <c r="V246" s="178">
        <v>13828070365.182478</v>
      </c>
    </row>
    <row r="247" spans="21:22" x14ac:dyDescent="0.25">
      <c r="U247" s="211">
        <v>229</v>
      </c>
      <c r="V247" s="178">
        <v>8816681477.2144775</v>
      </c>
    </row>
    <row r="248" spans="21:22" x14ac:dyDescent="0.25">
      <c r="U248" s="211">
        <v>230</v>
      </c>
      <c r="V248" s="178">
        <v>15534093680.297134</v>
      </c>
    </row>
    <row r="249" spans="21:22" x14ac:dyDescent="0.25">
      <c r="U249" s="211">
        <v>231</v>
      </c>
      <c r="V249" s="178">
        <v>14220991598.426712</v>
      </c>
    </row>
    <row r="250" spans="21:22" x14ac:dyDescent="0.25">
      <c r="U250" s="211">
        <v>232</v>
      </c>
      <c r="V250" s="178">
        <v>6125700346.8444386</v>
      </c>
    </row>
    <row r="251" spans="21:22" x14ac:dyDescent="0.25">
      <c r="U251" s="211">
        <v>233</v>
      </c>
      <c r="V251" s="178">
        <v>7030425732.2219515</v>
      </c>
    </row>
    <row r="252" spans="21:22" x14ac:dyDescent="0.25">
      <c r="U252" s="211">
        <v>234</v>
      </c>
      <c r="V252" s="178">
        <v>4997576146.5010643</v>
      </c>
    </row>
    <row r="253" spans="21:22" x14ac:dyDescent="0.25">
      <c r="U253" s="211">
        <v>235</v>
      </c>
      <c r="V253" s="178">
        <v>4281120766.560894</v>
      </c>
    </row>
    <row r="254" spans="21:22" x14ac:dyDescent="0.25">
      <c r="U254" s="211">
        <v>236</v>
      </c>
      <c r="V254" s="178">
        <v>4610702736.6312323</v>
      </c>
    </row>
    <row r="255" spans="21:22" x14ac:dyDescent="0.25">
      <c r="U255" s="211">
        <v>237</v>
      </c>
      <c r="V255" s="178">
        <v>6608851415.11866</v>
      </c>
    </row>
    <row r="256" spans="21:22" x14ac:dyDescent="0.25">
      <c r="U256" s="211">
        <v>238</v>
      </c>
      <c r="V256" s="178">
        <v>6784663318.7027159</v>
      </c>
    </row>
    <row r="257" spans="21:22" x14ac:dyDescent="0.25">
      <c r="U257" s="211">
        <v>239</v>
      </c>
      <c r="V257" s="178">
        <v>9766828860.6389866</v>
      </c>
    </row>
    <row r="258" spans="21:22" x14ac:dyDescent="0.25">
      <c r="U258" s="211">
        <v>240</v>
      </c>
      <c r="V258" s="178">
        <v>11311999748.636417</v>
      </c>
    </row>
    <row r="259" spans="21:22" x14ac:dyDescent="0.25">
      <c r="U259" s="211">
        <v>241</v>
      </c>
      <c r="V259" s="178">
        <v>4915196853.1293192</v>
      </c>
    </row>
    <row r="260" spans="21:22" x14ac:dyDescent="0.25">
      <c r="U260" s="211">
        <v>242</v>
      </c>
      <c r="V260" s="178">
        <v>9212253666.7827377</v>
      </c>
    </row>
    <row r="261" spans="21:22" x14ac:dyDescent="0.25">
      <c r="U261" s="211">
        <v>243</v>
      </c>
      <c r="V261" s="178">
        <v>4715332668.4892836</v>
      </c>
    </row>
    <row r="262" spans="21:22" x14ac:dyDescent="0.25">
      <c r="U262" s="211">
        <v>244</v>
      </c>
      <c r="V262" s="178">
        <v>7220484423.2920589</v>
      </c>
    </row>
    <row r="263" spans="21:22" x14ac:dyDescent="0.25">
      <c r="U263" s="211">
        <v>245</v>
      </c>
      <c r="V263" s="178">
        <v>11548379797.285065</v>
      </c>
    </row>
    <row r="264" spans="21:22" x14ac:dyDescent="0.25">
      <c r="U264" s="211">
        <v>246</v>
      </c>
      <c r="V264" s="178">
        <v>5342807219.6132231</v>
      </c>
    </row>
    <row r="265" spans="21:22" x14ac:dyDescent="0.25">
      <c r="U265" s="211">
        <v>247</v>
      </c>
      <c r="V265" s="178">
        <v>5257067098.6845741</v>
      </c>
    </row>
    <row r="266" spans="21:22" x14ac:dyDescent="0.25">
      <c r="U266" s="211">
        <v>248</v>
      </c>
      <c r="V266" s="178">
        <v>4479401924.025074</v>
      </c>
    </row>
    <row r="267" spans="21:22" x14ac:dyDescent="0.25">
      <c r="U267" s="211">
        <v>249</v>
      </c>
      <c r="V267" s="178">
        <v>13438238936.228279</v>
      </c>
    </row>
    <row r="268" spans="21:22" x14ac:dyDescent="0.25">
      <c r="U268" s="211">
        <v>250</v>
      </c>
      <c r="V268" s="178">
        <v>9591014334.3355522</v>
      </c>
    </row>
    <row r="269" spans="21:22" x14ac:dyDescent="0.25">
      <c r="U269" s="211">
        <v>251</v>
      </c>
      <c r="V269" s="178">
        <v>5930349566.7394028</v>
      </c>
    </row>
    <row r="270" spans="21:22" x14ac:dyDescent="0.25">
      <c r="U270" s="211">
        <v>252</v>
      </c>
      <c r="V270" s="178">
        <v>12579547842.267563</v>
      </c>
    </row>
    <row r="271" spans="21:22" x14ac:dyDescent="0.25">
      <c r="U271" s="211">
        <v>253</v>
      </c>
      <c r="V271" s="178">
        <v>7079133803.3839493</v>
      </c>
    </row>
    <row r="272" spans="21:22" x14ac:dyDescent="0.25">
      <c r="U272" s="211">
        <v>254</v>
      </c>
      <c r="V272" s="178">
        <v>4876188787.8779249</v>
      </c>
    </row>
    <row r="273" spans="21:22" x14ac:dyDescent="0.25">
      <c r="U273" s="211">
        <v>255</v>
      </c>
      <c r="V273" s="178">
        <v>3067069110.0451899</v>
      </c>
    </row>
    <row r="274" spans="21:22" x14ac:dyDescent="0.25">
      <c r="U274" s="211">
        <v>256</v>
      </c>
      <c r="V274" s="178">
        <v>5626290914.5118427</v>
      </c>
    </row>
    <row r="275" spans="21:22" x14ac:dyDescent="0.25">
      <c r="U275" s="211">
        <v>257</v>
      </c>
      <c r="V275" s="178">
        <v>5971240267.7728415</v>
      </c>
    </row>
    <row r="276" spans="21:22" x14ac:dyDescent="0.25">
      <c r="U276" s="211">
        <v>258</v>
      </c>
      <c r="V276" s="178">
        <v>10854256098.990108</v>
      </c>
    </row>
    <row r="277" spans="21:22" x14ac:dyDescent="0.25">
      <c r="U277" s="211">
        <v>259</v>
      </c>
      <c r="V277" s="178">
        <v>3509744220.2756987</v>
      </c>
    </row>
    <row r="278" spans="21:22" x14ac:dyDescent="0.25">
      <c r="U278" s="211">
        <v>260</v>
      </c>
      <c r="V278" s="178">
        <v>8156650463.8577719</v>
      </c>
    </row>
    <row r="279" spans="21:22" x14ac:dyDescent="0.25">
      <c r="U279" s="211">
        <v>261</v>
      </c>
      <c r="V279" s="178">
        <v>12877268055.392916</v>
      </c>
    </row>
    <row r="280" spans="21:22" x14ac:dyDescent="0.25">
      <c r="U280" s="211">
        <v>262</v>
      </c>
      <c r="V280" s="178">
        <v>12891714880.879099</v>
      </c>
    </row>
    <row r="281" spans="21:22" x14ac:dyDescent="0.25">
      <c r="U281" s="211">
        <v>263</v>
      </c>
      <c r="V281" s="178">
        <v>6463658303.984889</v>
      </c>
    </row>
    <row r="282" spans="21:22" x14ac:dyDescent="0.25">
      <c r="U282" s="211">
        <v>264</v>
      </c>
      <c r="V282" s="178">
        <v>3762820378.6457343</v>
      </c>
    </row>
    <row r="283" spans="21:22" x14ac:dyDescent="0.25">
      <c r="U283" s="211">
        <v>265</v>
      </c>
      <c r="V283" s="178">
        <v>9888842672.3387241</v>
      </c>
    </row>
    <row r="284" spans="21:22" x14ac:dyDescent="0.25">
      <c r="U284" s="211">
        <v>266</v>
      </c>
      <c r="V284" s="178">
        <v>4935553684.030694</v>
      </c>
    </row>
    <row r="285" spans="21:22" x14ac:dyDescent="0.25">
      <c r="U285" s="211">
        <v>267</v>
      </c>
      <c r="V285" s="178">
        <v>5520467579.2374706</v>
      </c>
    </row>
    <row r="286" spans="21:22" x14ac:dyDescent="0.25">
      <c r="U286" s="211">
        <v>268</v>
      </c>
      <c r="V286" s="178">
        <v>3876801246.3554635</v>
      </c>
    </row>
    <row r="287" spans="21:22" x14ac:dyDescent="0.25">
      <c r="U287" s="211">
        <v>269</v>
      </c>
      <c r="V287" s="178">
        <v>7849914361.5750828</v>
      </c>
    </row>
    <row r="288" spans="21:22" x14ac:dyDescent="0.25">
      <c r="U288" s="211">
        <v>270</v>
      </c>
      <c r="V288" s="178">
        <v>8397770453.5485172</v>
      </c>
    </row>
    <row r="289" spans="21:22" x14ac:dyDescent="0.25">
      <c r="U289" s="211">
        <v>271</v>
      </c>
      <c r="V289" s="178">
        <v>10242002978.246807</v>
      </c>
    </row>
    <row r="290" spans="21:22" x14ac:dyDescent="0.25">
      <c r="U290" s="211">
        <v>272</v>
      </c>
      <c r="V290" s="178">
        <v>7974310294.091321</v>
      </c>
    </row>
    <row r="291" spans="21:22" x14ac:dyDescent="0.25">
      <c r="U291" s="211">
        <v>273</v>
      </c>
      <c r="V291" s="178">
        <v>7530086431.1467533</v>
      </c>
    </row>
    <row r="292" spans="21:22" x14ac:dyDescent="0.25">
      <c r="U292" s="211">
        <v>274</v>
      </c>
      <c r="V292" s="178">
        <v>4306351913.1931095</v>
      </c>
    </row>
    <row r="293" spans="21:22" x14ac:dyDescent="0.25">
      <c r="U293" s="211">
        <v>275</v>
      </c>
      <c r="V293" s="178">
        <v>5737232428.7196493</v>
      </c>
    </row>
    <row r="294" spans="21:22" x14ac:dyDescent="0.25">
      <c r="U294" s="211">
        <v>276</v>
      </c>
      <c r="V294" s="178">
        <v>9198851967.8171959</v>
      </c>
    </row>
    <row r="295" spans="21:22" x14ac:dyDescent="0.25">
      <c r="U295" s="211">
        <v>277</v>
      </c>
      <c r="V295" s="178">
        <v>8913938977.3680935</v>
      </c>
    </row>
    <row r="296" spans="21:22" x14ac:dyDescent="0.25">
      <c r="U296" s="211">
        <v>278</v>
      </c>
      <c r="V296" s="178">
        <v>7143804769.2736235</v>
      </c>
    </row>
    <row r="297" spans="21:22" x14ac:dyDescent="0.25">
      <c r="U297" s="211">
        <v>279</v>
      </c>
      <c r="V297" s="178">
        <v>3386358200.0857739</v>
      </c>
    </row>
    <row r="298" spans="21:22" x14ac:dyDescent="0.25">
      <c r="U298" s="211">
        <v>280</v>
      </c>
      <c r="V298" s="178">
        <v>3373598813.5050106</v>
      </c>
    </row>
    <row r="299" spans="21:22" x14ac:dyDescent="0.25">
      <c r="U299" s="211">
        <v>281</v>
      </c>
      <c r="V299" s="178">
        <v>3104036156.7474303</v>
      </c>
    </row>
    <row r="300" spans="21:22" x14ac:dyDescent="0.25">
      <c r="U300" s="211">
        <v>282</v>
      </c>
      <c r="V300" s="178">
        <v>4589613582.274332</v>
      </c>
    </row>
    <row r="301" spans="21:22" x14ac:dyDescent="0.25">
      <c r="U301" s="211">
        <v>283</v>
      </c>
      <c r="V301" s="178">
        <v>3194369907.1349721</v>
      </c>
    </row>
    <row r="302" spans="21:22" x14ac:dyDescent="0.25">
      <c r="U302" s="211">
        <v>284</v>
      </c>
      <c r="V302" s="178">
        <v>4066059062.6558461</v>
      </c>
    </row>
    <row r="303" spans="21:22" x14ac:dyDescent="0.25">
      <c r="U303" s="211">
        <v>285</v>
      </c>
      <c r="V303" s="178">
        <v>13862608656.455976</v>
      </c>
    </row>
    <row r="304" spans="21:22" x14ac:dyDescent="0.25">
      <c r="U304" s="211">
        <v>286</v>
      </c>
      <c r="V304" s="178">
        <v>4867019165.9858551</v>
      </c>
    </row>
    <row r="305" spans="21:22" x14ac:dyDescent="0.25">
      <c r="U305" s="211">
        <v>287</v>
      </c>
      <c r="V305" s="178">
        <v>5143494153.7609701</v>
      </c>
    </row>
    <row r="306" spans="21:22" x14ac:dyDescent="0.25">
      <c r="U306" s="211">
        <v>288</v>
      </c>
      <c r="V306" s="178">
        <v>4469951182.2902594</v>
      </c>
    </row>
    <row r="307" spans="21:22" x14ac:dyDescent="0.25">
      <c r="U307" s="211">
        <v>289</v>
      </c>
      <c r="V307" s="178">
        <v>4253237305.1907458</v>
      </c>
    </row>
    <row r="308" spans="21:22" x14ac:dyDescent="0.25">
      <c r="U308" s="211">
        <v>290</v>
      </c>
      <c r="V308" s="178">
        <v>5025632948.4635963</v>
      </c>
    </row>
    <row r="309" spans="21:22" x14ac:dyDescent="0.25">
      <c r="U309" s="211">
        <v>291</v>
      </c>
      <c r="V309" s="178">
        <v>3097731915.9862995</v>
      </c>
    </row>
    <row r="310" spans="21:22" x14ac:dyDescent="0.25">
      <c r="U310" s="211">
        <v>292</v>
      </c>
      <c r="V310" s="178">
        <v>4499529953.0841446</v>
      </c>
    </row>
    <row r="311" spans="21:22" x14ac:dyDescent="0.25">
      <c r="U311" s="211">
        <v>293</v>
      </c>
      <c r="V311" s="178">
        <v>5484931047.3295813</v>
      </c>
    </row>
    <row r="312" spans="21:22" x14ac:dyDescent="0.25">
      <c r="U312" s="211">
        <v>294</v>
      </c>
      <c r="V312" s="178">
        <v>4031733510.6756964</v>
      </c>
    </row>
    <row r="313" spans="21:22" x14ac:dyDescent="0.25">
      <c r="U313" s="211">
        <v>295</v>
      </c>
      <c r="V313" s="178">
        <v>11266246448.606848</v>
      </c>
    </row>
    <row r="314" spans="21:22" x14ac:dyDescent="0.25">
      <c r="U314" s="211">
        <v>296</v>
      </c>
      <c r="V314" s="178">
        <v>6572326355.5645819</v>
      </c>
    </row>
    <row r="315" spans="21:22" x14ac:dyDescent="0.25">
      <c r="U315" s="211">
        <v>297</v>
      </c>
      <c r="V315" s="178">
        <v>3130485402.9982467</v>
      </c>
    </row>
    <row r="316" spans="21:22" x14ac:dyDescent="0.25">
      <c r="U316" s="211">
        <v>298</v>
      </c>
      <c r="V316" s="178">
        <v>8732873529.8758659</v>
      </c>
    </row>
    <row r="317" spans="21:22" x14ac:dyDescent="0.25">
      <c r="U317" s="211">
        <v>299</v>
      </c>
      <c r="V317" s="178">
        <v>5723511169.3165426</v>
      </c>
    </row>
    <row r="318" spans="21:22" x14ac:dyDescent="0.25">
      <c r="U318" s="211">
        <v>300</v>
      </c>
      <c r="V318" s="178">
        <v>7531857066.2643032</v>
      </c>
    </row>
    <row r="319" spans="21:22" x14ac:dyDescent="0.25">
      <c r="U319" s="211">
        <v>301</v>
      </c>
      <c r="V319" s="178">
        <v>9850600538.0629635</v>
      </c>
    </row>
    <row r="320" spans="21:22" x14ac:dyDescent="0.25">
      <c r="U320" s="211">
        <v>302</v>
      </c>
      <c r="V320" s="178">
        <v>11452061985.608633</v>
      </c>
    </row>
    <row r="321" spans="21:22" x14ac:dyDescent="0.25">
      <c r="U321" s="211">
        <v>303</v>
      </c>
      <c r="V321" s="178">
        <v>4946880606.1324892</v>
      </c>
    </row>
    <row r="322" spans="21:22" x14ac:dyDescent="0.25">
      <c r="U322" s="211">
        <v>304</v>
      </c>
      <c r="V322" s="178">
        <v>8782632138.510601</v>
      </c>
    </row>
    <row r="323" spans="21:22" x14ac:dyDescent="0.25">
      <c r="U323" s="211">
        <v>305</v>
      </c>
      <c r="V323" s="178">
        <v>4146400466.7321982</v>
      </c>
    </row>
    <row r="324" spans="21:22" x14ac:dyDescent="0.25">
      <c r="U324" s="211">
        <v>306</v>
      </c>
      <c r="V324" s="178">
        <v>11808897136.550119</v>
      </c>
    </row>
    <row r="325" spans="21:22" x14ac:dyDescent="0.25">
      <c r="U325" s="211">
        <v>307</v>
      </c>
      <c r="V325" s="178">
        <v>7405465563.8764391</v>
      </c>
    </row>
    <row r="326" spans="21:22" x14ac:dyDescent="0.25">
      <c r="U326" s="211">
        <v>308</v>
      </c>
      <c r="V326" s="178">
        <v>9702916430.3903999</v>
      </c>
    </row>
    <row r="327" spans="21:22" x14ac:dyDescent="0.25">
      <c r="U327" s="211">
        <v>309</v>
      </c>
      <c r="V327" s="178">
        <v>14504720451.696688</v>
      </c>
    </row>
    <row r="328" spans="21:22" x14ac:dyDescent="0.25">
      <c r="U328" s="211">
        <v>310</v>
      </c>
      <c r="V328" s="178">
        <v>7020367958.7278175</v>
      </c>
    </row>
    <row r="329" spans="21:22" x14ac:dyDescent="0.25">
      <c r="U329" s="211">
        <v>311</v>
      </c>
      <c r="V329" s="178">
        <v>9710559672.6629925</v>
      </c>
    </row>
    <row r="330" spans="21:22" x14ac:dyDescent="0.25">
      <c r="U330" s="211">
        <v>312</v>
      </c>
      <c r="V330" s="178">
        <v>6794104536.7042084</v>
      </c>
    </row>
    <row r="331" spans="21:22" x14ac:dyDescent="0.25">
      <c r="U331" s="211">
        <v>313</v>
      </c>
      <c r="V331" s="178">
        <v>3941252778.4043775</v>
      </c>
    </row>
    <row r="332" spans="21:22" x14ac:dyDescent="0.25">
      <c r="U332" s="211">
        <v>314</v>
      </c>
      <c r="V332" s="178">
        <v>7303489524.5952682</v>
      </c>
    </row>
    <row r="333" spans="21:22" x14ac:dyDescent="0.25">
      <c r="U333" s="211">
        <v>315</v>
      </c>
      <c r="V333" s="178">
        <v>10823257381.121363</v>
      </c>
    </row>
    <row r="334" spans="21:22" x14ac:dyDescent="0.25">
      <c r="U334" s="211">
        <v>316</v>
      </c>
      <c r="V334" s="178">
        <v>5065118183.8132114</v>
      </c>
    </row>
    <row r="335" spans="21:22" x14ac:dyDescent="0.25">
      <c r="U335" s="211">
        <v>317</v>
      </c>
      <c r="V335" s="178">
        <v>2858490058.7194128</v>
      </c>
    </row>
    <row r="336" spans="21:22" x14ac:dyDescent="0.25">
      <c r="U336" s="211">
        <v>318</v>
      </c>
      <c r="V336" s="178">
        <v>5038833800.2135763</v>
      </c>
    </row>
    <row r="337" spans="21:22" x14ac:dyDescent="0.25">
      <c r="U337" s="211">
        <v>319</v>
      </c>
      <c r="V337" s="178">
        <v>14509327072.880774</v>
      </c>
    </row>
    <row r="338" spans="21:22" x14ac:dyDescent="0.25">
      <c r="U338" s="211">
        <v>320</v>
      </c>
      <c r="V338" s="178">
        <v>9363278858.0041008</v>
      </c>
    </row>
    <row r="339" spans="21:22" x14ac:dyDescent="0.25">
      <c r="U339" s="211">
        <v>321</v>
      </c>
      <c r="V339" s="178">
        <v>9165407770.5101166</v>
      </c>
    </row>
    <row r="340" spans="21:22" x14ac:dyDescent="0.25">
      <c r="U340" s="211">
        <v>322</v>
      </c>
      <c r="V340" s="178">
        <v>3872814990.1925797</v>
      </c>
    </row>
    <row r="341" spans="21:22" x14ac:dyDescent="0.25">
      <c r="U341" s="211">
        <v>323</v>
      </c>
      <c r="V341" s="178">
        <v>2937438320.9947982</v>
      </c>
    </row>
    <row r="342" spans="21:22" x14ac:dyDescent="0.25">
      <c r="U342" s="211">
        <v>324</v>
      </c>
      <c r="V342" s="178">
        <v>6506933942.5007544</v>
      </c>
    </row>
    <row r="343" spans="21:22" x14ac:dyDescent="0.25">
      <c r="U343" s="211">
        <v>325</v>
      </c>
      <c r="V343" s="178">
        <v>7276445252.049017</v>
      </c>
    </row>
    <row r="344" spans="21:22" x14ac:dyDescent="0.25">
      <c r="U344" s="211">
        <v>326</v>
      </c>
      <c r="V344" s="178">
        <v>3457257469.7246518</v>
      </c>
    </row>
    <row r="345" spans="21:22" x14ac:dyDescent="0.25">
      <c r="U345" s="211">
        <v>327</v>
      </c>
      <c r="V345" s="178">
        <v>13415260212.109476</v>
      </c>
    </row>
    <row r="346" spans="21:22" x14ac:dyDescent="0.25">
      <c r="U346" s="211">
        <v>328</v>
      </c>
      <c r="V346" s="178">
        <v>4338596716.156743</v>
      </c>
    </row>
    <row r="347" spans="21:22" x14ac:dyDescent="0.25">
      <c r="U347" s="211">
        <v>329</v>
      </c>
      <c r="V347" s="178">
        <v>10703938357.262272</v>
      </c>
    </row>
    <row r="348" spans="21:22" x14ac:dyDescent="0.25">
      <c r="U348" s="211">
        <v>330</v>
      </c>
      <c r="V348" s="178">
        <v>4386939378.836071</v>
      </c>
    </row>
    <row r="349" spans="21:22" x14ac:dyDescent="0.25">
      <c r="U349" s="211">
        <v>331</v>
      </c>
      <c r="V349" s="178">
        <v>4585878794.671176</v>
      </c>
    </row>
    <row r="350" spans="21:22" x14ac:dyDescent="0.25">
      <c r="U350" s="211">
        <v>332</v>
      </c>
      <c r="V350" s="178">
        <v>5230831315.5536985</v>
      </c>
    </row>
    <row r="351" spans="21:22" x14ac:dyDescent="0.25">
      <c r="U351" s="211">
        <v>333</v>
      </c>
      <c r="V351" s="178">
        <v>7082296412.1591816</v>
      </c>
    </row>
    <row r="352" spans="21:22" x14ac:dyDescent="0.25">
      <c r="U352" s="211">
        <v>334</v>
      </c>
      <c r="V352" s="178">
        <v>4615445012.5327444</v>
      </c>
    </row>
    <row r="353" spans="21:22" x14ac:dyDescent="0.25">
      <c r="U353" s="211">
        <v>335</v>
      </c>
      <c r="V353" s="178">
        <v>4998283739.1784029</v>
      </c>
    </row>
    <row r="354" spans="21:22" x14ac:dyDescent="0.25">
      <c r="U354" s="211">
        <v>336</v>
      </c>
      <c r="V354" s="178">
        <v>2338916311.9003797</v>
      </c>
    </row>
    <row r="355" spans="21:22" x14ac:dyDescent="0.25">
      <c r="U355" s="211">
        <v>337</v>
      </c>
      <c r="V355" s="178">
        <v>5226648839.1630955</v>
      </c>
    </row>
    <row r="356" spans="21:22" x14ac:dyDescent="0.25">
      <c r="U356" s="211">
        <v>338</v>
      </c>
      <c r="V356" s="178">
        <v>7023582615.4993505</v>
      </c>
    </row>
    <row r="357" spans="21:22" x14ac:dyDescent="0.25">
      <c r="U357" s="211">
        <v>339</v>
      </c>
      <c r="V357" s="178">
        <v>7379659661.1268129</v>
      </c>
    </row>
    <row r="358" spans="21:22" x14ac:dyDescent="0.25">
      <c r="U358" s="211">
        <v>340</v>
      </c>
      <c r="V358" s="178">
        <v>5579041535.7114515</v>
      </c>
    </row>
    <row r="359" spans="21:22" x14ac:dyDescent="0.25">
      <c r="U359" s="211">
        <v>341</v>
      </c>
      <c r="V359" s="178">
        <v>9293388006.2449551</v>
      </c>
    </row>
    <row r="360" spans="21:22" x14ac:dyDescent="0.25">
      <c r="U360" s="211">
        <v>342</v>
      </c>
      <c r="V360" s="178">
        <v>7384696066.7802362</v>
      </c>
    </row>
    <row r="361" spans="21:22" x14ac:dyDescent="0.25">
      <c r="U361" s="211">
        <v>343</v>
      </c>
      <c r="V361" s="178">
        <v>6697101254.9599304</v>
      </c>
    </row>
    <row r="362" spans="21:22" x14ac:dyDescent="0.25">
      <c r="U362" s="211">
        <v>344</v>
      </c>
      <c r="V362" s="178">
        <v>4498287395.8346739</v>
      </c>
    </row>
    <row r="363" spans="21:22" x14ac:dyDescent="0.25">
      <c r="U363" s="211">
        <v>345</v>
      </c>
      <c r="V363" s="178">
        <v>9512101392.240427</v>
      </c>
    </row>
    <row r="364" spans="21:22" x14ac:dyDescent="0.25">
      <c r="U364" s="211">
        <v>346</v>
      </c>
      <c r="V364" s="178">
        <v>5132502920.0315409</v>
      </c>
    </row>
    <row r="365" spans="21:22" x14ac:dyDescent="0.25">
      <c r="U365" s="211">
        <v>347</v>
      </c>
      <c r="V365" s="178">
        <v>3457257233.0938654</v>
      </c>
    </row>
    <row r="366" spans="21:22" x14ac:dyDescent="0.25">
      <c r="U366" s="211">
        <v>348</v>
      </c>
      <c r="V366" s="178">
        <v>4623212159.1645784</v>
      </c>
    </row>
    <row r="367" spans="21:22" x14ac:dyDescent="0.25">
      <c r="U367" s="211">
        <v>349</v>
      </c>
      <c r="V367" s="178">
        <v>6763268344.2400179</v>
      </c>
    </row>
    <row r="368" spans="21:22" x14ac:dyDescent="0.25">
      <c r="U368" s="211">
        <v>350</v>
      </c>
      <c r="V368" s="178">
        <v>12426537431.089663</v>
      </c>
    </row>
    <row r="369" spans="21:22" x14ac:dyDescent="0.25">
      <c r="U369" s="211">
        <v>351</v>
      </c>
      <c r="V369" s="178">
        <v>5410241919.6396036</v>
      </c>
    </row>
    <row r="370" spans="21:22" x14ac:dyDescent="0.25">
      <c r="U370" s="211">
        <v>352</v>
      </c>
      <c r="V370" s="178">
        <v>4340730690.2517729</v>
      </c>
    </row>
    <row r="371" spans="21:22" x14ac:dyDescent="0.25">
      <c r="U371" s="211">
        <v>353</v>
      </c>
      <c r="V371" s="178">
        <v>6021984260.347106</v>
      </c>
    </row>
    <row r="372" spans="21:22" x14ac:dyDescent="0.25">
      <c r="U372" s="211">
        <v>354</v>
      </c>
      <c r="V372" s="178">
        <v>6767767033.1239109</v>
      </c>
    </row>
    <row r="373" spans="21:22" x14ac:dyDescent="0.25">
      <c r="U373" s="211">
        <v>355</v>
      </c>
      <c r="V373" s="178">
        <v>4977008143.1986599</v>
      </c>
    </row>
    <row r="374" spans="21:22" x14ac:dyDescent="0.25">
      <c r="U374" s="211">
        <v>356</v>
      </c>
      <c r="V374" s="178">
        <v>6325673481.8149586</v>
      </c>
    </row>
    <row r="375" spans="21:22" x14ac:dyDescent="0.25">
      <c r="U375" s="211">
        <v>357</v>
      </c>
      <c r="V375" s="178">
        <v>13666976376.347019</v>
      </c>
    </row>
    <row r="376" spans="21:22" x14ac:dyDescent="0.25">
      <c r="U376" s="211">
        <v>358</v>
      </c>
      <c r="V376" s="178">
        <v>6945807099.808403</v>
      </c>
    </row>
    <row r="377" spans="21:22" x14ac:dyDescent="0.25">
      <c r="U377" s="211">
        <v>359</v>
      </c>
      <c r="V377" s="178">
        <v>5168283589.6981745</v>
      </c>
    </row>
    <row r="378" spans="21:22" x14ac:dyDescent="0.25">
      <c r="U378" s="211">
        <v>360</v>
      </c>
      <c r="V378" s="178">
        <v>7924075743.0888176</v>
      </c>
    </row>
    <row r="379" spans="21:22" x14ac:dyDescent="0.25">
      <c r="U379" s="211">
        <v>361</v>
      </c>
      <c r="V379" s="178">
        <v>8661415951.131649</v>
      </c>
    </row>
    <row r="380" spans="21:22" x14ac:dyDescent="0.25">
      <c r="U380" s="211">
        <v>362</v>
      </c>
      <c r="V380" s="178">
        <v>7788669014.6048212</v>
      </c>
    </row>
    <row r="381" spans="21:22" x14ac:dyDescent="0.25">
      <c r="U381" s="211">
        <v>363</v>
      </c>
      <c r="V381" s="178">
        <v>6320324635.5934315</v>
      </c>
    </row>
    <row r="382" spans="21:22" x14ac:dyDescent="0.25">
      <c r="U382" s="211">
        <v>364</v>
      </c>
      <c r="V382" s="178">
        <v>3418586171.4667754</v>
      </c>
    </row>
    <row r="383" spans="21:22" x14ac:dyDescent="0.25">
      <c r="U383" s="211">
        <v>365</v>
      </c>
      <c r="V383" s="178">
        <v>6966874194.0638866</v>
      </c>
    </row>
    <row r="384" spans="21:22" x14ac:dyDescent="0.25">
      <c r="U384" s="211">
        <v>366</v>
      </c>
      <c r="V384" s="178">
        <v>10978418140.243416</v>
      </c>
    </row>
    <row r="385" spans="21:22" x14ac:dyDescent="0.25">
      <c r="U385" s="211">
        <v>367</v>
      </c>
      <c r="V385" s="178">
        <v>12362851705.690147</v>
      </c>
    </row>
    <row r="386" spans="21:22" x14ac:dyDescent="0.25">
      <c r="U386" s="211">
        <v>368</v>
      </c>
      <c r="V386" s="178">
        <v>10787546719.698244</v>
      </c>
    </row>
    <row r="387" spans="21:22" x14ac:dyDescent="0.25">
      <c r="U387" s="211">
        <v>369</v>
      </c>
      <c r="V387" s="178">
        <v>8084702868.285738</v>
      </c>
    </row>
    <row r="388" spans="21:22" x14ac:dyDescent="0.25">
      <c r="U388" s="211">
        <v>370</v>
      </c>
      <c r="V388" s="178">
        <v>3744577639.112155</v>
      </c>
    </row>
    <row r="389" spans="21:22" x14ac:dyDescent="0.25">
      <c r="U389" s="211">
        <v>371</v>
      </c>
      <c r="V389" s="178">
        <v>7897740673.2086363</v>
      </c>
    </row>
    <row r="390" spans="21:22" x14ac:dyDescent="0.25">
      <c r="U390" s="211">
        <v>372</v>
      </c>
      <c r="V390" s="178">
        <v>4826371003.5156469</v>
      </c>
    </row>
    <row r="391" spans="21:22" x14ac:dyDescent="0.25">
      <c r="U391" s="211">
        <v>373</v>
      </c>
      <c r="V391" s="178">
        <v>6569598659.2537107</v>
      </c>
    </row>
    <row r="392" spans="21:22" x14ac:dyDescent="0.25">
      <c r="U392" s="211">
        <v>374</v>
      </c>
      <c r="V392" s="178">
        <v>5115512869.4370861</v>
      </c>
    </row>
    <row r="393" spans="21:22" x14ac:dyDescent="0.25">
      <c r="U393" s="211">
        <v>375</v>
      </c>
      <c r="V393" s="178">
        <v>8443862453.1826191</v>
      </c>
    </row>
    <row r="394" spans="21:22" x14ac:dyDescent="0.25">
      <c r="U394" s="211">
        <v>376</v>
      </c>
      <c r="V394" s="178">
        <v>3594058082.3006988</v>
      </c>
    </row>
    <row r="395" spans="21:22" x14ac:dyDescent="0.25">
      <c r="U395" s="211">
        <v>377</v>
      </c>
      <c r="V395" s="178">
        <v>5643384885.2705765</v>
      </c>
    </row>
    <row r="396" spans="21:22" x14ac:dyDescent="0.25">
      <c r="U396" s="211">
        <v>378</v>
      </c>
      <c r="V396" s="178">
        <v>8975947540.4475193</v>
      </c>
    </row>
    <row r="397" spans="21:22" x14ac:dyDescent="0.25">
      <c r="U397" s="211">
        <v>379</v>
      </c>
      <c r="V397" s="178">
        <v>5433735449.706954</v>
      </c>
    </row>
    <row r="398" spans="21:22" x14ac:dyDescent="0.25">
      <c r="U398" s="211">
        <v>380</v>
      </c>
      <c r="V398" s="178">
        <v>3698487846.8253565</v>
      </c>
    </row>
    <row r="399" spans="21:22" x14ac:dyDescent="0.25">
      <c r="U399" s="211">
        <v>381</v>
      </c>
      <c r="V399" s="178">
        <v>11748789543.493399</v>
      </c>
    </row>
    <row r="400" spans="21:22" x14ac:dyDescent="0.25">
      <c r="U400" s="211">
        <v>382</v>
      </c>
      <c r="V400" s="178">
        <v>5212526443.6144447</v>
      </c>
    </row>
    <row r="401" spans="21:22" x14ac:dyDescent="0.25">
      <c r="U401" s="211">
        <v>383</v>
      </c>
      <c r="V401" s="178">
        <v>7871644970.5105667</v>
      </c>
    </row>
    <row r="402" spans="21:22" x14ac:dyDescent="0.25">
      <c r="U402" s="211">
        <v>384</v>
      </c>
      <c r="V402" s="178">
        <v>12589117295.600418</v>
      </c>
    </row>
    <row r="403" spans="21:22" x14ac:dyDescent="0.25">
      <c r="U403" s="211">
        <v>385</v>
      </c>
      <c r="V403" s="178">
        <v>4076946250.4639606</v>
      </c>
    </row>
    <row r="404" spans="21:22" x14ac:dyDescent="0.25">
      <c r="U404" s="211">
        <v>386</v>
      </c>
      <c r="V404" s="178">
        <v>9478414087.7542171</v>
      </c>
    </row>
    <row r="405" spans="21:22" x14ac:dyDescent="0.25">
      <c r="U405" s="211">
        <v>387</v>
      </c>
      <c r="V405" s="178">
        <v>6676070309.3519201</v>
      </c>
    </row>
    <row r="406" spans="21:22" x14ac:dyDescent="0.25">
      <c r="U406" s="211">
        <v>388</v>
      </c>
      <c r="V406" s="178">
        <v>4807522092.8042765</v>
      </c>
    </row>
    <row r="407" spans="21:22" x14ac:dyDescent="0.25">
      <c r="U407" s="211">
        <v>389</v>
      </c>
      <c r="V407" s="178">
        <v>6645102879.3389091</v>
      </c>
    </row>
    <row r="408" spans="21:22" x14ac:dyDescent="0.25">
      <c r="U408" s="211">
        <v>390</v>
      </c>
      <c r="V408" s="178">
        <v>8420471878.860754</v>
      </c>
    </row>
    <row r="409" spans="21:22" x14ac:dyDescent="0.25">
      <c r="U409" s="211">
        <v>391</v>
      </c>
      <c r="V409" s="178">
        <v>5639562542.3783646</v>
      </c>
    </row>
    <row r="410" spans="21:22" x14ac:dyDescent="0.25">
      <c r="U410" s="211">
        <v>392</v>
      </c>
      <c r="V410" s="178">
        <v>4410749904.179038</v>
      </c>
    </row>
    <row r="411" spans="21:22" x14ac:dyDescent="0.25">
      <c r="U411" s="211">
        <v>393</v>
      </c>
      <c r="V411" s="178">
        <v>4449205605.2538738</v>
      </c>
    </row>
    <row r="412" spans="21:22" x14ac:dyDescent="0.25">
      <c r="U412" s="211">
        <v>394</v>
      </c>
      <c r="V412" s="178">
        <v>12831268548.534252</v>
      </c>
    </row>
    <row r="413" spans="21:22" x14ac:dyDescent="0.25">
      <c r="U413" s="211">
        <v>395</v>
      </c>
      <c r="V413" s="178">
        <v>15138985203.143192</v>
      </c>
    </row>
    <row r="414" spans="21:22" x14ac:dyDescent="0.25">
      <c r="U414" s="211">
        <v>396</v>
      </c>
      <c r="V414" s="178">
        <v>5041265645.2151995</v>
      </c>
    </row>
    <row r="415" spans="21:22" x14ac:dyDescent="0.25">
      <c r="U415" s="211">
        <v>397</v>
      </c>
      <c r="V415" s="178">
        <v>3960118097.098361</v>
      </c>
    </row>
    <row r="416" spans="21:22" x14ac:dyDescent="0.25">
      <c r="U416" s="211">
        <v>398</v>
      </c>
      <c r="V416" s="178">
        <v>14979680401.509201</v>
      </c>
    </row>
    <row r="417" spans="21:22" x14ac:dyDescent="0.25">
      <c r="U417" s="211">
        <v>399</v>
      </c>
      <c r="V417" s="178">
        <v>11042732240.309889</v>
      </c>
    </row>
    <row r="418" spans="21:22" x14ac:dyDescent="0.25">
      <c r="U418" s="211">
        <v>400</v>
      </c>
      <c r="V418" s="178">
        <v>5049684964.3202505</v>
      </c>
    </row>
    <row r="419" spans="21:22" x14ac:dyDescent="0.25">
      <c r="U419" s="211">
        <v>401</v>
      </c>
      <c r="V419" s="178">
        <v>7688338604.1444626</v>
      </c>
    </row>
    <row r="420" spans="21:22" x14ac:dyDescent="0.25">
      <c r="U420" s="211">
        <v>402</v>
      </c>
      <c r="V420" s="178">
        <v>5362584083.5371761</v>
      </c>
    </row>
    <row r="421" spans="21:22" x14ac:dyDescent="0.25">
      <c r="U421" s="211">
        <v>403</v>
      </c>
      <c r="V421" s="178">
        <v>6250348178.1221972</v>
      </c>
    </row>
    <row r="422" spans="21:22" x14ac:dyDescent="0.25">
      <c r="U422" s="211">
        <v>404</v>
      </c>
      <c r="V422" s="178">
        <v>3932461353.5767469</v>
      </c>
    </row>
    <row r="423" spans="21:22" x14ac:dyDescent="0.25">
      <c r="U423" s="211">
        <v>405</v>
      </c>
      <c r="V423" s="178">
        <v>8543144182.7371874</v>
      </c>
    </row>
    <row r="424" spans="21:22" x14ac:dyDescent="0.25">
      <c r="U424" s="211">
        <v>406</v>
      </c>
      <c r="V424" s="178">
        <v>5346526575.18857</v>
      </c>
    </row>
    <row r="425" spans="21:22" x14ac:dyDescent="0.25">
      <c r="U425" s="211">
        <v>407</v>
      </c>
      <c r="V425" s="178">
        <v>2762903265.5927124</v>
      </c>
    </row>
    <row r="426" spans="21:22" x14ac:dyDescent="0.25">
      <c r="U426" s="211">
        <v>408</v>
      </c>
      <c r="V426" s="178">
        <v>5536103378.3378868</v>
      </c>
    </row>
    <row r="427" spans="21:22" x14ac:dyDescent="0.25">
      <c r="U427" s="211">
        <v>409</v>
      </c>
      <c r="V427" s="178">
        <v>8911434723.1966438</v>
      </c>
    </row>
    <row r="428" spans="21:22" x14ac:dyDescent="0.25">
      <c r="U428" s="211">
        <v>410</v>
      </c>
      <c r="V428" s="178">
        <v>3040191319.4563832</v>
      </c>
    </row>
    <row r="429" spans="21:22" x14ac:dyDescent="0.25">
      <c r="U429" s="211">
        <v>411</v>
      </c>
      <c r="V429" s="178">
        <v>9849945399.1864491</v>
      </c>
    </row>
    <row r="430" spans="21:22" x14ac:dyDescent="0.25">
      <c r="U430" s="211">
        <v>412</v>
      </c>
      <c r="V430" s="178">
        <v>17705700837.842518</v>
      </c>
    </row>
    <row r="431" spans="21:22" x14ac:dyDescent="0.25">
      <c r="U431" s="211">
        <v>413</v>
      </c>
      <c r="V431" s="178">
        <v>7636663009.9683294</v>
      </c>
    </row>
    <row r="432" spans="21:22" x14ac:dyDescent="0.25">
      <c r="U432" s="211">
        <v>414</v>
      </c>
      <c r="V432" s="178">
        <v>9771601309.7770996</v>
      </c>
    </row>
    <row r="433" spans="21:22" x14ac:dyDescent="0.25">
      <c r="U433" s="211">
        <v>415</v>
      </c>
      <c r="V433" s="178">
        <v>6882636848.8259277</v>
      </c>
    </row>
    <row r="434" spans="21:22" x14ac:dyDescent="0.25">
      <c r="U434" s="211">
        <v>416</v>
      </c>
      <c r="V434" s="178">
        <v>3688916775.7653179</v>
      </c>
    </row>
    <row r="435" spans="21:22" x14ac:dyDescent="0.25">
      <c r="U435" s="211">
        <v>417</v>
      </c>
      <c r="V435" s="178">
        <v>7582600087.2168293</v>
      </c>
    </row>
    <row r="436" spans="21:22" x14ac:dyDescent="0.25">
      <c r="U436" s="211">
        <v>418</v>
      </c>
      <c r="V436" s="178">
        <v>14208386212.944464</v>
      </c>
    </row>
    <row r="437" spans="21:22" x14ac:dyDescent="0.25">
      <c r="U437" s="211">
        <v>419</v>
      </c>
      <c r="V437" s="178">
        <v>7184188812.8992252</v>
      </c>
    </row>
    <row r="438" spans="21:22" x14ac:dyDescent="0.25">
      <c r="U438" s="211">
        <v>420</v>
      </c>
      <c r="V438" s="178">
        <v>4419331718.061986</v>
      </c>
    </row>
    <row r="439" spans="21:22" x14ac:dyDescent="0.25">
      <c r="U439" s="211">
        <v>421</v>
      </c>
      <c r="V439" s="178">
        <v>5988199986.2504883</v>
      </c>
    </row>
    <row r="440" spans="21:22" x14ac:dyDescent="0.25">
      <c r="U440" s="211">
        <v>422</v>
      </c>
      <c r="V440" s="178">
        <v>11696726740.05706</v>
      </c>
    </row>
    <row r="441" spans="21:22" x14ac:dyDescent="0.25">
      <c r="U441" s="211">
        <v>423</v>
      </c>
      <c r="V441" s="178">
        <v>5113822269.28689</v>
      </c>
    </row>
    <row r="442" spans="21:22" x14ac:dyDescent="0.25">
      <c r="U442" s="211">
        <v>424</v>
      </c>
      <c r="V442" s="178">
        <v>6234638826.593462</v>
      </c>
    </row>
    <row r="443" spans="21:22" x14ac:dyDescent="0.25">
      <c r="U443" s="211">
        <v>425</v>
      </c>
      <c r="V443" s="178">
        <v>7932887735.9422178</v>
      </c>
    </row>
    <row r="444" spans="21:22" x14ac:dyDescent="0.25">
      <c r="U444" s="211">
        <v>426</v>
      </c>
      <c r="V444" s="178">
        <v>9809788686.4624519</v>
      </c>
    </row>
    <row r="445" spans="21:22" x14ac:dyDescent="0.25">
      <c r="U445" s="211">
        <v>427</v>
      </c>
      <c r="V445" s="178">
        <v>5676882613.1925268</v>
      </c>
    </row>
    <row r="446" spans="21:22" x14ac:dyDescent="0.25">
      <c r="U446" s="211">
        <v>428</v>
      </c>
      <c r="V446" s="178">
        <v>5386097500.6873617</v>
      </c>
    </row>
    <row r="447" spans="21:22" x14ac:dyDescent="0.25">
      <c r="U447" s="211">
        <v>429</v>
      </c>
      <c r="V447" s="178">
        <v>10711051592.187534</v>
      </c>
    </row>
    <row r="448" spans="21:22" x14ac:dyDescent="0.25">
      <c r="U448" s="211">
        <v>430</v>
      </c>
      <c r="V448" s="178">
        <v>5655983101.6095791</v>
      </c>
    </row>
    <row r="449" spans="21:22" x14ac:dyDescent="0.25">
      <c r="U449" s="211">
        <v>431</v>
      </c>
      <c r="V449" s="178">
        <v>6046595206.9046144</v>
      </c>
    </row>
    <row r="450" spans="21:22" x14ac:dyDescent="0.25">
      <c r="U450" s="211">
        <v>432</v>
      </c>
      <c r="V450" s="178">
        <v>13291113777.007879</v>
      </c>
    </row>
    <row r="451" spans="21:22" x14ac:dyDescent="0.25">
      <c r="U451" s="211">
        <v>433</v>
      </c>
      <c r="V451" s="178">
        <v>7958836191.9838142</v>
      </c>
    </row>
    <row r="452" spans="21:22" x14ac:dyDescent="0.25">
      <c r="U452" s="211">
        <v>434</v>
      </c>
      <c r="V452" s="178">
        <v>3631436538.2531362</v>
      </c>
    </row>
    <row r="453" spans="21:22" x14ac:dyDescent="0.25">
      <c r="U453" s="211">
        <v>435</v>
      </c>
      <c r="V453" s="178">
        <v>11853278928.871883</v>
      </c>
    </row>
    <row r="454" spans="21:22" x14ac:dyDescent="0.25">
      <c r="U454" s="211">
        <v>436</v>
      </c>
      <c r="V454" s="178">
        <v>6728874912.8055878</v>
      </c>
    </row>
    <row r="455" spans="21:22" x14ac:dyDescent="0.25">
      <c r="U455" s="211">
        <v>437</v>
      </c>
      <c r="V455" s="178">
        <v>5637537550.111907</v>
      </c>
    </row>
    <row r="456" spans="21:22" x14ac:dyDescent="0.25">
      <c r="U456" s="211">
        <v>438</v>
      </c>
      <c r="V456" s="178">
        <v>5480245263.7742596</v>
      </c>
    </row>
    <row r="457" spans="21:22" x14ac:dyDescent="0.25">
      <c r="U457" s="211">
        <v>439</v>
      </c>
      <c r="V457" s="178">
        <v>4948355366.6746445</v>
      </c>
    </row>
    <row r="458" spans="21:22" x14ac:dyDescent="0.25">
      <c r="U458" s="211">
        <v>440</v>
      </c>
      <c r="V458" s="178">
        <v>4536227424.6572466</v>
      </c>
    </row>
    <row r="459" spans="21:22" x14ac:dyDescent="0.25">
      <c r="U459" s="211">
        <v>441</v>
      </c>
      <c r="V459" s="178">
        <v>6136805917.7912073</v>
      </c>
    </row>
    <row r="460" spans="21:22" x14ac:dyDescent="0.25">
      <c r="U460" s="211">
        <v>442</v>
      </c>
      <c r="V460" s="178">
        <v>6126821966.7012415</v>
      </c>
    </row>
    <row r="461" spans="21:22" x14ac:dyDescent="0.25">
      <c r="U461" s="211">
        <v>443</v>
      </c>
      <c r="V461" s="178">
        <v>7365379989.5381327</v>
      </c>
    </row>
    <row r="462" spans="21:22" x14ac:dyDescent="0.25">
      <c r="U462" s="211">
        <v>444</v>
      </c>
      <c r="V462" s="178">
        <v>6119145029.8966389</v>
      </c>
    </row>
    <row r="463" spans="21:22" x14ac:dyDescent="0.25">
      <c r="U463" s="211">
        <v>445</v>
      </c>
      <c r="V463" s="178">
        <v>4300432518.1854029</v>
      </c>
    </row>
    <row r="464" spans="21:22" x14ac:dyDescent="0.25">
      <c r="U464" s="211">
        <v>446</v>
      </c>
      <c r="V464" s="178">
        <v>8073184229.4604263</v>
      </c>
    </row>
    <row r="465" spans="21:22" x14ac:dyDescent="0.25">
      <c r="U465" s="211">
        <v>447</v>
      </c>
      <c r="V465" s="178">
        <v>7670844233.5023165</v>
      </c>
    </row>
    <row r="466" spans="21:22" x14ac:dyDescent="0.25">
      <c r="U466" s="211">
        <v>448</v>
      </c>
      <c r="V466" s="178">
        <v>13463716326.336983</v>
      </c>
    </row>
    <row r="467" spans="21:22" x14ac:dyDescent="0.25">
      <c r="U467" s="211">
        <v>449</v>
      </c>
      <c r="V467" s="178">
        <v>5414372972.2707586</v>
      </c>
    </row>
    <row r="468" spans="21:22" x14ac:dyDescent="0.25">
      <c r="U468" s="211">
        <v>450</v>
      </c>
      <c r="V468" s="178">
        <v>7159333789.6353111</v>
      </c>
    </row>
    <row r="469" spans="21:22" x14ac:dyDescent="0.25">
      <c r="U469" s="211">
        <v>451</v>
      </c>
      <c r="V469" s="178">
        <v>7264308568.5434952</v>
      </c>
    </row>
    <row r="470" spans="21:22" x14ac:dyDescent="0.25">
      <c r="U470" s="211">
        <v>452</v>
      </c>
      <c r="V470" s="178">
        <v>5328289713.118062</v>
      </c>
    </row>
    <row r="471" spans="21:22" x14ac:dyDescent="0.25">
      <c r="U471" s="211">
        <v>453</v>
      </c>
      <c r="V471" s="178">
        <v>5734624021.2626562</v>
      </c>
    </row>
    <row r="472" spans="21:22" x14ac:dyDescent="0.25">
      <c r="U472" s="211">
        <v>454</v>
      </c>
      <c r="V472" s="178">
        <v>4820051772.0729389</v>
      </c>
    </row>
    <row r="473" spans="21:22" x14ac:dyDescent="0.25">
      <c r="U473" s="211">
        <v>455</v>
      </c>
      <c r="V473" s="178">
        <v>15660232515.300337</v>
      </c>
    </row>
    <row r="474" spans="21:22" x14ac:dyDescent="0.25">
      <c r="U474" s="211">
        <v>456</v>
      </c>
      <c r="V474" s="178">
        <v>3998897658.3882089</v>
      </c>
    </row>
    <row r="475" spans="21:22" x14ac:dyDescent="0.25">
      <c r="U475" s="211">
        <v>457</v>
      </c>
      <c r="V475" s="178">
        <v>4301314910.4459524</v>
      </c>
    </row>
    <row r="476" spans="21:22" x14ac:dyDescent="0.25">
      <c r="U476" s="211">
        <v>458</v>
      </c>
      <c r="V476" s="178">
        <v>5086612945.3799686</v>
      </c>
    </row>
    <row r="477" spans="21:22" x14ac:dyDescent="0.25">
      <c r="U477" s="211">
        <v>459</v>
      </c>
      <c r="V477" s="178">
        <v>3761219706.8633413</v>
      </c>
    </row>
    <row r="478" spans="21:22" x14ac:dyDescent="0.25">
      <c r="U478" s="211">
        <v>460</v>
      </c>
      <c r="V478" s="178">
        <v>2957506937.1600904</v>
      </c>
    </row>
    <row r="479" spans="21:22" x14ac:dyDescent="0.25">
      <c r="U479" s="211">
        <v>461</v>
      </c>
      <c r="V479" s="178">
        <v>8993426294.8811131</v>
      </c>
    </row>
    <row r="480" spans="21:22" x14ac:dyDescent="0.25">
      <c r="U480" s="211">
        <v>462</v>
      </c>
      <c r="V480" s="178">
        <v>6274957870.8936062</v>
      </c>
    </row>
    <row r="481" spans="21:22" x14ac:dyDescent="0.25">
      <c r="U481" s="211">
        <v>463</v>
      </c>
      <c r="V481" s="178">
        <v>6242902713.6399097</v>
      </c>
    </row>
    <row r="482" spans="21:22" x14ac:dyDescent="0.25">
      <c r="U482" s="211">
        <v>464</v>
      </c>
      <c r="V482" s="178">
        <v>12875814812.683414</v>
      </c>
    </row>
    <row r="483" spans="21:22" x14ac:dyDescent="0.25">
      <c r="U483" s="211">
        <v>465</v>
      </c>
      <c r="V483" s="178">
        <v>4258879055.158133</v>
      </c>
    </row>
    <row r="484" spans="21:22" x14ac:dyDescent="0.25">
      <c r="U484" s="211">
        <v>466</v>
      </c>
      <c r="V484" s="178">
        <v>11342677546.403397</v>
      </c>
    </row>
    <row r="485" spans="21:22" x14ac:dyDescent="0.25">
      <c r="U485" s="211">
        <v>467</v>
      </c>
      <c r="V485" s="178">
        <v>5973415505.6043205</v>
      </c>
    </row>
    <row r="486" spans="21:22" x14ac:dyDescent="0.25">
      <c r="U486" s="211">
        <v>468</v>
      </c>
      <c r="V486" s="178">
        <v>4248613680.357482</v>
      </c>
    </row>
    <row r="487" spans="21:22" x14ac:dyDescent="0.25">
      <c r="U487" s="211">
        <v>469</v>
      </c>
      <c r="V487" s="178">
        <v>7714834173.2005882</v>
      </c>
    </row>
    <row r="488" spans="21:22" x14ac:dyDescent="0.25">
      <c r="U488" s="211">
        <v>470</v>
      </c>
      <c r="V488" s="178">
        <v>4248917265.1239614</v>
      </c>
    </row>
    <row r="489" spans="21:22" x14ac:dyDescent="0.25">
      <c r="U489" s="211">
        <v>471</v>
      </c>
      <c r="V489" s="178">
        <v>7787685735.5463772</v>
      </c>
    </row>
    <row r="490" spans="21:22" x14ac:dyDescent="0.25">
      <c r="U490" s="211">
        <v>472</v>
      </c>
      <c r="V490" s="178">
        <v>8313241773.3077211</v>
      </c>
    </row>
    <row r="491" spans="21:22" x14ac:dyDescent="0.25">
      <c r="U491" s="211">
        <v>473</v>
      </c>
      <c r="V491" s="178">
        <v>7948464657.4228821</v>
      </c>
    </row>
    <row r="492" spans="21:22" x14ac:dyDescent="0.25">
      <c r="U492" s="211">
        <v>474</v>
      </c>
      <c r="V492" s="178">
        <v>6954890246.768877</v>
      </c>
    </row>
    <row r="493" spans="21:22" x14ac:dyDescent="0.25">
      <c r="U493" s="211">
        <v>475</v>
      </c>
      <c r="V493" s="178">
        <v>7122747739.0787296</v>
      </c>
    </row>
    <row r="494" spans="21:22" x14ac:dyDescent="0.25">
      <c r="U494" s="211">
        <v>476</v>
      </c>
      <c r="V494" s="178">
        <v>14720746592.594765</v>
      </c>
    </row>
    <row r="495" spans="21:22" x14ac:dyDescent="0.25">
      <c r="U495" s="211">
        <v>477</v>
      </c>
      <c r="V495" s="178">
        <v>7352496252.9154205</v>
      </c>
    </row>
    <row r="496" spans="21:22" x14ac:dyDescent="0.25">
      <c r="U496" s="211">
        <v>478</v>
      </c>
      <c r="V496" s="178">
        <v>20550503564.378162</v>
      </c>
    </row>
    <row r="497" spans="21:22" x14ac:dyDescent="0.25">
      <c r="U497" s="211">
        <v>479</v>
      </c>
      <c r="V497" s="178">
        <v>5222674188.0207214</v>
      </c>
    </row>
    <row r="498" spans="21:22" x14ac:dyDescent="0.25">
      <c r="U498" s="211">
        <v>480</v>
      </c>
      <c r="V498" s="178">
        <v>5425211606.2352943</v>
      </c>
    </row>
    <row r="499" spans="21:22" x14ac:dyDescent="0.25">
      <c r="U499" s="211">
        <v>481</v>
      </c>
      <c r="V499" s="178">
        <v>8367124950.096776</v>
      </c>
    </row>
    <row r="500" spans="21:22" x14ac:dyDescent="0.25">
      <c r="U500" s="211">
        <v>482</v>
      </c>
      <c r="V500" s="178">
        <v>3822980310.7529573</v>
      </c>
    </row>
    <row r="501" spans="21:22" x14ac:dyDescent="0.25">
      <c r="U501" s="211">
        <v>483</v>
      </c>
      <c r="V501" s="178">
        <v>5279110354.752449</v>
      </c>
    </row>
    <row r="502" spans="21:22" x14ac:dyDescent="0.25">
      <c r="U502" s="211">
        <v>484</v>
      </c>
      <c r="V502" s="178">
        <v>13066748706.459097</v>
      </c>
    </row>
    <row r="503" spans="21:22" x14ac:dyDescent="0.25">
      <c r="U503" s="211">
        <v>485</v>
      </c>
      <c r="V503" s="178">
        <v>4749484798.24333</v>
      </c>
    </row>
    <row r="504" spans="21:22" x14ac:dyDescent="0.25">
      <c r="U504" s="211">
        <v>486</v>
      </c>
      <c r="V504" s="178">
        <v>7360298173.9942646</v>
      </c>
    </row>
    <row r="505" spans="21:22" x14ac:dyDescent="0.25">
      <c r="U505" s="211">
        <v>487</v>
      </c>
      <c r="V505" s="178">
        <v>8192804532.6015987</v>
      </c>
    </row>
    <row r="506" spans="21:22" x14ac:dyDescent="0.25">
      <c r="U506" s="211">
        <v>488</v>
      </c>
      <c r="V506" s="178">
        <v>3955176243.4916272</v>
      </c>
    </row>
    <row r="507" spans="21:22" x14ac:dyDescent="0.25">
      <c r="U507" s="211">
        <v>489</v>
      </c>
      <c r="V507" s="178">
        <v>10138908599.810892</v>
      </c>
    </row>
    <row r="508" spans="21:22" x14ac:dyDescent="0.25">
      <c r="U508" s="211">
        <v>490</v>
      </c>
      <c r="V508" s="178">
        <v>3857820777.0049448</v>
      </c>
    </row>
    <row r="509" spans="21:22" x14ac:dyDescent="0.25">
      <c r="U509" s="211">
        <v>491</v>
      </c>
      <c r="V509" s="178">
        <v>6627994110.3064919</v>
      </c>
    </row>
    <row r="510" spans="21:22" x14ac:dyDescent="0.25">
      <c r="U510" s="211">
        <v>492</v>
      </c>
      <c r="V510" s="178">
        <v>6016492478.8785696</v>
      </c>
    </row>
    <row r="511" spans="21:22" x14ac:dyDescent="0.25">
      <c r="U511" s="211">
        <v>493</v>
      </c>
      <c r="V511" s="178">
        <v>4487870374.4984818</v>
      </c>
    </row>
    <row r="512" spans="21:22" x14ac:dyDescent="0.25">
      <c r="U512" s="211">
        <v>494</v>
      </c>
      <c r="V512" s="178">
        <v>2989187672.2362542</v>
      </c>
    </row>
    <row r="513" spans="21:22" x14ac:dyDescent="0.25">
      <c r="U513" s="211">
        <v>495</v>
      </c>
      <c r="V513" s="178">
        <v>9866148237.1130505</v>
      </c>
    </row>
    <row r="514" spans="21:22" x14ac:dyDescent="0.25">
      <c r="U514" s="211">
        <v>496</v>
      </c>
      <c r="V514" s="178">
        <v>4456437067.8517246</v>
      </c>
    </row>
    <row r="515" spans="21:22" x14ac:dyDescent="0.25">
      <c r="U515" s="211">
        <v>497</v>
      </c>
      <c r="V515" s="178">
        <v>4507931066.9471703</v>
      </c>
    </row>
    <row r="516" spans="21:22" x14ac:dyDescent="0.25">
      <c r="U516" s="211">
        <v>498</v>
      </c>
      <c r="V516" s="178">
        <v>5572001484.0138025</v>
      </c>
    </row>
    <row r="517" spans="21:22" x14ac:dyDescent="0.25">
      <c r="U517" s="211">
        <v>499</v>
      </c>
      <c r="V517" s="178">
        <v>8173799863.0815125</v>
      </c>
    </row>
    <row r="518" spans="21:22" x14ac:dyDescent="0.25">
      <c r="U518" s="211">
        <v>500</v>
      </c>
      <c r="V518" s="178">
        <v>11434817096.044655</v>
      </c>
    </row>
    <row r="519" spans="21:22" x14ac:dyDescent="0.25">
      <c r="U519" s="211">
        <v>501</v>
      </c>
      <c r="V519" s="178">
        <v>7479061554.9737835</v>
      </c>
    </row>
    <row r="520" spans="21:22" x14ac:dyDescent="0.25">
      <c r="U520" s="211">
        <v>502</v>
      </c>
      <c r="V520" s="178">
        <v>6659019509.7437658</v>
      </c>
    </row>
    <row r="521" spans="21:22" x14ac:dyDescent="0.25">
      <c r="U521" s="211">
        <v>503</v>
      </c>
      <c r="V521" s="178">
        <v>4433504356.9209509</v>
      </c>
    </row>
    <row r="522" spans="21:22" x14ac:dyDescent="0.25">
      <c r="U522" s="211">
        <v>504</v>
      </c>
      <c r="V522" s="178">
        <v>6560224290.4632092</v>
      </c>
    </row>
    <row r="523" spans="21:22" x14ac:dyDescent="0.25">
      <c r="U523" s="211">
        <v>505</v>
      </c>
      <c r="V523" s="178">
        <v>9878684339.8551807</v>
      </c>
    </row>
    <row r="524" spans="21:22" x14ac:dyDescent="0.25">
      <c r="U524" s="211">
        <v>506</v>
      </c>
      <c r="V524" s="178">
        <v>9085622299.6492977</v>
      </c>
    </row>
    <row r="525" spans="21:22" x14ac:dyDescent="0.25">
      <c r="U525" s="211">
        <v>507</v>
      </c>
      <c r="V525" s="178">
        <v>5459066590.5212889</v>
      </c>
    </row>
    <row r="526" spans="21:22" x14ac:dyDescent="0.25">
      <c r="U526" s="211">
        <v>508</v>
      </c>
      <c r="V526" s="178">
        <v>11435136695.42522</v>
      </c>
    </row>
    <row r="527" spans="21:22" x14ac:dyDescent="0.25">
      <c r="U527" s="211">
        <v>509</v>
      </c>
      <c r="V527" s="178">
        <v>6039784087.2263107</v>
      </c>
    </row>
    <row r="528" spans="21:22" x14ac:dyDescent="0.25">
      <c r="U528" s="211">
        <v>510</v>
      </c>
      <c r="V528" s="178">
        <v>6739701347.7018843</v>
      </c>
    </row>
    <row r="529" spans="21:22" x14ac:dyDescent="0.25">
      <c r="U529" s="211">
        <v>511</v>
      </c>
      <c r="V529" s="178">
        <v>4961769337.0995779</v>
      </c>
    </row>
    <row r="530" spans="21:22" x14ac:dyDescent="0.25">
      <c r="U530" s="211">
        <v>512</v>
      </c>
      <c r="V530" s="178">
        <v>3619997855.1733432</v>
      </c>
    </row>
    <row r="531" spans="21:22" x14ac:dyDescent="0.25">
      <c r="U531" s="211">
        <v>513</v>
      </c>
      <c r="V531" s="178">
        <v>7347419133.0129852</v>
      </c>
    </row>
    <row r="532" spans="21:22" x14ac:dyDescent="0.25">
      <c r="U532" s="211">
        <v>514</v>
      </c>
      <c r="V532" s="178">
        <v>9624528784.2756062</v>
      </c>
    </row>
    <row r="533" spans="21:22" x14ac:dyDescent="0.25">
      <c r="U533" s="211">
        <v>515</v>
      </c>
      <c r="V533" s="178">
        <v>13236858583.514605</v>
      </c>
    </row>
    <row r="534" spans="21:22" x14ac:dyDescent="0.25">
      <c r="U534" s="211">
        <v>516</v>
      </c>
      <c r="V534" s="178">
        <v>3069868649.2467132</v>
      </c>
    </row>
    <row r="535" spans="21:22" x14ac:dyDescent="0.25">
      <c r="U535" s="211">
        <v>517</v>
      </c>
      <c r="V535" s="178">
        <v>2902052052.4483633</v>
      </c>
    </row>
    <row r="536" spans="21:22" x14ac:dyDescent="0.25">
      <c r="U536" s="211">
        <v>518</v>
      </c>
      <c r="V536" s="178">
        <v>9727423521.8622494</v>
      </c>
    </row>
    <row r="537" spans="21:22" x14ac:dyDescent="0.25">
      <c r="U537" s="211">
        <v>519</v>
      </c>
      <c r="V537" s="178">
        <v>5250604382.1919031</v>
      </c>
    </row>
    <row r="538" spans="21:22" x14ac:dyDescent="0.25">
      <c r="U538" s="211">
        <v>520</v>
      </c>
      <c r="V538" s="178">
        <v>3738768968.98139</v>
      </c>
    </row>
    <row r="539" spans="21:22" x14ac:dyDescent="0.25">
      <c r="U539" s="211">
        <v>521</v>
      </c>
      <c r="V539" s="178">
        <v>12942223224.157299</v>
      </c>
    </row>
    <row r="540" spans="21:22" x14ac:dyDescent="0.25">
      <c r="U540" s="211">
        <v>522</v>
      </c>
      <c r="V540" s="178">
        <v>6602482396.9775181</v>
      </c>
    </row>
    <row r="541" spans="21:22" x14ac:dyDescent="0.25">
      <c r="U541" s="211">
        <v>523</v>
      </c>
      <c r="V541" s="178">
        <v>17262114863.186459</v>
      </c>
    </row>
    <row r="542" spans="21:22" x14ac:dyDescent="0.25">
      <c r="U542" s="211">
        <v>524</v>
      </c>
      <c r="V542" s="178">
        <v>4561947193.6637058</v>
      </c>
    </row>
    <row r="543" spans="21:22" x14ac:dyDescent="0.25">
      <c r="U543" s="211">
        <v>525</v>
      </c>
      <c r="V543" s="178">
        <v>6230349634.8060627</v>
      </c>
    </row>
    <row r="544" spans="21:22" x14ac:dyDescent="0.25">
      <c r="U544" s="211">
        <v>526</v>
      </c>
      <c r="V544" s="178">
        <v>4780961201.8306551</v>
      </c>
    </row>
    <row r="545" spans="21:22" x14ac:dyDescent="0.25">
      <c r="U545" s="211">
        <v>527</v>
      </c>
      <c r="V545" s="178">
        <v>5856478677.0565662</v>
      </c>
    </row>
    <row r="546" spans="21:22" x14ac:dyDescent="0.25">
      <c r="U546" s="211">
        <v>528</v>
      </c>
      <c r="V546" s="178">
        <v>9870029257.4913788</v>
      </c>
    </row>
    <row r="547" spans="21:22" x14ac:dyDescent="0.25">
      <c r="U547" s="211">
        <v>529</v>
      </c>
      <c r="V547" s="178">
        <v>3829608803.8949146</v>
      </c>
    </row>
    <row r="548" spans="21:22" x14ac:dyDescent="0.25">
      <c r="U548" s="211">
        <v>530</v>
      </c>
      <c r="V548" s="178">
        <v>6755973702.8586626</v>
      </c>
    </row>
    <row r="549" spans="21:22" x14ac:dyDescent="0.25">
      <c r="U549" s="211">
        <v>531</v>
      </c>
      <c r="V549" s="178">
        <v>7785326704.2890129</v>
      </c>
    </row>
    <row r="550" spans="21:22" x14ac:dyDescent="0.25">
      <c r="U550" s="211">
        <v>532</v>
      </c>
      <c r="V550" s="178">
        <v>6661657821.7168894</v>
      </c>
    </row>
    <row r="551" spans="21:22" x14ac:dyDescent="0.25">
      <c r="U551" s="211">
        <v>533</v>
      </c>
      <c r="V551" s="178">
        <v>5486208806.6018867</v>
      </c>
    </row>
    <row r="552" spans="21:22" x14ac:dyDescent="0.25">
      <c r="U552" s="211">
        <v>534</v>
      </c>
      <c r="V552" s="178">
        <v>4939274830.3126326</v>
      </c>
    </row>
    <row r="553" spans="21:22" x14ac:dyDescent="0.25">
      <c r="U553" s="211">
        <v>535</v>
      </c>
      <c r="V553" s="178">
        <v>5257912820.953001</v>
      </c>
    </row>
    <row r="554" spans="21:22" x14ac:dyDescent="0.25">
      <c r="U554" s="211">
        <v>536</v>
      </c>
      <c r="V554" s="178">
        <v>6143993218.2868347</v>
      </c>
    </row>
    <row r="555" spans="21:22" x14ac:dyDescent="0.25">
      <c r="U555" s="211">
        <v>537</v>
      </c>
      <c r="V555" s="178">
        <v>5077694823.825985</v>
      </c>
    </row>
    <row r="556" spans="21:22" x14ac:dyDescent="0.25">
      <c r="U556" s="211">
        <v>538</v>
      </c>
      <c r="V556" s="178">
        <v>3782871232.8110828</v>
      </c>
    </row>
    <row r="557" spans="21:22" x14ac:dyDescent="0.25">
      <c r="U557" s="211">
        <v>539</v>
      </c>
      <c r="V557" s="178">
        <v>5653481756.5505714</v>
      </c>
    </row>
    <row r="558" spans="21:22" x14ac:dyDescent="0.25">
      <c r="U558" s="211">
        <v>540</v>
      </c>
      <c r="V558" s="178">
        <v>6324905335.1516218</v>
      </c>
    </row>
    <row r="559" spans="21:22" x14ac:dyDescent="0.25">
      <c r="U559" s="211">
        <v>541</v>
      </c>
      <c r="V559" s="178">
        <v>4283466415.4891319</v>
      </c>
    </row>
    <row r="560" spans="21:22" x14ac:dyDescent="0.25">
      <c r="U560" s="211">
        <v>542</v>
      </c>
      <c r="V560" s="178">
        <v>5623773814.0635529</v>
      </c>
    </row>
    <row r="561" spans="21:22" x14ac:dyDescent="0.25">
      <c r="U561" s="211">
        <v>543</v>
      </c>
      <c r="V561" s="178">
        <v>3279755002.3531928</v>
      </c>
    </row>
    <row r="562" spans="21:22" x14ac:dyDescent="0.25">
      <c r="U562" s="211">
        <v>544</v>
      </c>
      <c r="V562" s="178">
        <v>6249621307.1417408</v>
      </c>
    </row>
    <row r="563" spans="21:22" x14ac:dyDescent="0.25">
      <c r="U563" s="211">
        <v>545</v>
      </c>
      <c r="V563" s="178">
        <v>5518150377.7223597</v>
      </c>
    </row>
    <row r="564" spans="21:22" x14ac:dyDescent="0.25">
      <c r="U564" s="211">
        <v>546</v>
      </c>
      <c r="V564" s="178">
        <v>5653898010.8906803</v>
      </c>
    </row>
    <row r="565" spans="21:22" x14ac:dyDescent="0.25">
      <c r="U565" s="211">
        <v>547</v>
      </c>
      <c r="V565" s="178">
        <v>8727028464.428915</v>
      </c>
    </row>
    <row r="566" spans="21:22" x14ac:dyDescent="0.25">
      <c r="U566" s="211">
        <v>548</v>
      </c>
      <c r="V566" s="178">
        <v>5518689623.6591349</v>
      </c>
    </row>
    <row r="567" spans="21:22" x14ac:dyDescent="0.25">
      <c r="U567" s="211">
        <v>549</v>
      </c>
      <c r="V567" s="178">
        <v>5875461355.926384</v>
      </c>
    </row>
    <row r="568" spans="21:22" x14ac:dyDescent="0.25">
      <c r="U568" s="211">
        <v>550</v>
      </c>
      <c r="V568" s="178">
        <v>5781143681.0019884</v>
      </c>
    </row>
    <row r="569" spans="21:22" x14ac:dyDescent="0.25">
      <c r="U569" s="211">
        <v>551</v>
      </c>
      <c r="V569" s="178">
        <v>7638025231.1731529</v>
      </c>
    </row>
    <row r="570" spans="21:22" x14ac:dyDescent="0.25">
      <c r="U570" s="211">
        <v>552</v>
      </c>
      <c r="V570" s="178">
        <v>5543336610.8911705</v>
      </c>
    </row>
    <row r="571" spans="21:22" x14ac:dyDescent="0.25">
      <c r="U571" s="211">
        <v>553</v>
      </c>
      <c r="V571" s="178">
        <v>7617353671.9443588</v>
      </c>
    </row>
    <row r="572" spans="21:22" x14ac:dyDescent="0.25">
      <c r="U572" s="211">
        <v>554</v>
      </c>
      <c r="V572" s="178">
        <v>5117215633.498517</v>
      </c>
    </row>
    <row r="573" spans="21:22" x14ac:dyDescent="0.25">
      <c r="U573" s="211">
        <v>555</v>
      </c>
      <c r="V573" s="178">
        <v>5163902686.6656532</v>
      </c>
    </row>
    <row r="574" spans="21:22" x14ac:dyDescent="0.25">
      <c r="U574" s="211">
        <v>556</v>
      </c>
      <c r="V574" s="178">
        <v>6214399552.8892183</v>
      </c>
    </row>
    <row r="575" spans="21:22" x14ac:dyDescent="0.25">
      <c r="U575" s="211">
        <v>557</v>
      </c>
      <c r="V575" s="178">
        <v>5907403386.8319035</v>
      </c>
    </row>
    <row r="576" spans="21:22" x14ac:dyDescent="0.25">
      <c r="U576" s="211">
        <v>558</v>
      </c>
      <c r="V576" s="178">
        <v>6629874782.6278152</v>
      </c>
    </row>
    <row r="577" spans="21:22" x14ac:dyDescent="0.25">
      <c r="U577" s="211">
        <v>559</v>
      </c>
      <c r="V577" s="178">
        <v>5056285049.7134476</v>
      </c>
    </row>
    <row r="578" spans="21:22" x14ac:dyDescent="0.25">
      <c r="U578" s="211">
        <v>560</v>
      </c>
      <c r="V578" s="178">
        <v>10163042095.135246</v>
      </c>
    </row>
    <row r="579" spans="21:22" x14ac:dyDescent="0.25">
      <c r="U579" s="211">
        <v>561</v>
      </c>
      <c r="V579" s="178">
        <v>5326895751.6838751</v>
      </c>
    </row>
    <row r="580" spans="21:22" x14ac:dyDescent="0.25">
      <c r="U580" s="211">
        <v>562</v>
      </c>
      <c r="V580" s="178">
        <v>9817877154.7782001</v>
      </c>
    </row>
    <row r="581" spans="21:22" x14ac:dyDescent="0.25">
      <c r="U581" s="211">
        <v>563</v>
      </c>
      <c r="V581" s="178">
        <v>10584269142.198725</v>
      </c>
    </row>
    <row r="582" spans="21:22" x14ac:dyDescent="0.25">
      <c r="U582" s="211">
        <v>564</v>
      </c>
      <c r="V582" s="178">
        <v>4376454304.21278</v>
      </c>
    </row>
    <row r="583" spans="21:22" x14ac:dyDescent="0.25">
      <c r="U583" s="211">
        <v>565</v>
      </c>
      <c r="V583" s="178">
        <v>6303142175.3495865</v>
      </c>
    </row>
    <row r="584" spans="21:22" x14ac:dyDescent="0.25">
      <c r="U584" s="211">
        <v>566</v>
      </c>
      <c r="V584" s="178">
        <v>4945883089.9382687</v>
      </c>
    </row>
    <row r="585" spans="21:22" x14ac:dyDescent="0.25">
      <c r="U585" s="211">
        <v>567</v>
      </c>
      <c r="V585" s="178">
        <v>5403777508.4716549</v>
      </c>
    </row>
    <row r="586" spans="21:22" x14ac:dyDescent="0.25">
      <c r="U586" s="211">
        <v>568</v>
      </c>
      <c r="V586" s="178">
        <v>3936041456.9522648</v>
      </c>
    </row>
    <row r="587" spans="21:22" x14ac:dyDescent="0.25">
      <c r="U587" s="211">
        <v>569</v>
      </c>
      <c r="V587" s="178">
        <v>2482223623.5024838</v>
      </c>
    </row>
    <row r="588" spans="21:22" x14ac:dyDescent="0.25">
      <c r="U588" s="211">
        <v>570</v>
      </c>
      <c r="V588" s="178">
        <v>8665926110.5623589</v>
      </c>
    </row>
    <row r="589" spans="21:22" x14ac:dyDescent="0.25">
      <c r="U589" s="211">
        <v>571</v>
      </c>
      <c r="V589" s="178">
        <v>4992523993.6990042</v>
      </c>
    </row>
    <row r="590" spans="21:22" x14ac:dyDescent="0.25">
      <c r="U590" s="211">
        <v>572</v>
      </c>
      <c r="V590" s="178">
        <v>5729109684.0010252</v>
      </c>
    </row>
    <row r="591" spans="21:22" x14ac:dyDescent="0.25">
      <c r="U591" s="211">
        <v>573</v>
      </c>
      <c r="V591" s="178">
        <v>7931222914.6172428</v>
      </c>
    </row>
    <row r="592" spans="21:22" x14ac:dyDescent="0.25">
      <c r="U592" s="211">
        <v>574</v>
      </c>
      <c r="V592" s="178">
        <v>5047636399.3916407</v>
      </c>
    </row>
    <row r="593" spans="21:22" x14ac:dyDescent="0.25">
      <c r="U593" s="211">
        <v>575</v>
      </c>
      <c r="V593" s="178">
        <v>6010565826.2507792</v>
      </c>
    </row>
    <row r="594" spans="21:22" x14ac:dyDescent="0.25">
      <c r="U594" s="211">
        <v>576</v>
      </c>
      <c r="V594" s="178">
        <v>11414549533.048794</v>
      </c>
    </row>
    <row r="595" spans="21:22" x14ac:dyDescent="0.25">
      <c r="U595" s="211">
        <v>577</v>
      </c>
      <c r="V595" s="178">
        <v>6054193799.8141909</v>
      </c>
    </row>
    <row r="596" spans="21:22" x14ac:dyDescent="0.25">
      <c r="U596" s="211">
        <v>578</v>
      </c>
      <c r="V596" s="178">
        <v>7813608035.3504686</v>
      </c>
    </row>
    <row r="597" spans="21:22" x14ac:dyDescent="0.25">
      <c r="U597" s="211">
        <v>579</v>
      </c>
      <c r="V597" s="178">
        <v>4048299539.7503004</v>
      </c>
    </row>
    <row r="598" spans="21:22" x14ac:dyDescent="0.25">
      <c r="U598" s="211">
        <v>580</v>
      </c>
      <c r="V598" s="178">
        <v>6031148882.6315517</v>
      </c>
    </row>
    <row r="599" spans="21:22" x14ac:dyDescent="0.25">
      <c r="U599" s="211">
        <v>581</v>
      </c>
      <c r="V599" s="178">
        <v>11761258649.617205</v>
      </c>
    </row>
    <row r="600" spans="21:22" x14ac:dyDescent="0.25">
      <c r="U600" s="211">
        <v>582</v>
      </c>
      <c r="V600" s="178">
        <v>7504616799.118392</v>
      </c>
    </row>
    <row r="601" spans="21:22" x14ac:dyDescent="0.25">
      <c r="U601" s="211">
        <v>583</v>
      </c>
      <c r="V601" s="178">
        <v>4915613593.8000269</v>
      </c>
    </row>
    <row r="602" spans="21:22" x14ac:dyDescent="0.25">
      <c r="U602" s="211">
        <v>584</v>
      </c>
      <c r="V602" s="178">
        <v>8562266580.3361425</v>
      </c>
    </row>
    <row r="603" spans="21:22" x14ac:dyDescent="0.25">
      <c r="U603" s="211">
        <v>585</v>
      </c>
      <c r="V603" s="178">
        <v>9692582419.613718</v>
      </c>
    </row>
    <row r="604" spans="21:22" x14ac:dyDescent="0.25">
      <c r="U604" s="211">
        <v>586</v>
      </c>
      <c r="V604" s="178">
        <v>2939114151.9317679</v>
      </c>
    </row>
    <row r="605" spans="21:22" x14ac:dyDescent="0.25">
      <c r="U605" s="211">
        <v>587</v>
      </c>
      <c r="V605" s="178">
        <v>4867397341.9427032</v>
      </c>
    </row>
    <row r="606" spans="21:22" x14ac:dyDescent="0.25">
      <c r="U606" s="211">
        <v>588</v>
      </c>
      <c r="V606" s="178">
        <v>7108179764.035018</v>
      </c>
    </row>
    <row r="607" spans="21:22" x14ac:dyDescent="0.25">
      <c r="U607" s="211">
        <v>589</v>
      </c>
      <c r="V607" s="178">
        <v>5747093937.0582085</v>
      </c>
    </row>
    <row r="608" spans="21:22" x14ac:dyDescent="0.25">
      <c r="U608" s="211">
        <v>590</v>
      </c>
      <c r="V608" s="178">
        <v>10008740835.628042</v>
      </c>
    </row>
    <row r="609" spans="21:22" x14ac:dyDescent="0.25">
      <c r="U609" s="211">
        <v>591</v>
      </c>
      <c r="V609" s="178">
        <v>3863891278.0231681</v>
      </c>
    </row>
    <row r="610" spans="21:22" x14ac:dyDescent="0.25">
      <c r="U610" s="211">
        <v>592</v>
      </c>
      <c r="V610" s="178">
        <v>4325307566.8376284</v>
      </c>
    </row>
    <row r="611" spans="21:22" x14ac:dyDescent="0.25">
      <c r="U611" s="211">
        <v>593</v>
      </c>
      <c r="V611" s="178">
        <v>4459709061.8161287</v>
      </c>
    </row>
    <row r="612" spans="21:22" x14ac:dyDescent="0.25">
      <c r="U612" s="211">
        <v>594</v>
      </c>
      <c r="V612" s="178">
        <v>5868852011.2130442</v>
      </c>
    </row>
    <row r="613" spans="21:22" x14ac:dyDescent="0.25">
      <c r="U613" s="211">
        <v>595</v>
      </c>
      <c r="V613" s="178">
        <v>6271391621.3431644</v>
      </c>
    </row>
    <row r="614" spans="21:22" x14ac:dyDescent="0.25">
      <c r="U614" s="211">
        <v>596</v>
      </c>
      <c r="V614" s="178">
        <v>7049302052.845212</v>
      </c>
    </row>
    <row r="615" spans="21:22" x14ac:dyDescent="0.25">
      <c r="U615" s="211">
        <v>597</v>
      </c>
      <c r="V615" s="178">
        <v>3811899294.6856103</v>
      </c>
    </row>
    <row r="616" spans="21:22" x14ac:dyDescent="0.25">
      <c r="U616" s="211">
        <v>598</v>
      </c>
      <c r="V616" s="178">
        <v>18110731724.327232</v>
      </c>
    </row>
    <row r="617" spans="21:22" x14ac:dyDescent="0.25">
      <c r="U617" s="211">
        <v>599</v>
      </c>
      <c r="V617" s="178">
        <v>16846832120.853235</v>
      </c>
    </row>
    <row r="618" spans="21:22" x14ac:dyDescent="0.25">
      <c r="U618" s="211">
        <v>600</v>
      </c>
      <c r="V618" s="178">
        <v>6444366326.8806782</v>
      </c>
    </row>
    <row r="619" spans="21:22" x14ac:dyDescent="0.25">
      <c r="U619" s="211">
        <v>601</v>
      </c>
      <c r="V619" s="178">
        <v>9501896809.8610954</v>
      </c>
    </row>
    <row r="620" spans="21:22" x14ac:dyDescent="0.25">
      <c r="U620" s="211">
        <v>602</v>
      </c>
      <c r="V620" s="178">
        <v>10170045054.486622</v>
      </c>
    </row>
    <row r="621" spans="21:22" x14ac:dyDescent="0.25">
      <c r="U621" s="211">
        <v>603</v>
      </c>
      <c r="V621" s="178">
        <v>8993815536.2803612</v>
      </c>
    </row>
    <row r="622" spans="21:22" x14ac:dyDescent="0.25">
      <c r="U622" s="211">
        <v>604</v>
      </c>
      <c r="V622" s="178">
        <v>5050479839.7113447</v>
      </c>
    </row>
    <row r="623" spans="21:22" x14ac:dyDescent="0.25">
      <c r="U623" s="211">
        <v>605</v>
      </c>
      <c r="V623" s="178">
        <v>4881360944.9245472</v>
      </c>
    </row>
    <row r="624" spans="21:22" x14ac:dyDescent="0.25">
      <c r="U624" s="211">
        <v>606</v>
      </c>
      <c r="V624" s="178">
        <v>13194127322.270527</v>
      </c>
    </row>
    <row r="625" spans="21:22" x14ac:dyDescent="0.25">
      <c r="U625" s="211">
        <v>607</v>
      </c>
      <c r="V625" s="178">
        <v>5829437824.3045683</v>
      </c>
    </row>
    <row r="626" spans="21:22" x14ac:dyDescent="0.25">
      <c r="U626" s="211">
        <v>608</v>
      </c>
      <c r="V626" s="178">
        <v>5528551056.7044477</v>
      </c>
    </row>
    <row r="627" spans="21:22" x14ac:dyDescent="0.25">
      <c r="U627" s="211">
        <v>609</v>
      </c>
      <c r="V627" s="178">
        <v>6659661056.3952169</v>
      </c>
    </row>
    <row r="628" spans="21:22" x14ac:dyDescent="0.25">
      <c r="U628" s="211">
        <v>610</v>
      </c>
      <c r="V628" s="178">
        <v>5784192459.7146149</v>
      </c>
    </row>
    <row r="629" spans="21:22" x14ac:dyDescent="0.25">
      <c r="U629" s="211">
        <v>611</v>
      </c>
      <c r="V629" s="178">
        <v>7852646416.6665802</v>
      </c>
    </row>
    <row r="630" spans="21:22" x14ac:dyDescent="0.25">
      <c r="U630" s="211">
        <v>612</v>
      </c>
      <c r="V630" s="178">
        <v>7482010052.6160088</v>
      </c>
    </row>
    <row r="631" spans="21:22" x14ac:dyDescent="0.25">
      <c r="U631" s="211">
        <v>613</v>
      </c>
      <c r="V631" s="178">
        <v>7247321097.8158789</v>
      </c>
    </row>
    <row r="632" spans="21:22" x14ac:dyDescent="0.25">
      <c r="U632" s="211">
        <v>614</v>
      </c>
      <c r="V632" s="178">
        <v>3332834275.0123882</v>
      </c>
    </row>
    <row r="633" spans="21:22" x14ac:dyDescent="0.25">
      <c r="U633" s="211">
        <v>615</v>
      </c>
      <c r="V633" s="178">
        <v>9272867497.77528</v>
      </c>
    </row>
    <row r="634" spans="21:22" x14ac:dyDescent="0.25">
      <c r="U634" s="211">
        <v>616</v>
      </c>
      <c r="V634" s="178">
        <v>5165650714.9236135</v>
      </c>
    </row>
    <row r="635" spans="21:22" x14ac:dyDescent="0.25">
      <c r="U635" s="211">
        <v>617</v>
      </c>
      <c r="V635" s="178">
        <v>9374982416.868309</v>
      </c>
    </row>
    <row r="636" spans="21:22" x14ac:dyDescent="0.25">
      <c r="U636" s="211">
        <v>618</v>
      </c>
      <c r="V636" s="178">
        <v>4441955986.1913967</v>
      </c>
    </row>
    <row r="637" spans="21:22" x14ac:dyDescent="0.25">
      <c r="U637" s="211">
        <v>619</v>
      </c>
      <c r="V637" s="178">
        <v>9311132845.8419418</v>
      </c>
    </row>
    <row r="638" spans="21:22" x14ac:dyDescent="0.25">
      <c r="U638" s="211">
        <v>620</v>
      </c>
      <c r="V638" s="178">
        <v>7376946506.0245619</v>
      </c>
    </row>
    <row r="639" spans="21:22" x14ac:dyDescent="0.25">
      <c r="U639" s="211">
        <v>621</v>
      </c>
      <c r="V639" s="178">
        <v>7393769269.3768339</v>
      </c>
    </row>
    <row r="640" spans="21:22" x14ac:dyDescent="0.25">
      <c r="U640" s="211">
        <v>622</v>
      </c>
      <c r="V640" s="178">
        <v>5804578067.6621704</v>
      </c>
    </row>
    <row r="641" spans="21:22" x14ac:dyDescent="0.25">
      <c r="U641" s="211">
        <v>623</v>
      </c>
      <c r="V641" s="178">
        <v>3864534791.9006481</v>
      </c>
    </row>
    <row r="642" spans="21:22" x14ac:dyDescent="0.25">
      <c r="U642" s="211">
        <v>624</v>
      </c>
      <c r="V642" s="178">
        <v>2672672696.2437692</v>
      </c>
    </row>
    <row r="643" spans="21:22" x14ac:dyDescent="0.25">
      <c r="U643" s="211">
        <v>625</v>
      </c>
      <c r="V643" s="178">
        <v>5416752309.8536167</v>
      </c>
    </row>
    <row r="644" spans="21:22" x14ac:dyDescent="0.25">
      <c r="U644" s="211">
        <v>626</v>
      </c>
      <c r="V644" s="178">
        <v>2489001654.5287166</v>
      </c>
    </row>
    <row r="645" spans="21:22" x14ac:dyDescent="0.25">
      <c r="U645" s="211">
        <v>627</v>
      </c>
      <c r="V645" s="178">
        <v>4264067804.6444654</v>
      </c>
    </row>
    <row r="646" spans="21:22" x14ac:dyDescent="0.25">
      <c r="U646" s="211">
        <v>628</v>
      </c>
      <c r="V646" s="178">
        <v>5856171368.9804277</v>
      </c>
    </row>
    <row r="647" spans="21:22" x14ac:dyDescent="0.25">
      <c r="U647" s="211">
        <v>629</v>
      </c>
      <c r="V647" s="178">
        <v>12723049734.692818</v>
      </c>
    </row>
    <row r="648" spans="21:22" x14ac:dyDescent="0.25">
      <c r="U648" s="211">
        <v>630</v>
      </c>
      <c r="V648" s="178">
        <v>13152824063.298635</v>
      </c>
    </row>
    <row r="649" spans="21:22" x14ac:dyDescent="0.25">
      <c r="U649" s="211">
        <v>631</v>
      </c>
      <c r="V649" s="178">
        <v>7654580398.3376465</v>
      </c>
    </row>
    <row r="650" spans="21:22" x14ac:dyDescent="0.25">
      <c r="U650" s="211">
        <v>632</v>
      </c>
      <c r="V650" s="178">
        <v>5228116042.586937</v>
      </c>
    </row>
    <row r="651" spans="21:22" x14ac:dyDescent="0.25">
      <c r="U651" s="211">
        <v>633</v>
      </c>
      <c r="V651" s="178">
        <v>5711226126.0715332</v>
      </c>
    </row>
    <row r="652" spans="21:22" x14ac:dyDescent="0.25">
      <c r="U652" s="211">
        <v>634</v>
      </c>
      <c r="V652" s="178">
        <v>7111027288.5430441</v>
      </c>
    </row>
    <row r="653" spans="21:22" x14ac:dyDescent="0.25">
      <c r="U653" s="211">
        <v>635</v>
      </c>
      <c r="V653" s="178">
        <v>4460457032.8932047</v>
      </c>
    </row>
    <row r="654" spans="21:22" x14ac:dyDescent="0.25">
      <c r="U654" s="211">
        <v>636</v>
      </c>
      <c r="V654" s="178">
        <v>24823111291.804585</v>
      </c>
    </row>
    <row r="655" spans="21:22" x14ac:dyDescent="0.25">
      <c r="U655" s="211">
        <v>637</v>
      </c>
      <c r="V655" s="178">
        <v>5069234498.1699724</v>
      </c>
    </row>
    <row r="656" spans="21:22" x14ac:dyDescent="0.25">
      <c r="U656" s="211">
        <v>638</v>
      </c>
      <c r="V656" s="178">
        <v>6670792372.4980173</v>
      </c>
    </row>
    <row r="657" spans="21:22" x14ac:dyDescent="0.25">
      <c r="U657" s="211">
        <v>639</v>
      </c>
      <c r="V657" s="178">
        <v>4227148305.0727305</v>
      </c>
    </row>
    <row r="658" spans="21:22" x14ac:dyDescent="0.25">
      <c r="U658" s="211">
        <v>640</v>
      </c>
      <c r="V658" s="178">
        <v>5617529023.9756718</v>
      </c>
    </row>
    <row r="659" spans="21:22" x14ac:dyDescent="0.25">
      <c r="U659" s="211">
        <v>641</v>
      </c>
      <c r="V659" s="178">
        <v>6750755013.4233751</v>
      </c>
    </row>
    <row r="660" spans="21:22" x14ac:dyDescent="0.25">
      <c r="U660" s="211">
        <v>642</v>
      </c>
      <c r="V660" s="178">
        <v>5672885503.7223577</v>
      </c>
    </row>
    <row r="661" spans="21:22" x14ac:dyDescent="0.25">
      <c r="U661" s="211">
        <v>643</v>
      </c>
      <c r="V661" s="178">
        <v>5050356893.3719854</v>
      </c>
    </row>
    <row r="662" spans="21:22" x14ac:dyDescent="0.25">
      <c r="U662" s="211">
        <v>644</v>
      </c>
      <c r="V662" s="178">
        <v>5277786030.1540985</v>
      </c>
    </row>
    <row r="663" spans="21:22" x14ac:dyDescent="0.25">
      <c r="U663" s="211">
        <v>645</v>
      </c>
      <c r="V663" s="178">
        <v>4231831737.6104403</v>
      </c>
    </row>
    <row r="664" spans="21:22" x14ac:dyDescent="0.25">
      <c r="U664" s="211">
        <v>646</v>
      </c>
      <c r="V664" s="178">
        <v>11311601390.446802</v>
      </c>
    </row>
    <row r="665" spans="21:22" x14ac:dyDescent="0.25">
      <c r="U665" s="211">
        <v>647</v>
      </c>
      <c r="V665" s="178">
        <v>4559400482.3186617</v>
      </c>
    </row>
    <row r="666" spans="21:22" x14ac:dyDescent="0.25">
      <c r="U666" s="211">
        <v>648</v>
      </c>
      <c r="V666" s="178">
        <v>5062886562.6453381</v>
      </c>
    </row>
    <row r="667" spans="21:22" x14ac:dyDescent="0.25">
      <c r="U667" s="211">
        <v>649</v>
      </c>
      <c r="V667" s="178">
        <v>6058734045.4958639</v>
      </c>
    </row>
    <row r="668" spans="21:22" x14ac:dyDescent="0.25">
      <c r="U668" s="211">
        <v>650</v>
      </c>
      <c r="V668" s="178">
        <v>3896475943.6406589</v>
      </c>
    </row>
    <row r="669" spans="21:22" x14ac:dyDescent="0.25">
      <c r="U669" s="211">
        <v>651</v>
      </c>
      <c r="V669" s="178">
        <v>6854478544.2284117</v>
      </c>
    </row>
    <row r="670" spans="21:22" x14ac:dyDescent="0.25">
      <c r="U670" s="211">
        <v>652</v>
      </c>
      <c r="V670" s="178">
        <v>8717679318.0504665</v>
      </c>
    </row>
    <row r="671" spans="21:22" x14ac:dyDescent="0.25">
      <c r="U671" s="211">
        <v>653</v>
      </c>
      <c r="V671" s="178">
        <v>11838247089.026264</v>
      </c>
    </row>
    <row r="672" spans="21:22" x14ac:dyDescent="0.25">
      <c r="U672" s="211">
        <v>654</v>
      </c>
      <c r="V672" s="178">
        <v>2993828316.9421616</v>
      </c>
    </row>
    <row r="673" spans="21:22" x14ac:dyDescent="0.25">
      <c r="U673" s="211">
        <v>655</v>
      </c>
      <c r="V673" s="178">
        <v>5875992926.5496082</v>
      </c>
    </row>
    <row r="674" spans="21:22" x14ac:dyDescent="0.25">
      <c r="U674" s="211">
        <v>656</v>
      </c>
      <c r="V674" s="178">
        <v>4889643346.9141436</v>
      </c>
    </row>
    <row r="675" spans="21:22" x14ac:dyDescent="0.25">
      <c r="U675" s="211">
        <v>657</v>
      </c>
      <c r="V675" s="178">
        <v>11646506046.574518</v>
      </c>
    </row>
    <row r="676" spans="21:22" x14ac:dyDescent="0.25">
      <c r="U676" s="211">
        <v>658</v>
      </c>
      <c r="V676" s="178">
        <v>5613866194.0351896</v>
      </c>
    </row>
    <row r="677" spans="21:22" x14ac:dyDescent="0.25">
      <c r="U677" s="211">
        <v>659</v>
      </c>
      <c r="V677" s="178">
        <v>7827653643.6562815</v>
      </c>
    </row>
    <row r="678" spans="21:22" x14ac:dyDescent="0.25">
      <c r="U678" s="211">
        <v>660</v>
      </c>
      <c r="V678" s="178">
        <v>5910898039.6034184</v>
      </c>
    </row>
    <row r="679" spans="21:22" x14ac:dyDescent="0.25">
      <c r="U679" s="211">
        <v>661</v>
      </c>
      <c r="V679" s="178">
        <v>7553372532.1297245</v>
      </c>
    </row>
    <row r="680" spans="21:22" x14ac:dyDescent="0.25">
      <c r="U680" s="211">
        <v>662</v>
      </c>
      <c r="V680" s="178">
        <v>5332262547.3876591</v>
      </c>
    </row>
    <row r="681" spans="21:22" x14ac:dyDescent="0.25">
      <c r="U681" s="211">
        <v>663</v>
      </c>
      <c r="V681" s="178">
        <v>3041020862.5515809</v>
      </c>
    </row>
    <row r="682" spans="21:22" x14ac:dyDescent="0.25">
      <c r="U682" s="211">
        <v>664</v>
      </c>
      <c r="V682" s="178">
        <v>3489871996.4194298</v>
      </c>
    </row>
    <row r="683" spans="21:22" x14ac:dyDescent="0.25">
      <c r="U683" s="211">
        <v>665</v>
      </c>
      <c r="V683" s="178">
        <v>9421518159.783844</v>
      </c>
    </row>
    <row r="684" spans="21:22" x14ac:dyDescent="0.25">
      <c r="U684" s="211">
        <v>666</v>
      </c>
      <c r="V684" s="178">
        <v>14393619955.703821</v>
      </c>
    </row>
    <row r="685" spans="21:22" x14ac:dyDescent="0.25">
      <c r="U685" s="211">
        <v>667</v>
      </c>
      <c r="V685" s="178">
        <v>8464329655.4052429</v>
      </c>
    </row>
    <row r="686" spans="21:22" x14ac:dyDescent="0.25">
      <c r="U686" s="211">
        <v>668</v>
      </c>
      <c r="V686" s="178">
        <v>5566603195.1791296</v>
      </c>
    </row>
    <row r="687" spans="21:22" x14ac:dyDescent="0.25">
      <c r="U687" s="211">
        <v>669</v>
      </c>
      <c r="V687" s="178">
        <v>4142181450.453423</v>
      </c>
    </row>
    <row r="688" spans="21:22" x14ac:dyDescent="0.25">
      <c r="U688" s="211">
        <v>670</v>
      </c>
      <c r="V688" s="178">
        <v>8358126199.2830076</v>
      </c>
    </row>
    <row r="689" spans="21:22" x14ac:dyDescent="0.25">
      <c r="U689" s="211">
        <v>671</v>
      </c>
      <c r="V689" s="178">
        <v>5251577146.3050385</v>
      </c>
    </row>
    <row r="690" spans="21:22" x14ac:dyDescent="0.25">
      <c r="U690" s="211">
        <v>672</v>
      </c>
      <c r="V690" s="178">
        <v>3713444066.2791638</v>
      </c>
    </row>
    <row r="691" spans="21:22" x14ac:dyDescent="0.25">
      <c r="U691" s="211">
        <v>673</v>
      </c>
      <c r="V691" s="178">
        <v>3423114043.5152273</v>
      </c>
    </row>
    <row r="692" spans="21:22" x14ac:dyDescent="0.25">
      <c r="U692" s="211">
        <v>674</v>
      </c>
      <c r="V692" s="178">
        <v>6755607662.8633099</v>
      </c>
    </row>
    <row r="693" spans="21:22" x14ac:dyDescent="0.25">
      <c r="U693" s="211">
        <v>675</v>
      </c>
      <c r="V693" s="178">
        <v>6159099665.0868435</v>
      </c>
    </row>
    <row r="694" spans="21:22" x14ac:dyDescent="0.25">
      <c r="U694" s="211">
        <v>676</v>
      </c>
      <c r="V694" s="178">
        <v>5830640090.602087</v>
      </c>
    </row>
    <row r="695" spans="21:22" x14ac:dyDescent="0.25">
      <c r="U695" s="211">
        <v>677</v>
      </c>
      <c r="V695" s="178">
        <v>5920005197.5460014</v>
      </c>
    </row>
    <row r="696" spans="21:22" x14ac:dyDescent="0.25">
      <c r="U696" s="211">
        <v>678</v>
      </c>
      <c r="V696" s="178">
        <v>7730705376.0970955</v>
      </c>
    </row>
    <row r="697" spans="21:22" x14ac:dyDescent="0.25">
      <c r="U697" s="211">
        <v>679</v>
      </c>
      <c r="V697" s="178">
        <v>7821649458.4067078</v>
      </c>
    </row>
    <row r="698" spans="21:22" x14ac:dyDescent="0.25">
      <c r="U698" s="211">
        <v>680</v>
      </c>
      <c r="V698" s="178">
        <v>6088739439.6328192</v>
      </c>
    </row>
    <row r="699" spans="21:22" x14ac:dyDescent="0.25">
      <c r="U699" s="211">
        <v>681</v>
      </c>
      <c r="V699" s="178">
        <v>4494360558.0110979</v>
      </c>
    </row>
    <row r="700" spans="21:22" x14ac:dyDescent="0.25">
      <c r="U700" s="211">
        <v>682</v>
      </c>
      <c r="V700" s="178">
        <v>14902976856.706501</v>
      </c>
    </row>
    <row r="701" spans="21:22" x14ac:dyDescent="0.25">
      <c r="U701" s="211">
        <v>683</v>
      </c>
      <c r="V701" s="178">
        <v>5428446646.0110378</v>
      </c>
    </row>
    <row r="702" spans="21:22" x14ac:dyDescent="0.25">
      <c r="U702" s="211">
        <v>684</v>
      </c>
      <c r="V702" s="178">
        <v>6211816406.8902493</v>
      </c>
    </row>
    <row r="703" spans="21:22" x14ac:dyDescent="0.25">
      <c r="U703" s="211">
        <v>685</v>
      </c>
      <c r="V703" s="178">
        <v>15447195447.144789</v>
      </c>
    </row>
    <row r="704" spans="21:22" x14ac:dyDescent="0.25">
      <c r="U704" s="211">
        <v>686</v>
      </c>
      <c r="V704" s="178">
        <v>4223227049.4138489</v>
      </c>
    </row>
    <row r="705" spans="21:22" x14ac:dyDescent="0.25">
      <c r="U705" s="211">
        <v>687</v>
      </c>
      <c r="V705" s="178">
        <v>6168814682.4494476</v>
      </c>
    </row>
    <row r="706" spans="21:22" x14ac:dyDescent="0.25">
      <c r="U706" s="211">
        <v>688</v>
      </c>
      <c r="V706" s="178">
        <v>9299650463.2722721</v>
      </c>
    </row>
    <row r="707" spans="21:22" x14ac:dyDescent="0.25">
      <c r="U707" s="211">
        <v>689</v>
      </c>
      <c r="V707" s="178">
        <v>4481755413.6113911</v>
      </c>
    </row>
    <row r="708" spans="21:22" x14ac:dyDescent="0.25">
      <c r="U708" s="211">
        <v>690</v>
      </c>
      <c r="V708" s="178">
        <v>7403372883.2760201</v>
      </c>
    </row>
    <row r="709" spans="21:22" x14ac:dyDescent="0.25">
      <c r="U709" s="211">
        <v>691</v>
      </c>
      <c r="V709" s="178">
        <v>16891311171.661604</v>
      </c>
    </row>
    <row r="710" spans="21:22" x14ac:dyDescent="0.25">
      <c r="U710" s="211">
        <v>692</v>
      </c>
      <c r="V710" s="178">
        <v>3131648112.4377546</v>
      </c>
    </row>
    <row r="711" spans="21:22" x14ac:dyDescent="0.25">
      <c r="U711" s="211">
        <v>693</v>
      </c>
      <c r="V711" s="178">
        <v>9343297261.3732929</v>
      </c>
    </row>
    <row r="712" spans="21:22" x14ac:dyDescent="0.25">
      <c r="U712" s="211">
        <v>694</v>
      </c>
      <c r="V712" s="178">
        <v>5996730010.8207426</v>
      </c>
    </row>
    <row r="713" spans="21:22" x14ac:dyDescent="0.25">
      <c r="U713" s="211">
        <v>695</v>
      </c>
      <c r="V713" s="178">
        <v>6600908434.0853109</v>
      </c>
    </row>
    <row r="714" spans="21:22" x14ac:dyDescent="0.25">
      <c r="U714" s="211">
        <v>696</v>
      </c>
      <c r="V714" s="178">
        <v>6354654198.3171377</v>
      </c>
    </row>
    <row r="715" spans="21:22" x14ac:dyDescent="0.25">
      <c r="U715" s="211">
        <v>697</v>
      </c>
      <c r="V715" s="178">
        <v>9085569724.0040684</v>
      </c>
    </row>
    <row r="716" spans="21:22" x14ac:dyDescent="0.25">
      <c r="U716" s="211">
        <v>698</v>
      </c>
      <c r="V716" s="178">
        <v>4046426166.8900185</v>
      </c>
    </row>
    <row r="717" spans="21:22" x14ac:dyDescent="0.25">
      <c r="U717" s="211">
        <v>699</v>
      </c>
      <c r="V717" s="178">
        <v>5560570541.6705132</v>
      </c>
    </row>
    <row r="718" spans="21:22" x14ac:dyDescent="0.25">
      <c r="U718" s="211">
        <v>700</v>
      </c>
      <c r="V718" s="178">
        <v>5301405187.9112997</v>
      </c>
    </row>
    <row r="719" spans="21:22" x14ac:dyDescent="0.25">
      <c r="U719" s="211">
        <v>701</v>
      </c>
      <c r="V719" s="178">
        <v>10083759450.620092</v>
      </c>
    </row>
    <row r="720" spans="21:22" x14ac:dyDescent="0.25">
      <c r="U720" s="211">
        <v>702</v>
      </c>
      <c r="V720" s="178">
        <v>5046823012.9938641</v>
      </c>
    </row>
    <row r="721" spans="21:22" x14ac:dyDescent="0.25">
      <c r="U721" s="211">
        <v>703</v>
      </c>
      <c r="V721" s="178">
        <v>10261648799.626631</v>
      </c>
    </row>
    <row r="722" spans="21:22" x14ac:dyDescent="0.25">
      <c r="U722" s="211">
        <v>704</v>
      </c>
      <c r="V722" s="178">
        <v>6958779933.3954763</v>
      </c>
    </row>
    <row r="723" spans="21:22" x14ac:dyDescent="0.25">
      <c r="U723" s="211">
        <v>705</v>
      </c>
      <c r="V723" s="178">
        <v>4221466424.5195489</v>
      </c>
    </row>
    <row r="724" spans="21:22" x14ac:dyDescent="0.25">
      <c r="U724" s="211">
        <v>706</v>
      </c>
      <c r="V724" s="178">
        <v>6310710978.3113689</v>
      </c>
    </row>
    <row r="725" spans="21:22" x14ac:dyDescent="0.25">
      <c r="U725" s="211">
        <v>707</v>
      </c>
      <c r="V725" s="178">
        <v>5000440693.7403622</v>
      </c>
    </row>
    <row r="726" spans="21:22" x14ac:dyDescent="0.25">
      <c r="U726" s="211">
        <v>708</v>
      </c>
      <c r="V726" s="178">
        <v>6963318696.453723</v>
      </c>
    </row>
    <row r="727" spans="21:22" x14ac:dyDescent="0.25">
      <c r="U727" s="211">
        <v>709</v>
      </c>
      <c r="V727" s="178">
        <v>7381222350.3205738</v>
      </c>
    </row>
    <row r="728" spans="21:22" x14ac:dyDescent="0.25">
      <c r="U728" s="211">
        <v>710</v>
      </c>
      <c r="V728" s="178">
        <v>22946829558.592106</v>
      </c>
    </row>
    <row r="729" spans="21:22" x14ac:dyDescent="0.25">
      <c r="U729" s="211">
        <v>711</v>
      </c>
      <c r="V729" s="178">
        <v>12904412071.158026</v>
      </c>
    </row>
    <row r="730" spans="21:22" x14ac:dyDescent="0.25">
      <c r="U730" s="211">
        <v>712</v>
      </c>
      <c r="V730" s="178">
        <v>3769645823.7428131</v>
      </c>
    </row>
    <row r="731" spans="21:22" x14ac:dyDescent="0.25">
      <c r="U731" s="211">
        <v>713</v>
      </c>
      <c r="V731" s="178">
        <v>3546694327.2261162</v>
      </c>
    </row>
    <row r="732" spans="21:22" x14ac:dyDescent="0.25">
      <c r="U732" s="211">
        <v>714</v>
      </c>
      <c r="V732" s="178">
        <v>4334421253.0878162</v>
      </c>
    </row>
    <row r="733" spans="21:22" x14ac:dyDescent="0.25">
      <c r="U733" s="211">
        <v>715</v>
      </c>
      <c r="V733" s="178">
        <v>6659239201.4438066</v>
      </c>
    </row>
    <row r="734" spans="21:22" x14ac:dyDescent="0.25">
      <c r="U734" s="211">
        <v>716</v>
      </c>
      <c r="V734" s="178">
        <v>5669145942.4363222</v>
      </c>
    </row>
    <row r="735" spans="21:22" x14ac:dyDescent="0.25">
      <c r="U735" s="211">
        <v>717</v>
      </c>
      <c r="V735" s="178">
        <v>4176257263.349607</v>
      </c>
    </row>
    <row r="736" spans="21:22" x14ac:dyDescent="0.25">
      <c r="U736" s="211">
        <v>718</v>
      </c>
      <c r="V736" s="178">
        <v>3668381711.5133986</v>
      </c>
    </row>
    <row r="737" spans="21:22" x14ac:dyDescent="0.25">
      <c r="U737" s="211">
        <v>719</v>
      </c>
      <c r="V737" s="178">
        <v>3115241647.5242896</v>
      </c>
    </row>
    <row r="738" spans="21:22" x14ac:dyDescent="0.25">
      <c r="U738" s="211">
        <v>720</v>
      </c>
      <c r="V738" s="178">
        <v>3349208309.4697652</v>
      </c>
    </row>
    <row r="739" spans="21:22" x14ac:dyDescent="0.25">
      <c r="U739" s="211">
        <v>721</v>
      </c>
      <c r="V739" s="178">
        <v>5569456062.9564409</v>
      </c>
    </row>
    <row r="740" spans="21:22" x14ac:dyDescent="0.25">
      <c r="U740" s="211">
        <v>722</v>
      </c>
      <c r="V740" s="178">
        <v>13307743610.726885</v>
      </c>
    </row>
    <row r="741" spans="21:22" x14ac:dyDescent="0.25">
      <c r="U741" s="211">
        <v>723</v>
      </c>
      <c r="V741" s="178">
        <v>8172822146.035696</v>
      </c>
    </row>
    <row r="742" spans="21:22" x14ac:dyDescent="0.25">
      <c r="U742" s="211">
        <v>724</v>
      </c>
      <c r="V742" s="178">
        <v>3367719819.0910878</v>
      </c>
    </row>
    <row r="743" spans="21:22" x14ac:dyDescent="0.25">
      <c r="U743" s="211">
        <v>725</v>
      </c>
      <c r="V743" s="178">
        <v>12381739232.783842</v>
      </c>
    </row>
    <row r="744" spans="21:22" x14ac:dyDescent="0.25">
      <c r="U744" s="211">
        <v>726</v>
      </c>
      <c r="V744" s="178">
        <v>6312656653.6208858</v>
      </c>
    </row>
    <row r="745" spans="21:22" x14ac:dyDescent="0.25">
      <c r="U745" s="211">
        <v>727</v>
      </c>
      <c r="V745" s="178">
        <v>10238109008.48555</v>
      </c>
    </row>
    <row r="746" spans="21:22" x14ac:dyDescent="0.25">
      <c r="U746" s="211">
        <v>728</v>
      </c>
      <c r="V746" s="178">
        <v>5394149230.2463837</v>
      </c>
    </row>
    <row r="747" spans="21:22" x14ac:dyDescent="0.25">
      <c r="U747" s="211">
        <v>729</v>
      </c>
      <c r="V747" s="178">
        <v>5979385058.8002815</v>
      </c>
    </row>
    <row r="748" spans="21:22" x14ac:dyDescent="0.25">
      <c r="U748" s="211">
        <v>730</v>
      </c>
      <c r="V748" s="178">
        <v>10467612261.649942</v>
      </c>
    </row>
    <row r="749" spans="21:22" x14ac:dyDescent="0.25">
      <c r="U749" s="211">
        <v>731</v>
      </c>
      <c r="V749" s="178">
        <v>20962795656.623795</v>
      </c>
    </row>
    <row r="750" spans="21:22" x14ac:dyDescent="0.25">
      <c r="U750" s="211">
        <v>732</v>
      </c>
      <c r="V750" s="178">
        <v>6440899731.9811277</v>
      </c>
    </row>
    <row r="751" spans="21:22" x14ac:dyDescent="0.25">
      <c r="U751" s="211">
        <v>733</v>
      </c>
      <c r="V751" s="178">
        <v>6659376885.734169</v>
      </c>
    </row>
    <row r="752" spans="21:22" x14ac:dyDescent="0.25">
      <c r="U752" s="211">
        <v>734</v>
      </c>
      <c r="V752" s="178">
        <v>5502005299.174634</v>
      </c>
    </row>
    <row r="753" spans="21:22" x14ac:dyDescent="0.25">
      <c r="U753" s="211">
        <v>735</v>
      </c>
      <c r="V753" s="178">
        <v>5925455921.3802862</v>
      </c>
    </row>
    <row r="754" spans="21:22" x14ac:dyDescent="0.25">
      <c r="U754" s="211">
        <v>736</v>
      </c>
      <c r="V754" s="178">
        <v>9139547756.9488373</v>
      </c>
    </row>
    <row r="755" spans="21:22" x14ac:dyDescent="0.25">
      <c r="U755" s="211">
        <v>737</v>
      </c>
      <c r="V755" s="178">
        <v>3767458801.8170247</v>
      </c>
    </row>
    <row r="756" spans="21:22" x14ac:dyDescent="0.25">
      <c r="U756" s="211">
        <v>738</v>
      </c>
      <c r="V756" s="178">
        <v>8243890781.9564295</v>
      </c>
    </row>
    <row r="757" spans="21:22" x14ac:dyDescent="0.25">
      <c r="U757" s="211">
        <v>739</v>
      </c>
      <c r="V757" s="178">
        <v>4871636520.2541399</v>
      </c>
    </row>
    <row r="758" spans="21:22" x14ac:dyDescent="0.25">
      <c r="U758" s="211">
        <v>740</v>
      </c>
      <c r="V758" s="178">
        <v>5606864634.0744829</v>
      </c>
    </row>
    <row r="759" spans="21:22" x14ac:dyDescent="0.25">
      <c r="U759" s="211">
        <v>741</v>
      </c>
      <c r="V759" s="178">
        <v>10975017733.75938</v>
      </c>
    </row>
    <row r="760" spans="21:22" x14ac:dyDescent="0.25">
      <c r="U760" s="211">
        <v>742</v>
      </c>
      <c r="V760" s="178">
        <v>7733166612.3615131</v>
      </c>
    </row>
    <row r="761" spans="21:22" x14ac:dyDescent="0.25">
      <c r="U761" s="211">
        <v>743</v>
      </c>
      <c r="V761" s="178">
        <v>4797199885.0500975</v>
      </c>
    </row>
    <row r="762" spans="21:22" x14ac:dyDescent="0.25">
      <c r="U762" s="211">
        <v>744</v>
      </c>
      <c r="V762" s="178">
        <v>5606697718.400979</v>
      </c>
    </row>
    <row r="763" spans="21:22" x14ac:dyDescent="0.25">
      <c r="U763" s="211">
        <v>745</v>
      </c>
      <c r="V763" s="178">
        <v>21911422511.940807</v>
      </c>
    </row>
    <row r="764" spans="21:22" x14ac:dyDescent="0.25">
      <c r="U764" s="211">
        <v>746</v>
      </c>
      <c r="V764" s="178">
        <v>2961818004.3665342</v>
      </c>
    </row>
    <row r="765" spans="21:22" x14ac:dyDescent="0.25">
      <c r="U765" s="211">
        <v>747</v>
      </c>
      <c r="V765" s="178">
        <v>6052216233.8725529</v>
      </c>
    </row>
    <row r="766" spans="21:22" x14ac:dyDescent="0.25">
      <c r="U766" s="211">
        <v>748</v>
      </c>
      <c r="V766" s="178">
        <v>10655964767.187887</v>
      </c>
    </row>
    <row r="767" spans="21:22" x14ac:dyDescent="0.25">
      <c r="U767" s="211">
        <v>749</v>
      </c>
      <c r="V767" s="178">
        <v>4101754988.6368318</v>
      </c>
    </row>
    <row r="768" spans="21:22" x14ac:dyDescent="0.25">
      <c r="U768" s="211">
        <v>750</v>
      </c>
      <c r="V768" s="178">
        <v>3164962521.7270341</v>
      </c>
    </row>
    <row r="769" spans="21:22" x14ac:dyDescent="0.25">
      <c r="U769" s="211">
        <v>751</v>
      </c>
      <c r="V769" s="178">
        <v>9806424280.2343197</v>
      </c>
    </row>
    <row r="770" spans="21:22" x14ac:dyDescent="0.25">
      <c r="U770" s="211">
        <v>752</v>
      </c>
      <c r="V770" s="178">
        <v>5261255147.4469423</v>
      </c>
    </row>
    <row r="771" spans="21:22" x14ac:dyDescent="0.25">
      <c r="U771" s="211">
        <v>753</v>
      </c>
      <c r="V771" s="178">
        <v>15105186742.428846</v>
      </c>
    </row>
    <row r="772" spans="21:22" x14ac:dyDescent="0.25">
      <c r="U772" s="211">
        <v>754</v>
      </c>
      <c r="V772" s="178">
        <v>7855322188.8232899</v>
      </c>
    </row>
    <row r="773" spans="21:22" x14ac:dyDescent="0.25">
      <c r="U773" s="211">
        <v>755</v>
      </c>
      <c r="V773" s="178">
        <v>4193028264.1940589</v>
      </c>
    </row>
    <row r="774" spans="21:22" x14ac:dyDescent="0.25">
      <c r="U774" s="211">
        <v>756</v>
      </c>
      <c r="V774" s="178">
        <v>2599842127.5521312</v>
      </c>
    </row>
    <row r="775" spans="21:22" x14ac:dyDescent="0.25">
      <c r="U775" s="211">
        <v>757</v>
      </c>
      <c r="V775" s="178">
        <v>4220426615.6251516</v>
      </c>
    </row>
    <row r="776" spans="21:22" x14ac:dyDescent="0.25">
      <c r="U776" s="211">
        <v>758</v>
      </c>
      <c r="V776" s="178">
        <v>4129857838.7851419</v>
      </c>
    </row>
    <row r="777" spans="21:22" x14ac:dyDescent="0.25">
      <c r="U777" s="211">
        <v>759</v>
      </c>
      <c r="V777" s="178">
        <v>3700949841.1274643</v>
      </c>
    </row>
    <row r="778" spans="21:22" x14ac:dyDescent="0.25">
      <c r="U778" s="211">
        <v>760</v>
      </c>
      <c r="V778" s="178">
        <v>3696752029.9954181</v>
      </c>
    </row>
    <row r="779" spans="21:22" x14ac:dyDescent="0.25">
      <c r="U779" s="211">
        <v>761</v>
      </c>
      <c r="V779" s="178">
        <v>4638380414.1292944</v>
      </c>
    </row>
    <row r="780" spans="21:22" x14ac:dyDescent="0.25">
      <c r="U780" s="211">
        <v>762</v>
      </c>
      <c r="V780" s="178">
        <v>5932381401.0047464</v>
      </c>
    </row>
    <row r="781" spans="21:22" x14ac:dyDescent="0.25">
      <c r="U781" s="211">
        <v>763</v>
      </c>
      <c r="V781" s="178">
        <v>6593266347.6330318</v>
      </c>
    </row>
    <row r="782" spans="21:22" x14ac:dyDescent="0.25">
      <c r="U782" s="211">
        <v>764</v>
      </c>
      <c r="V782" s="178">
        <v>6623635546.8679905</v>
      </c>
    </row>
    <row r="783" spans="21:22" x14ac:dyDescent="0.25">
      <c r="U783" s="211">
        <v>765</v>
      </c>
      <c r="V783" s="178">
        <v>8489890568.5782185</v>
      </c>
    </row>
    <row r="784" spans="21:22" x14ac:dyDescent="0.25">
      <c r="U784" s="211">
        <v>766</v>
      </c>
      <c r="V784" s="178">
        <v>3828271424.7590179</v>
      </c>
    </row>
    <row r="785" spans="21:22" x14ac:dyDescent="0.25">
      <c r="U785" s="211">
        <v>767</v>
      </c>
      <c r="V785" s="178">
        <v>4347667570.4929714</v>
      </c>
    </row>
    <row r="786" spans="21:22" x14ac:dyDescent="0.25">
      <c r="U786" s="211">
        <v>768</v>
      </c>
      <c r="V786" s="178">
        <v>4833844228.5574913</v>
      </c>
    </row>
    <row r="787" spans="21:22" x14ac:dyDescent="0.25">
      <c r="U787" s="211">
        <v>769</v>
      </c>
      <c r="V787" s="178">
        <v>4767731333.0334759</v>
      </c>
    </row>
    <row r="788" spans="21:22" x14ac:dyDescent="0.25">
      <c r="U788" s="211">
        <v>770</v>
      </c>
      <c r="V788" s="178">
        <v>3091514536.4615521</v>
      </c>
    </row>
    <row r="789" spans="21:22" x14ac:dyDescent="0.25">
      <c r="U789" s="211">
        <v>771</v>
      </c>
      <c r="V789" s="178">
        <v>6692829951.981473</v>
      </c>
    </row>
    <row r="790" spans="21:22" x14ac:dyDescent="0.25">
      <c r="U790" s="211">
        <v>772</v>
      </c>
      <c r="V790" s="178">
        <v>15147141108.671906</v>
      </c>
    </row>
    <row r="791" spans="21:22" x14ac:dyDescent="0.25">
      <c r="U791" s="211">
        <v>773</v>
      </c>
      <c r="V791" s="178">
        <v>7995534975.1659803</v>
      </c>
    </row>
    <row r="792" spans="21:22" x14ac:dyDescent="0.25">
      <c r="U792" s="211">
        <v>774</v>
      </c>
      <c r="V792" s="178">
        <v>4108008221.27599</v>
      </c>
    </row>
    <row r="793" spans="21:22" x14ac:dyDescent="0.25">
      <c r="U793" s="211">
        <v>775</v>
      </c>
      <c r="V793" s="178">
        <v>6056770676.4420109</v>
      </c>
    </row>
    <row r="794" spans="21:22" x14ac:dyDescent="0.25">
      <c r="U794" s="211">
        <v>776</v>
      </c>
      <c r="V794" s="178">
        <v>5116307280.4700499</v>
      </c>
    </row>
    <row r="795" spans="21:22" x14ac:dyDescent="0.25">
      <c r="U795" s="211">
        <v>777</v>
      </c>
      <c r="V795" s="178">
        <v>15206458551.68778</v>
      </c>
    </row>
    <row r="796" spans="21:22" x14ac:dyDescent="0.25">
      <c r="U796" s="211">
        <v>778</v>
      </c>
      <c r="V796" s="178">
        <v>5154320817.9253006</v>
      </c>
    </row>
    <row r="797" spans="21:22" x14ac:dyDescent="0.25">
      <c r="U797" s="211">
        <v>779</v>
      </c>
      <c r="V797" s="178">
        <v>11063304058.019279</v>
      </c>
    </row>
    <row r="798" spans="21:22" x14ac:dyDescent="0.25">
      <c r="U798" s="211">
        <v>780</v>
      </c>
      <c r="V798" s="178">
        <v>6015520059.2358685</v>
      </c>
    </row>
    <row r="799" spans="21:22" x14ac:dyDescent="0.25">
      <c r="U799" s="211">
        <v>781</v>
      </c>
      <c r="V799" s="178">
        <v>4709145344.8469191</v>
      </c>
    </row>
    <row r="800" spans="21:22" x14ac:dyDescent="0.25">
      <c r="U800" s="211">
        <v>782</v>
      </c>
      <c r="V800" s="178">
        <v>7352105697.3270817</v>
      </c>
    </row>
    <row r="801" spans="21:22" x14ac:dyDescent="0.25">
      <c r="U801" s="211">
        <v>783</v>
      </c>
      <c r="V801" s="178">
        <v>5395651590.3908272</v>
      </c>
    </row>
    <row r="802" spans="21:22" x14ac:dyDescent="0.25">
      <c r="U802" s="211">
        <v>784</v>
      </c>
      <c r="V802" s="178">
        <v>8737867949.6079044</v>
      </c>
    </row>
    <row r="803" spans="21:22" x14ac:dyDescent="0.25">
      <c r="U803" s="211">
        <v>785</v>
      </c>
      <c r="V803" s="178">
        <v>5428330925.7548103</v>
      </c>
    </row>
    <row r="804" spans="21:22" x14ac:dyDescent="0.25">
      <c r="U804" s="211">
        <v>786</v>
      </c>
      <c r="V804" s="178">
        <v>4576624209.8192263</v>
      </c>
    </row>
    <row r="805" spans="21:22" x14ac:dyDescent="0.25">
      <c r="U805" s="211">
        <v>787</v>
      </c>
      <c r="V805" s="178">
        <v>5232791388.2495794</v>
      </c>
    </row>
    <row r="806" spans="21:22" x14ac:dyDescent="0.25">
      <c r="U806" s="211">
        <v>788</v>
      </c>
      <c r="V806" s="178">
        <v>11338439204.236639</v>
      </c>
    </row>
    <row r="807" spans="21:22" x14ac:dyDescent="0.25">
      <c r="U807" s="211">
        <v>789</v>
      </c>
      <c r="V807" s="178">
        <v>4410442588.0126934</v>
      </c>
    </row>
    <row r="808" spans="21:22" x14ac:dyDescent="0.25">
      <c r="U808" s="211">
        <v>790</v>
      </c>
      <c r="V808" s="178">
        <v>3792143093.0740037</v>
      </c>
    </row>
    <row r="809" spans="21:22" x14ac:dyDescent="0.25">
      <c r="U809" s="211">
        <v>791</v>
      </c>
      <c r="V809" s="178">
        <v>5849007819.3888521</v>
      </c>
    </row>
    <row r="810" spans="21:22" x14ac:dyDescent="0.25">
      <c r="U810" s="211">
        <v>792</v>
      </c>
      <c r="V810" s="178">
        <v>7185595625.0764408</v>
      </c>
    </row>
    <row r="811" spans="21:22" x14ac:dyDescent="0.25">
      <c r="U811" s="211">
        <v>793</v>
      </c>
      <c r="V811" s="178">
        <v>8897778177.2763424</v>
      </c>
    </row>
    <row r="812" spans="21:22" x14ac:dyDescent="0.25">
      <c r="U812" s="211">
        <v>794</v>
      </c>
      <c r="V812" s="178">
        <v>5458451214.6607018</v>
      </c>
    </row>
    <row r="813" spans="21:22" x14ac:dyDescent="0.25">
      <c r="U813" s="211">
        <v>795</v>
      </c>
      <c r="V813" s="178">
        <v>2511179971.5921826</v>
      </c>
    </row>
    <row r="814" spans="21:22" x14ac:dyDescent="0.25">
      <c r="U814" s="211">
        <v>796</v>
      </c>
      <c r="V814" s="178">
        <v>6515761100.7170277</v>
      </c>
    </row>
    <row r="815" spans="21:22" x14ac:dyDescent="0.25">
      <c r="U815" s="211">
        <v>797</v>
      </c>
      <c r="V815" s="178">
        <v>5353025413.5014143</v>
      </c>
    </row>
    <row r="816" spans="21:22" x14ac:dyDescent="0.25">
      <c r="U816" s="211">
        <v>798</v>
      </c>
      <c r="V816" s="178">
        <v>10555883810.378819</v>
      </c>
    </row>
    <row r="817" spans="21:22" x14ac:dyDescent="0.25">
      <c r="U817" s="211">
        <v>799</v>
      </c>
      <c r="V817" s="178">
        <v>6320651178.7474575</v>
      </c>
    </row>
    <row r="818" spans="21:22" x14ac:dyDescent="0.25">
      <c r="U818" s="211">
        <v>800</v>
      </c>
      <c r="V818" s="178">
        <v>3752495687.7697458</v>
      </c>
    </row>
    <row r="819" spans="21:22" x14ac:dyDescent="0.25">
      <c r="U819" s="211">
        <v>801</v>
      </c>
      <c r="V819" s="178">
        <v>3441981754.2177114</v>
      </c>
    </row>
    <row r="820" spans="21:22" x14ac:dyDescent="0.25">
      <c r="U820" s="211">
        <v>802</v>
      </c>
      <c r="V820" s="178">
        <v>4904753031.9778032</v>
      </c>
    </row>
    <row r="821" spans="21:22" x14ac:dyDescent="0.25">
      <c r="U821" s="211">
        <v>803</v>
      </c>
      <c r="V821" s="178">
        <v>6654075218.4976921</v>
      </c>
    </row>
    <row r="822" spans="21:22" x14ac:dyDescent="0.25">
      <c r="U822" s="211">
        <v>804</v>
      </c>
      <c r="V822" s="178">
        <v>3283027110.3026371</v>
      </c>
    </row>
    <row r="823" spans="21:22" x14ac:dyDescent="0.25">
      <c r="U823" s="211">
        <v>805</v>
      </c>
      <c r="V823" s="178">
        <v>10075286472.337746</v>
      </c>
    </row>
    <row r="824" spans="21:22" x14ac:dyDescent="0.25">
      <c r="U824" s="211">
        <v>806</v>
      </c>
      <c r="V824" s="178">
        <v>5862829254.7800875</v>
      </c>
    </row>
    <row r="825" spans="21:22" x14ac:dyDescent="0.25">
      <c r="U825" s="211">
        <v>807</v>
      </c>
      <c r="V825" s="178">
        <v>10038400370.413792</v>
      </c>
    </row>
    <row r="826" spans="21:22" x14ac:dyDescent="0.25">
      <c r="U826" s="211">
        <v>808</v>
      </c>
      <c r="V826" s="178">
        <v>4932001764.1514444</v>
      </c>
    </row>
    <row r="827" spans="21:22" x14ac:dyDescent="0.25">
      <c r="U827" s="211">
        <v>809</v>
      </c>
      <c r="V827" s="178">
        <v>4194449371.483191</v>
      </c>
    </row>
    <row r="828" spans="21:22" x14ac:dyDescent="0.25">
      <c r="U828" s="211">
        <v>810</v>
      </c>
      <c r="V828" s="178">
        <v>9151649882.1959</v>
      </c>
    </row>
    <row r="829" spans="21:22" x14ac:dyDescent="0.25">
      <c r="U829" s="211">
        <v>811</v>
      </c>
      <c r="V829" s="178">
        <v>4859391944.919384</v>
      </c>
    </row>
    <row r="830" spans="21:22" x14ac:dyDescent="0.25">
      <c r="U830" s="211">
        <v>812</v>
      </c>
      <c r="V830" s="178">
        <v>4456481274.1387415</v>
      </c>
    </row>
    <row r="831" spans="21:22" x14ac:dyDescent="0.25">
      <c r="U831" s="211">
        <v>813</v>
      </c>
      <c r="V831" s="178">
        <v>4469250922.0841732</v>
      </c>
    </row>
    <row r="832" spans="21:22" x14ac:dyDescent="0.25">
      <c r="U832" s="211">
        <v>814</v>
      </c>
      <c r="V832" s="178">
        <v>11917933929.886732</v>
      </c>
    </row>
    <row r="833" spans="21:22" x14ac:dyDescent="0.25">
      <c r="U833" s="211">
        <v>815</v>
      </c>
      <c r="V833" s="178">
        <v>17404612717.863018</v>
      </c>
    </row>
    <row r="834" spans="21:22" x14ac:dyDescent="0.25">
      <c r="U834" s="211">
        <v>816</v>
      </c>
      <c r="V834" s="178">
        <v>9631045868.7375011</v>
      </c>
    </row>
    <row r="835" spans="21:22" x14ac:dyDescent="0.25">
      <c r="U835" s="211">
        <v>817</v>
      </c>
      <c r="V835" s="178">
        <v>5862936116.6397667</v>
      </c>
    </row>
    <row r="836" spans="21:22" x14ac:dyDescent="0.25">
      <c r="U836" s="211">
        <v>818</v>
      </c>
      <c r="V836" s="178">
        <v>6415160426.7071562</v>
      </c>
    </row>
    <row r="837" spans="21:22" x14ac:dyDescent="0.25">
      <c r="U837" s="211">
        <v>819</v>
      </c>
      <c r="V837" s="178">
        <v>3626596237.9302306</v>
      </c>
    </row>
    <row r="838" spans="21:22" x14ac:dyDescent="0.25">
      <c r="U838" s="211">
        <v>820</v>
      </c>
      <c r="V838" s="178">
        <v>5037105021.4224548</v>
      </c>
    </row>
    <row r="839" spans="21:22" x14ac:dyDescent="0.25">
      <c r="U839" s="211">
        <v>821</v>
      </c>
      <c r="V839" s="178">
        <v>7530130092.8547916</v>
      </c>
    </row>
    <row r="840" spans="21:22" x14ac:dyDescent="0.25">
      <c r="U840" s="211">
        <v>822</v>
      </c>
      <c r="V840" s="178">
        <v>6008429048.186573</v>
      </c>
    </row>
    <row r="841" spans="21:22" x14ac:dyDescent="0.25">
      <c r="U841" s="211">
        <v>823</v>
      </c>
      <c r="V841" s="178">
        <v>13873853887.33391</v>
      </c>
    </row>
    <row r="842" spans="21:22" x14ac:dyDescent="0.25">
      <c r="U842" s="211">
        <v>824</v>
      </c>
      <c r="V842" s="178">
        <v>3156916003.5061274</v>
      </c>
    </row>
    <row r="843" spans="21:22" x14ac:dyDescent="0.25">
      <c r="U843" s="211">
        <v>825</v>
      </c>
      <c r="V843" s="178">
        <v>4720199960.3515625</v>
      </c>
    </row>
    <row r="844" spans="21:22" x14ac:dyDescent="0.25">
      <c r="U844" s="211">
        <v>826</v>
      </c>
      <c r="V844" s="178">
        <v>7130386822.1315126</v>
      </c>
    </row>
    <row r="845" spans="21:22" x14ac:dyDescent="0.25">
      <c r="U845" s="211">
        <v>827</v>
      </c>
      <c r="V845" s="178">
        <v>4477945491.3759031</v>
      </c>
    </row>
    <row r="846" spans="21:22" x14ac:dyDescent="0.25">
      <c r="U846" s="211">
        <v>828</v>
      </c>
      <c r="V846" s="178">
        <v>5726547137.8887224</v>
      </c>
    </row>
    <row r="847" spans="21:22" x14ac:dyDescent="0.25">
      <c r="U847" s="211">
        <v>829</v>
      </c>
      <c r="V847" s="178">
        <v>6680985184.8443365</v>
      </c>
    </row>
    <row r="848" spans="21:22" x14ac:dyDescent="0.25">
      <c r="U848" s="211">
        <v>830</v>
      </c>
      <c r="V848" s="178">
        <v>4938884014.9609213</v>
      </c>
    </row>
    <row r="849" spans="21:22" x14ac:dyDescent="0.25">
      <c r="U849" s="211">
        <v>831</v>
      </c>
      <c r="V849" s="178">
        <v>4705790757.2099247</v>
      </c>
    </row>
    <row r="850" spans="21:22" x14ac:dyDescent="0.25">
      <c r="U850" s="211">
        <v>832</v>
      </c>
      <c r="V850" s="178">
        <v>9922915314.0138645</v>
      </c>
    </row>
    <row r="851" spans="21:22" x14ac:dyDescent="0.25">
      <c r="U851" s="211">
        <v>833</v>
      </c>
      <c r="V851" s="178">
        <v>4054074566.1894965</v>
      </c>
    </row>
    <row r="852" spans="21:22" x14ac:dyDescent="0.25">
      <c r="U852" s="211">
        <v>834</v>
      </c>
      <c r="V852" s="178">
        <v>12142086866.841307</v>
      </c>
    </row>
    <row r="853" spans="21:22" x14ac:dyDescent="0.25">
      <c r="U853" s="211">
        <v>835</v>
      </c>
      <c r="V853" s="178">
        <v>6241405338.2613688</v>
      </c>
    </row>
    <row r="854" spans="21:22" x14ac:dyDescent="0.25">
      <c r="U854" s="211">
        <v>836</v>
      </c>
      <c r="V854" s="178">
        <v>3655926847.530612</v>
      </c>
    </row>
    <row r="855" spans="21:22" x14ac:dyDescent="0.25">
      <c r="U855" s="211">
        <v>837</v>
      </c>
      <c r="V855" s="178">
        <v>11010362737.871983</v>
      </c>
    </row>
    <row r="856" spans="21:22" x14ac:dyDescent="0.25">
      <c r="U856" s="211">
        <v>838</v>
      </c>
      <c r="V856" s="178">
        <v>4764489042.2526979</v>
      </c>
    </row>
    <row r="857" spans="21:22" x14ac:dyDescent="0.25">
      <c r="U857" s="211">
        <v>839</v>
      </c>
      <c r="V857" s="178">
        <v>7569050013.601305</v>
      </c>
    </row>
    <row r="858" spans="21:22" x14ac:dyDescent="0.25">
      <c r="U858" s="211">
        <v>840</v>
      </c>
      <c r="V858" s="178">
        <v>3248962172.8546219</v>
      </c>
    </row>
    <row r="859" spans="21:22" x14ac:dyDescent="0.25">
      <c r="U859" s="211">
        <v>841</v>
      </c>
      <c r="V859" s="178">
        <v>7474710441.9019794</v>
      </c>
    </row>
    <row r="860" spans="21:22" x14ac:dyDescent="0.25">
      <c r="U860" s="211">
        <v>842</v>
      </c>
      <c r="V860" s="178">
        <v>6239924084.085556</v>
      </c>
    </row>
    <row r="861" spans="21:22" x14ac:dyDescent="0.25">
      <c r="U861" s="211">
        <v>843</v>
      </c>
      <c r="V861" s="178">
        <v>4743159721.4197035</v>
      </c>
    </row>
    <row r="862" spans="21:22" x14ac:dyDescent="0.25">
      <c r="U862" s="211">
        <v>844</v>
      </c>
      <c r="V862" s="178">
        <v>11723476368.907602</v>
      </c>
    </row>
    <row r="863" spans="21:22" x14ac:dyDescent="0.25">
      <c r="U863" s="211">
        <v>845</v>
      </c>
      <c r="V863" s="178">
        <v>8402081232.6929178</v>
      </c>
    </row>
    <row r="864" spans="21:22" x14ac:dyDescent="0.25">
      <c r="U864" s="211">
        <v>846</v>
      </c>
      <c r="V864" s="178">
        <v>8258791604.7176819</v>
      </c>
    </row>
    <row r="865" spans="21:22" x14ac:dyDescent="0.25">
      <c r="U865" s="211">
        <v>847</v>
      </c>
      <c r="V865" s="178">
        <v>7902453489.3801527</v>
      </c>
    </row>
    <row r="866" spans="21:22" x14ac:dyDescent="0.25">
      <c r="U866" s="211">
        <v>848</v>
      </c>
      <c r="V866" s="178">
        <v>5754308523.9681301</v>
      </c>
    </row>
    <row r="867" spans="21:22" x14ac:dyDescent="0.25">
      <c r="U867" s="211">
        <v>849</v>
      </c>
      <c r="V867" s="178">
        <v>5462489383.6431332</v>
      </c>
    </row>
    <row r="868" spans="21:22" x14ac:dyDescent="0.25">
      <c r="U868" s="211">
        <v>850</v>
      </c>
      <c r="V868" s="178">
        <v>5821046407.1278191</v>
      </c>
    </row>
    <row r="869" spans="21:22" x14ac:dyDescent="0.25">
      <c r="U869" s="211">
        <v>851</v>
      </c>
      <c r="V869" s="178">
        <v>11135220656.17687</v>
      </c>
    </row>
    <row r="870" spans="21:22" x14ac:dyDescent="0.25">
      <c r="U870" s="211">
        <v>852</v>
      </c>
      <c r="V870" s="178">
        <v>6350025607.3339272</v>
      </c>
    </row>
    <row r="871" spans="21:22" x14ac:dyDescent="0.25">
      <c r="U871" s="211">
        <v>853</v>
      </c>
      <c r="V871" s="178">
        <v>4814982082.7317972</v>
      </c>
    </row>
    <row r="872" spans="21:22" x14ac:dyDescent="0.25">
      <c r="U872" s="211">
        <v>854</v>
      </c>
      <c r="V872" s="178">
        <v>10947515575.225725</v>
      </c>
    </row>
    <row r="873" spans="21:22" x14ac:dyDescent="0.25">
      <c r="U873" s="211">
        <v>855</v>
      </c>
      <c r="V873" s="178">
        <v>4439285143.8548489</v>
      </c>
    </row>
    <row r="874" spans="21:22" x14ac:dyDescent="0.25">
      <c r="U874" s="211">
        <v>856</v>
      </c>
      <c r="V874" s="178">
        <v>4617875598.3412542</v>
      </c>
    </row>
    <row r="875" spans="21:22" x14ac:dyDescent="0.25">
      <c r="U875" s="211">
        <v>857</v>
      </c>
      <c r="V875" s="178">
        <v>7851780734.3379946</v>
      </c>
    </row>
    <row r="876" spans="21:22" x14ac:dyDescent="0.25">
      <c r="U876" s="211">
        <v>858</v>
      </c>
      <c r="V876" s="178">
        <v>4766482119.1968737</v>
      </c>
    </row>
    <row r="877" spans="21:22" x14ac:dyDescent="0.25">
      <c r="U877" s="211">
        <v>859</v>
      </c>
      <c r="V877" s="178">
        <v>4031070346.3215714</v>
      </c>
    </row>
    <row r="878" spans="21:22" x14ac:dyDescent="0.25">
      <c r="U878" s="211">
        <v>860</v>
      </c>
      <c r="V878" s="178">
        <v>8673247535.3983326</v>
      </c>
    </row>
    <row r="879" spans="21:22" x14ac:dyDescent="0.25">
      <c r="U879" s="211">
        <v>861</v>
      </c>
      <c r="V879" s="178">
        <v>5429385501.8810797</v>
      </c>
    </row>
    <row r="880" spans="21:22" x14ac:dyDescent="0.25">
      <c r="U880" s="211">
        <v>862</v>
      </c>
      <c r="V880" s="178">
        <v>4933279279.6072721</v>
      </c>
    </row>
    <row r="881" spans="21:22" x14ac:dyDescent="0.25">
      <c r="U881" s="211">
        <v>863</v>
      </c>
      <c r="V881" s="178">
        <v>3987882946.036447</v>
      </c>
    </row>
    <row r="882" spans="21:22" x14ac:dyDescent="0.25">
      <c r="U882" s="211">
        <v>864</v>
      </c>
      <c r="V882" s="178">
        <v>9204319042.3279991</v>
      </c>
    </row>
    <row r="883" spans="21:22" x14ac:dyDescent="0.25">
      <c r="U883" s="211">
        <v>865</v>
      </c>
      <c r="V883" s="178">
        <v>11048120676.990191</v>
      </c>
    </row>
    <row r="884" spans="21:22" x14ac:dyDescent="0.25">
      <c r="U884" s="211">
        <v>866</v>
      </c>
      <c r="V884" s="178">
        <v>9222310778.2961979</v>
      </c>
    </row>
    <row r="885" spans="21:22" x14ac:dyDescent="0.25">
      <c r="U885" s="211">
        <v>867</v>
      </c>
      <c r="V885" s="178">
        <v>3726457735.3934841</v>
      </c>
    </row>
    <row r="886" spans="21:22" x14ac:dyDescent="0.25">
      <c r="U886" s="211">
        <v>868</v>
      </c>
      <c r="V886" s="178">
        <v>6515611432.0723705</v>
      </c>
    </row>
    <row r="887" spans="21:22" x14ac:dyDescent="0.25">
      <c r="U887" s="211">
        <v>869</v>
      </c>
      <c r="V887" s="178">
        <v>7883056070.039341</v>
      </c>
    </row>
    <row r="888" spans="21:22" x14ac:dyDescent="0.25">
      <c r="U888" s="211">
        <v>870</v>
      </c>
      <c r="V888" s="178">
        <v>4896290186.526804</v>
      </c>
    </row>
    <row r="889" spans="21:22" x14ac:dyDescent="0.25">
      <c r="U889" s="211">
        <v>871</v>
      </c>
      <c r="V889" s="178">
        <v>5576057670.027297</v>
      </c>
    </row>
    <row r="890" spans="21:22" x14ac:dyDescent="0.25">
      <c r="U890" s="211">
        <v>872</v>
      </c>
      <c r="V890" s="178">
        <v>6640317848.7160091</v>
      </c>
    </row>
    <row r="891" spans="21:22" x14ac:dyDescent="0.25">
      <c r="U891" s="211">
        <v>873</v>
      </c>
      <c r="V891" s="178">
        <v>3907036985.9264722</v>
      </c>
    </row>
    <row r="892" spans="21:22" x14ac:dyDescent="0.25">
      <c r="U892" s="211">
        <v>874</v>
      </c>
      <c r="V892" s="178">
        <v>19863007192.460785</v>
      </c>
    </row>
    <row r="893" spans="21:22" x14ac:dyDescent="0.25">
      <c r="U893" s="211">
        <v>875</v>
      </c>
      <c r="V893" s="178">
        <v>7491513937.2722483</v>
      </c>
    </row>
    <row r="894" spans="21:22" x14ac:dyDescent="0.25">
      <c r="U894" s="211">
        <v>876</v>
      </c>
      <c r="V894" s="178">
        <v>5992681028.0244255</v>
      </c>
    </row>
    <row r="895" spans="21:22" x14ac:dyDescent="0.25">
      <c r="U895" s="211">
        <v>877</v>
      </c>
      <c r="V895" s="178">
        <v>2457679091.7973399</v>
      </c>
    </row>
    <row r="896" spans="21:22" x14ac:dyDescent="0.25">
      <c r="U896" s="211">
        <v>878</v>
      </c>
      <c r="V896" s="178">
        <v>4535121026.0168314</v>
      </c>
    </row>
    <row r="897" spans="21:22" x14ac:dyDescent="0.25">
      <c r="U897" s="211">
        <v>879</v>
      </c>
      <c r="V897" s="178">
        <v>5297765568.3731451</v>
      </c>
    </row>
    <row r="898" spans="21:22" x14ac:dyDescent="0.25">
      <c r="U898" s="211">
        <v>880</v>
      </c>
      <c r="V898" s="178">
        <v>8742803792.1182747</v>
      </c>
    </row>
    <row r="899" spans="21:22" x14ac:dyDescent="0.25">
      <c r="U899" s="211">
        <v>881</v>
      </c>
      <c r="V899" s="178">
        <v>6096310927.745368</v>
      </c>
    </row>
    <row r="900" spans="21:22" x14ac:dyDescent="0.25">
      <c r="U900" s="211">
        <v>882</v>
      </c>
      <c r="V900" s="178">
        <v>7908956255.0146933</v>
      </c>
    </row>
    <row r="901" spans="21:22" x14ac:dyDescent="0.25">
      <c r="U901" s="211">
        <v>883</v>
      </c>
      <c r="V901" s="178">
        <v>7208564593.1811571</v>
      </c>
    </row>
    <row r="902" spans="21:22" x14ac:dyDescent="0.25">
      <c r="U902" s="211">
        <v>884</v>
      </c>
      <c r="V902" s="178">
        <v>4877992868.8239317</v>
      </c>
    </row>
    <row r="903" spans="21:22" x14ac:dyDescent="0.25">
      <c r="U903" s="211">
        <v>885</v>
      </c>
      <c r="V903" s="178">
        <v>5312670262.3998966</v>
      </c>
    </row>
    <row r="904" spans="21:22" x14ac:dyDescent="0.25">
      <c r="U904" s="211">
        <v>886</v>
      </c>
      <c r="V904" s="178">
        <v>5419949849.4430332</v>
      </c>
    </row>
    <row r="905" spans="21:22" x14ac:dyDescent="0.25">
      <c r="U905" s="211">
        <v>887</v>
      </c>
      <c r="V905" s="178">
        <v>4623080183.7384892</v>
      </c>
    </row>
    <row r="906" spans="21:22" x14ac:dyDescent="0.25">
      <c r="U906" s="211">
        <v>888</v>
      </c>
      <c r="V906" s="178">
        <v>4513215830.9350929</v>
      </c>
    </row>
    <row r="907" spans="21:22" x14ac:dyDescent="0.25">
      <c r="U907" s="211">
        <v>889</v>
      </c>
      <c r="V907" s="178">
        <v>6691036276.8070164</v>
      </c>
    </row>
    <row r="908" spans="21:22" x14ac:dyDescent="0.25">
      <c r="U908" s="211">
        <v>890</v>
      </c>
      <c r="V908" s="178">
        <v>5955661804.2080021</v>
      </c>
    </row>
    <row r="909" spans="21:22" x14ac:dyDescent="0.25">
      <c r="U909" s="211">
        <v>891</v>
      </c>
      <c r="V909" s="178">
        <v>8469383230.584198</v>
      </c>
    </row>
    <row r="910" spans="21:22" x14ac:dyDescent="0.25">
      <c r="U910" s="211">
        <v>892</v>
      </c>
      <c r="V910" s="178">
        <v>6528995811.7551804</v>
      </c>
    </row>
    <row r="911" spans="21:22" x14ac:dyDescent="0.25">
      <c r="U911" s="211">
        <v>893</v>
      </c>
      <c r="V911" s="178">
        <v>4535831917.0344944</v>
      </c>
    </row>
    <row r="912" spans="21:22" x14ac:dyDescent="0.25">
      <c r="U912" s="211">
        <v>894</v>
      </c>
      <c r="V912" s="178">
        <v>10283251328.443363</v>
      </c>
    </row>
    <row r="913" spans="21:22" x14ac:dyDescent="0.25">
      <c r="U913" s="211">
        <v>895</v>
      </c>
      <c r="V913" s="178">
        <v>8987536814.4343872</v>
      </c>
    </row>
    <row r="914" spans="21:22" x14ac:dyDescent="0.25">
      <c r="U914" s="211">
        <v>896</v>
      </c>
      <c r="V914" s="178">
        <v>9650951435.4551697</v>
      </c>
    </row>
    <row r="915" spans="21:22" x14ac:dyDescent="0.25">
      <c r="U915" s="211">
        <v>897</v>
      </c>
      <c r="V915" s="178">
        <v>4319055696.8170929</v>
      </c>
    </row>
    <row r="916" spans="21:22" x14ac:dyDescent="0.25">
      <c r="U916" s="211">
        <v>898</v>
      </c>
      <c r="V916" s="178">
        <v>4501999427.9691725</v>
      </c>
    </row>
    <row r="917" spans="21:22" x14ac:dyDescent="0.25">
      <c r="U917" s="211">
        <v>899</v>
      </c>
      <c r="V917" s="178">
        <v>7041109999.24862</v>
      </c>
    </row>
    <row r="918" spans="21:22" x14ac:dyDescent="0.25">
      <c r="U918" s="211">
        <v>900</v>
      </c>
      <c r="V918" s="178">
        <v>5618163486.1852083</v>
      </c>
    </row>
    <row r="919" spans="21:22" x14ac:dyDescent="0.25">
      <c r="U919" s="211">
        <v>901</v>
      </c>
      <c r="V919" s="178">
        <v>3463009725.2691832</v>
      </c>
    </row>
    <row r="920" spans="21:22" x14ac:dyDescent="0.25">
      <c r="U920" s="211">
        <v>902</v>
      </c>
      <c r="V920" s="178">
        <v>1771882078.3537903</v>
      </c>
    </row>
    <row r="921" spans="21:22" x14ac:dyDescent="0.25">
      <c r="U921" s="211">
        <v>903</v>
      </c>
      <c r="V921" s="178">
        <v>3599980230.1548548</v>
      </c>
    </row>
    <row r="922" spans="21:22" x14ac:dyDescent="0.25">
      <c r="U922" s="211">
        <v>904</v>
      </c>
      <c r="V922" s="178">
        <v>5548208109.7651119</v>
      </c>
    </row>
    <row r="923" spans="21:22" x14ac:dyDescent="0.25">
      <c r="U923" s="211">
        <v>905</v>
      </c>
      <c r="V923" s="178">
        <v>8017485185.0783873</v>
      </c>
    </row>
    <row r="924" spans="21:22" x14ac:dyDescent="0.25">
      <c r="U924" s="211">
        <v>906</v>
      </c>
      <c r="V924" s="178">
        <v>14955055225.52705</v>
      </c>
    </row>
    <row r="925" spans="21:22" x14ac:dyDescent="0.25">
      <c r="U925" s="211">
        <v>907</v>
      </c>
      <c r="V925" s="178">
        <v>4393910024.6481295</v>
      </c>
    </row>
    <row r="926" spans="21:22" x14ac:dyDescent="0.25">
      <c r="U926" s="211">
        <v>908</v>
      </c>
      <c r="V926" s="178">
        <v>7062117368.6430044</v>
      </c>
    </row>
    <row r="927" spans="21:22" x14ac:dyDescent="0.25">
      <c r="U927" s="211">
        <v>909</v>
      </c>
      <c r="V927" s="178">
        <v>13232586694.623096</v>
      </c>
    </row>
    <row r="928" spans="21:22" x14ac:dyDescent="0.25">
      <c r="U928" s="211">
        <v>910</v>
      </c>
      <c r="V928" s="178">
        <v>7909002982.8375473</v>
      </c>
    </row>
    <row r="929" spans="21:22" x14ac:dyDescent="0.25">
      <c r="U929" s="211">
        <v>911</v>
      </c>
      <c r="V929" s="178">
        <v>6615919595.4835472</v>
      </c>
    </row>
    <row r="930" spans="21:22" x14ac:dyDescent="0.25">
      <c r="U930" s="211">
        <v>912</v>
      </c>
      <c r="V930" s="178">
        <v>4592317057.4359674</v>
      </c>
    </row>
    <row r="931" spans="21:22" x14ac:dyDescent="0.25">
      <c r="U931" s="211">
        <v>913</v>
      </c>
      <c r="V931" s="178">
        <v>12871349642.877499</v>
      </c>
    </row>
    <row r="932" spans="21:22" x14ac:dyDescent="0.25">
      <c r="U932" s="211">
        <v>914</v>
      </c>
      <c r="V932" s="178">
        <v>5722602544.8009872</v>
      </c>
    </row>
    <row r="933" spans="21:22" x14ac:dyDescent="0.25">
      <c r="U933" s="211">
        <v>915</v>
      </c>
      <c r="V933" s="178">
        <v>4370533741.0755787</v>
      </c>
    </row>
    <row r="934" spans="21:22" x14ac:dyDescent="0.25">
      <c r="U934" s="211">
        <v>916</v>
      </c>
      <c r="V934" s="178">
        <v>7311914736.3723221</v>
      </c>
    </row>
    <row r="935" spans="21:22" x14ac:dyDescent="0.25">
      <c r="U935" s="211">
        <v>917</v>
      </c>
      <c r="V935" s="178">
        <v>5699712577.113554</v>
      </c>
    </row>
    <row r="936" spans="21:22" x14ac:dyDescent="0.25">
      <c r="U936" s="211">
        <v>918</v>
      </c>
      <c r="V936" s="178">
        <v>7826100322.5653744</v>
      </c>
    </row>
    <row r="937" spans="21:22" x14ac:dyDescent="0.25">
      <c r="U937" s="211">
        <v>919</v>
      </c>
      <c r="V937" s="178">
        <v>3728796928.6146507</v>
      </c>
    </row>
    <row r="938" spans="21:22" x14ac:dyDescent="0.25">
      <c r="U938" s="211">
        <v>920</v>
      </c>
      <c r="V938" s="178">
        <v>10592657887.900513</v>
      </c>
    </row>
    <row r="939" spans="21:22" x14ac:dyDescent="0.25">
      <c r="U939" s="211">
        <v>921</v>
      </c>
      <c r="V939" s="178">
        <v>19275628013.375046</v>
      </c>
    </row>
    <row r="940" spans="21:22" x14ac:dyDescent="0.25">
      <c r="U940" s="211">
        <v>922</v>
      </c>
      <c r="V940" s="178">
        <v>6253594637.6931982</v>
      </c>
    </row>
    <row r="941" spans="21:22" x14ac:dyDescent="0.25">
      <c r="U941" s="211">
        <v>923</v>
      </c>
      <c r="V941" s="178">
        <v>3744771143.6787305</v>
      </c>
    </row>
    <row r="942" spans="21:22" x14ac:dyDescent="0.25">
      <c r="U942" s="211">
        <v>924</v>
      </c>
      <c r="V942" s="178">
        <v>5040658574.5777693</v>
      </c>
    </row>
    <row r="943" spans="21:22" x14ac:dyDescent="0.25">
      <c r="U943" s="211">
        <v>925</v>
      </c>
      <c r="V943" s="178">
        <v>4965673796.9077425</v>
      </c>
    </row>
    <row r="944" spans="21:22" x14ac:dyDescent="0.25">
      <c r="U944" s="211">
        <v>926</v>
      </c>
      <c r="V944" s="178">
        <v>5398390398.2745247</v>
      </c>
    </row>
    <row r="945" spans="21:22" x14ac:dyDescent="0.25">
      <c r="U945" s="211">
        <v>927</v>
      </c>
      <c r="V945" s="178">
        <v>8847899341.2437592</v>
      </c>
    </row>
    <row r="946" spans="21:22" x14ac:dyDescent="0.25">
      <c r="U946" s="211">
        <v>928</v>
      </c>
      <c r="V946" s="178">
        <v>5103992276.3790607</v>
      </c>
    </row>
    <row r="947" spans="21:22" x14ac:dyDescent="0.25">
      <c r="U947" s="211">
        <v>929</v>
      </c>
      <c r="V947" s="178">
        <v>5266705781.7087135</v>
      </c>
    </row>
    <row r="948" spans="21:22" x14ac:dyDescent="0.25">
      <c r="U948" s="211">
        <v>930</v>
      </c>
      <c r="V948" s="178">
        <v>12909843089.709679</v>
      </c>
    </row>
    <row r="949" spans="21:22" x14ac:dyDescent="0.25">
      <c r="U949" s="211">
        <v>931</v>
      </c>
      <c r="V949" s="178">
        <v>4535080195.3063908</v>
      </c>
    </row>
    <row r="950" spans="21:22" x14ac:dyDescent="0.25">
      <c r="U950" s="211">
        <v>932</v>
      </c>
      <c r="V950" s="178">
        <v>5244482223.0082912</v>
      </c>
    </row>
    <row r="951" spans="21:22" x14ac:dyDescent="0.25">
      <c r="U951" s="211">
        <v>933</v>
      </c>
      <c r="V951" s="178">
        <v>5104211920.6670427</v>
      </c>
    </row>
    <row r="952" spans="21:22" x14ac:dyDescent="0.25">
      <c r="U952" s="211">
        <v>934</v>
      </c>
      <c r="V952" s="178">
        <v>6398169825.9908495</v>
      </c>
    </row>
    <row r="953" spans="21:22" x14ac:dyDescent="0.25">
      <c r="U953" s="211">
        <v>935</v>
      </c>
      <c r="V953" s="178">
        <v>7654435231.4687376</v>
      </c>
    </row>
    <row r="954" spans="21:22" x14ac:dyDescent="0.25">
      <c r="U954" s="211">
        <v>936</v>
      </c>
      <c r="V954" s="178">
        <v>5162451300.3373585</v>
      </c>
    </row>
    <row r="955" spans="21:22" x14ac:dyDescent="0.25">
      <c r="U955" s="211">
        <v>937</v>
      </c>
      <c r="V955" s="178">
        <v>4371846107.6068916</v>
      </c>
    </row>
    <row r="956" spans="21:22" x14ac:dyDescent="0.25">
      <c r="U956" s="211">
        <v>938</v>
      </c>
      <c r="V956" s="178">
        <v>5550778076.4123459</v>
      </c>
    </row>
    <row r="957" spans="21:22" x14ac:dyDescent="0.25">
      <c r="U957" s="211">
        <v>939</v>
      </c>
      <c r="V957" s="178">
        <v>7942692622.4731464</v>
      </c>
    </row>
    <row r="958" spans="21:22" x14ac:dyDescent="0.25">
      <c r="U958" s="211">
        <v>940</v>
      </c>
      <c r="V958" s="178">
        <v>9311656824.0402756</v>
      </c>
    </row>
    <row r="959" spans="21:22" x14ac:dyDescent="0.25">
      <c r="U959" s="211">
        <v>941</v>
      </c>
      <c r="V959" s="178">
        <v>4937796222.0144463</v>
      </c>
    </row>
    <row r="960" spans="21:22" x14ac:dyDescent="0.25">
      <c r="U960" s="211">
        <v>942</v>
      </c>
      <c r="V960" s="178">
        <v>7234221756.8804979</v>
      </c>
    </row>
    <row r="961" spans="21:22" x14ac:dyDescent="0.25">
      <c r="U961" s="211">
        <v>943</v>
      </c>
      <c r="V961" s="178">
        <v>4621285296.058279</v>
      </c>
    </row>
    <row r="962" spans="21:22" x14ac:dyDescent="0.25">
      <c r="U962" s="211">
        <v>944</v>
      </c>
      <c r="V962" s="178">
        <v>4012964460.3885889</v>
      </c>
    </row>
    <row r="963" spans="21:22" x14ac:dyDescent="0.25">
      <c r="U963" s="211">
        <v>945</v>
      </c>
      <c r="V963" s="178">
        <v>4999963047.9014788</v>
      </c>
    </row>
    <row r="964" spans="21:22" x14ac:dyDescent="0.25">
      <c r="U964" s="211">
        <v>946</v>
      </c>
      <c r="V964" s="178">
        <v>5540444401.4187307</v>
      </c>
    </row>
    <row r="965" spans="21:22" x14ac:dyDescent="0.25">
      <c r="U965" s="211">
        <v>947</v>
      </c>
      <c r="V965" s="178">
        <v>5257472341.7247019</v>
      </c>
    </row>
    <row r="966" spans="21:22" x14ac:dyDescent="0.25">
      <c r="U966" s="211">
        <v>948</v>
      </c>
      <c r="V966" s="178">
        <v>4434264466.2467861</v>
      </c>
    </row>
    <row r="967" spans="21:22" x14ac:dyDescent="0.25">
      <c r="U967" s="211">
        <v>949</v>
      </c>
      <c r="V967" s="178">
        <v>3690916793.8760738</v>
      </c>
    </row>
    <row r="968" spans="21:22" x14ac:dyDescent="0.25">
      <c r="U968" s="211">
        <v>950</v>
      </c>
      <c r="V968" s="178">
        <v>4225964976.7331877</v>
      </c>
    </row>
    <row r="969" spans="21:22" x14ac:dyDescent="0.25">
      <c r="U969" s="211">
        <v>951</v>
      </c>
      <c r="V969" s="178">
        <v>4944218266.6417589</v>
      </c>
    </row>
    <row r="970" spans="21:22" x14ac:dyDescent="0.25">
      <c r="U970" s="211">
        <v>952</v>
      </c>
      <c r="V970" s="178">
        <v>6080085155.9663658</v>
      </c>
    </row>
    <row r="971" spans="21:22" x14ac:dyDescent="0.25">
      <c r="U971" s="211">
        <v>953</v>
      </c>
      <c r="V971" s="178">
        <v>4531650931.9957199</v>
      </c>
    </row>
    <row r="972" spans="21:22" x14ac:dyDescent="0.25">
      <c r="U972" s="211">
        <v>954</v>
      </c>
      <c r="V972" s="178">
        <v>3707790486.4135904</v>
      </c>
    </row>
    <row r="973" spans="21:22" x14ac:dyDescent="0.25">
      <c r="U973" s="211">
        <v>955</v>
      </c>
      <c r="V973" s="178">
        <v>7411399004.6865559</v>
      </c>
    </row>
    <row r="974" spans="21:22" x14ac:dyDescent="0.25">
      <c r="U974" s="211">
        <v>956</v>
      </c>
      <c r="V974" s="178">
        <v>4174734788.4411683</v>
      </c>
    </row>
    <row r="975" spans="21:22" x14ac:dyDescent="0.25">
      <c r="U975" s="211">
        <v>957</v>
      </c>
      <c r="V975" s="178">
        <v>6296777868.6644993</v>
      </c>
    </row>
    <row r="976" spans="21:22" x14ac:dyDescent="0.25">
      <c r="U976" s="211">
        <v>958</v>
      </c>
      <c r="V976" s="178">
        <v>15833122151.736603</v>
      </c>
    </row>
    <row r="977" spans="21:22" x14ac:dyDescent="0.25">
      <c r="U977" s="211">
        <v>959</v>
      </c>
      <c r="V977" s="178">
        <v>5476163390.64678</v>
      </c>
    </row>
    <row r="978" spans="21:22" x14ac:dyDescent="0.25">
      <c r="U978" s="211">
        <v>960</v>
      </c>
      <c r="V978" s="178">
        <v>5168259918.9527283</v>
      </c>
    </row>
    <row r="979" spans="21:22" x14ac:dyDescent="0.25">
      <c r="U979" s="211">
        <v>961</v>
      </c>
      <c r="V979" s="178">
        <v>5247156881.7219744</v>
      </c>
    </row>
    <row r="980" spans="21:22" x14ac:dyDescent="0.25">
      <c r="U980" s="211">
        <v>962</v>
      </c>
      <c r="V980" s="178">
        <v>4091687118.9573832</v>
      </c>
    </row>
    <row r="981" spans="21:22" x14ac:dyDescent="0.25">
      <c r="U981" s="211">
        <v>963</v>
      </c>
      <c r="V981" s="178">
        <v>5280663458.2731209</v>
      </c>
    </row>
    <row r="982" spans="21:22" x14ac:dyDescent="0.25">
      <c r="U982" s="211">
        <v>964</v>
      </c>
      <c r="V982" s="178">
        <v>5806660590.4764929</v>
      </c>
    </row>
    <row r="983" spans="21:22" x14ac:dyDescent="0.25">
      <c r="U983" s="211">
        <v>965</v>
      </c>
      <c r="V983" s="178">
        <v>6571742530.0502596</v>
      </c>
    </row>
    <row r="984" spans="21:22" x14ac:dyDescent="0.25">
      <c r="U984" s="211">
        <v>966</v>
      </c>
      <c r="V984" s="178">
        <v>6642899650.8366632</v>
      </c>
    </row>
    <row r="985" spans="21:22" x14ac:dyDescent="0.25">
      <c r="U985" s="211">
        <v>967</v>
      </c>
      <c r="V985" s="178">
        <v>6364556522.0192327</v>
      </c>
    </row>
    <row r="986" spans="21:22" x14ac:dyDescent="0.25">
      <c r="U986" s="211">
        <v>968</v>
      </c>
      <c r="V986" s="178">
        <v>6118947947.1070213</v>
      </c>
    </row>
    <row r="987" spans="21:22" x14ac:dyDescent="0.25">
      <c r="U987" s="211">
        <v>969</v>
      </c>
      <c r="V987" s="178">
        <v>4440321303.2902594</v>
      </c>
    </row>
    <row r="988" spans="21:22" x14ac:dyDescent="0.25">
      <c r="U988" s="211">
        <v>970</v>
      </c>
      <c r="V988" s="178">
        <v>3945301473.3124385</v>
      </c>
    </row>
    <row r="989" spans="21:22" x14ac:dyDescent="0.25">
      <c r="U989" s="211">
        <v>971</v>
      </c>
      <c r="V989" s="178">
        <v>6505792947.1100683</v>
      </c>
    </row>
    <row r="990" spans="21:22" x14ac:dyDescent="0.25">
      <c r="U990" s="211">
        <v>972</v>
      </c>
      <c r="V990" s="178">
        <v>5326797571.0705566</v>
      </c>
    </row>
    <row r="991" spans="21:22" x14ac:dyDescent="0.25">
      <c r="U991" s="211">
        <v>973</v>
      </c>
      <c r="V991" s="178">
        <v>4504474249.7736559</v>
      </c>
    </row>
    <row r="992" spans="21:22" x14ac:dyDescent="0.25">
      <c r="U992" s="211">
        <v>974</v>
      </c>
      <c r="V992" s="178">
        <v>4696840777.9186821</v>
      </c>
    </row>
    <row r="993" spans="21:22" x14ac:dyDescent="0.25">
      <c r="U993" s="211">
        <v>975</v>
      </c>
      <c r="V993" s="178">
        <v>4843285848.9070091</v>
      </c>
    </row>
    <row r="994" spans="21:22" x14ac:dyDescent="0.25">
      <c r="U994" s="211">
        <v>976</v>
      </c>
      <c r="V994" s="178">
        <v>6394567776.8398933</v>
      </c>
    </row>
    <row r="995" spans="21:22" x14ac:dyDescent="0.25">
      <c r="U995" s="211">
        <v>977</v>
      </c>
      <c r="V995" s="178">
        <v>3130217745.4746337</v>
      </c>
    </row>
    <row r="996" spans="21:22" x14ac:dyDescent="0.25">
      <c r="U996" s="211">
        <v>978</v>
      </c>
      <c r="V996" s="178">
        <v>5301865485.2737408</v>
      </c>
    </row>
    <row r="997" spans="21:22" x14ac:dyDescent="0.25">
      <c r="U997" s="211">
        <v>979</v>
      </c>
      <c r="V997" s="178">
        <v>7710149492.4404669</v>
      </c>
    </row>
    <row r="998" spans="21:22" x14ac:dyDescent="0.25">
      <c r="U998" s="211">
        <v>980</v>
      </c>
      <c r="V998" s="178">
        <v>4101878377.1097021</v>
      </c>
    </row>
    <row r="999" spans="21:22" x14ac:dyDescent="0.25">
      <c r="U999" s="211">
        <v>981</v>
      </c>
      <c r="V999" s="178">
        <v>2933543706.1759391</v>
      </c>
    </row>
    <row r="1000" spans="21:22" x14ac:dyDescent="0.25">
      <c r="U1000" s="211">
        <v>982</v>
      </c>
      <c r="V1000" s="178">
        <v>8383092520.2642307</v>
      </c>
    </row>
    <row r="1001" spans="21:22" x14ac:dyDescent="0.25">
      <c r="U1001" s="211">
        <v>983</v>
      </c>
      <c r="V1001" s="178">
        <v>7216160913.8986692</v>
      </c>
    </row>
    <row r="1002" spans="21:22" x14ac:dyDescent="0.25">
      <c r="U1002" s="211">
        <v>984</v>
      </c>
      <c r="V1002" s="178">
        <v>5341100317.8674164</v>
      </c>
    </row>
    <row r="1003" spans="21:22" x14ac:dyDescent="0.25">
      <c r="U1003" s="211">
        <v>985</v>
      </c>
      <c r="V1003" s="178">
        <v>9642809514.22019</v>
      </c>
    </row>
    <row r="1004" spans="21:22" x14ac:dyDescent="0.25">
      <c r="U1004" s="211">
        <v>986</v>
      </c>
      <c r="V1004" s="178">
        <v>12621443316.414667</v>
      </c>
    </row>
    <row r="1005" spans="21:22" x14ac:dyDescent="0.25">
      <c r="U1005" s="211">
        <v>987</v>
      </c>
      <c r="V1005" s="178">
        <v>6107093225.1254816</v>
      </c>
    </row>
    <row r="1006" spans="21:22" x14ac:dyDescent="0.25">
      <c r="U1006" s="211">
        <v>988</v>
      </c>
      <c r="V1006" s="178">
        <v>6494259722.3737745</v>
      </c>
    </row>
    <row r="1007" spans="21:22" x14ac:dyDescent="0.25">
      <c r="U1007" s="211">
        <v>989</v>
      </c>
      <c r="V1007" s="178">
        <v>3337322950.3324862</v>
      </c>
    </row>
    <row r="1008" spans="21:22" x14ac:dyDescent="0.25">
      <c r="U1008" s="211">
        <v>990</v>
      </c>
      <c r="V1008" s="178">
        <v>14389931162.006725</v>
      </c>
    </row>
    <row r="1009" spans="21:22" x14ac:dyDescent="0.25">
      <c r="U1009" s="211">
        <v>991</v>
      </c>
      <c r="V1009" s="178">
        <v>3619503686.8806462</v>
      </c>
    </row>
    <row r="1010" spans="21:22" x14ac:dyDescent="0.25">
      <c r="U1010" s="211">
        <v>992</v>
      </c>
      <c r="V1010" s="178">
        <v>6107185303.0533247</v>
      </c>
    </row>
    <row r="1011" spans="21:22" x14ac:dyDescent="0.25">
      <c r="U1011" s="211">
        <v>993</v>
      </c>
      <c r="V1011" s="178">
        <v>4691406380.1834574</v>
      </c>
    </row>
    <row r="1012" spans="21:22" x14ac:dyDescent="0.25">
      <c r="U1012" s="211">
        <v>994</v>
      </c>
      <c r="V1012" s="178">
        <v>6095801004.4620275</v>
      </c>
    </row>
    <row r="1013" spans="21:22" x14ac:dyDescent="0.25">
      <c r="U1013" s="211">
        <v>995</v>
      </c>
      <c r="V1013" s="178">
        <v>3391946054.2309189</v>
      </c>
    </row>
    <row r="1014" spans="21:22" x14ac:dyDescent="0.25">
      <c r="U1014" s="211">
        <v>996</v>
      </c>
      <c r="V1014" s="178">
        <v>6588054633.8826437</v>
      </c>
    </row>
    <row r="1015" spans="21:22" x14ac:dyDescent="0.25">
      <c r="U1015" s="211">
        <v>997</v>
      </c>
      <c r="V1015" s="178">
        <v>5645748305.5788803</v>
      </c>
    </row>
    <row r="1016" spans="21:22" x14ac:dyDescent="0.25">
      <c r="U1016" s="211">
        <v>998</v>
      </c>
      <c r="V1016" s="178">
        <v>10466062788.67466</v>
      </c>
    </row>
    <row r="1017" spans="21:22" x14ac:dyDescent="0.25">
      <c r="U1017" s="211">
        <v>999</v>
      </c>
      <c r="V1017" s="178">
        <v>3390900286.694602</v>
      </c>
    </row>
    <row r="1018" spans="21:22" x14ac:dyDescent="0.25">
      <c r="U1018" s="211">
        <v>1000</v>
      </c>
      <c r="V1018" s="178">
        <v>19724786892.321819</v>
      </c>
    </row>
  </sheetData>
  <mergeCells count="19">
    <mergeCell ref="B6:C6"/>
    <mergeCell ref="B1:D1"/>
    <mergeCell ref="F1:K1"/>
    <mergeCell ref="B2:C2"/>
    <mergeCell ref="B3:C3"/>
    <mergeCell ref="B4:C4"/>
    <mergeCell ref="B5:C5"/>
    <mergeCell ref="N17:P17"/>
    <mergeCell ref="B7:C7"/>
    <mergeCell ref="B8:C8"/>
    <mergeCell ref="B9:C9"/>
    <mergeCell ref="B10:C10"/>
    <mergeCell ref="B11:C11"/>
    <mergeCell ref="B12:C12"/>
    <mergeCell ref="B13:C13"/>
    <mergeCell ref="B14:C14"/>
    <mergeCell ref="F17:H17"/>
    <mergeCell ref="I17:J17"/>
    <mergeCell ref="K17:M17"/>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14F52-F17E-4B58-B21C-BB5A010DC259}">
  <dimension ref="A1:X1018"/>
  <sheetViews>
    <sheetView showGridLines="0" topLeftCell="L986" zoomScale="85" zoomScaleNormal="85" workbookViewId="0">
      <selection activeCell="V19" sqref="V19:V1018"/>
    </sheetView>
  </sheetViews>
  <sheetFormatPr defaultRowHeight="13.8" x14ac:dyDescent="0.25"/>
  <cols>
    <col min="1" max="1" width="8.88671875" style="174"/>
    <col min="2" max="2" width="39.33203125" style="166" customWidth="1"/>
    <col min="3" max="3" width="6.6640625" style="166" bestFit="1" customWidth="1"/>
    <col min="4" max="4" width="26" style="170" bestFit="1" customWidth="1"/>
    <col min="5" max="5" width="19.88671875" style="170" bestFit="1" customWidth="1"/>
    <col min="6" max="6" width="16.6640625" style="170" bestFit="1" customWidth="1"/>
    <col min="7" max="7" width="23.21875" style="174" bestFit="1" customWidth="1"/>
    <col min="8" max="8" width="20.21875" style="174" bestFit="1" customWidth="1"/>
    <col min="9" max="9" width="27.5546875" style="174" bestFit="1" customWidth="1"/>
    <col min="10" max="10" width="30.109375" style="174" bestFit="1" customWidth="1"/>
    <col min="11" max="11" width="21.44140625" style="174" bestFit="1" customWidth="1"/>
    <col min="12" max="12" width="23.21875" style="174" bestFit="1" customWidth="1"/>
    <col min="13" max="13" width="23.88671875" style="174" bestFit="1" customWidth="1"/>
    <col min="14" max="14" width="20.6640625" style="174" bestFit="1" customWidth="1"/>
    <col min="15" max="15" width="23.21875" style="174" bestFit="1" customWidth="1"/>
    <col min="16" max="16" width="23.109375" style="174" bestFit="1" customWidth="1"/>
    <col min="17" max="17" width="20.5546875" style="170" bestFit="1" customWidth="1"/>
    <col min="18" max="18" width="17.77734375" style="170" bestFit="1" customWidth="1"/>
    <col min="19" max="19" width="24.6640625" style="166" bestFit="1" customWidth="1"/>
    <col min="20" max="20" width="8.88671875" style="166"/>
    <col min="21" max="21" width="10.44140625" style="170" bestFit="1" customWidth="1"/>
    <col min="22" max="22" width="18.44140625" style="166" customWidth="1"/>
    <col min="23" max="23" width="32.44140625" style="170" bestFit="1" customWidth="1"/>
    <col min="24" max="24" width="15.6640625" style="170" bestFit="1" customWidth="1"/>
    <col min="25" max="16384" width="8.88671875" style="166"/>
  </cols>
  <sheetData>
    <row r="1" spans="2:20" x14ac:dyDescent="0.25">
      <c r="B1" s="440" t="s">
        <v>639</v>
      </c>
      <c r="C1" s="440"/>
      <c r="D1" s="440"/>
      <c r="F1" s="305" t="s">
        <v>445</v>
      </c>
      <c r="G1" s="305"/>
      <c r="H1" s="305"/>
      <c r="I1" s="305"/>
      <c r="J1" s="305"/>
      <c r="K1" s="305"/>
      <c r="L1" s="138"/>
      <c r="M1" s="138"/>
      <c r="N1" s="138"/>
      <c r="O1" s="138"/>
      <c r="P1" s="138"/>
      <c r="R1" s="176" t="s">
        <v>475</v>
      </c>
      <c r="S1" s="179" t="s">
        <v>477</v>
      </c>
      <c r="T1" s="167"/>
    </row>
    <row r="2" spans="2:20" x14ac:dyDescent="0.25">
      <c r="B2" s="429" t="s">
        <v>419</v>
      </c>
      <c r="C2" s="429"/>
      <c r="D2" s="186">
        <f>'12. Balance Sheet'!$C$7+'12. Balance Sheet'!$C$10</f>
        <v>42000000</v>
      </c>
      <c r="E2" s="171"/>
      <c r="F2" s="79" t="s">
        <v>96</v>
      </c>
      <c r="G2" s="79" t="s">
        <v>432</v>
      </c>
      <c r="H2" s="79" t="s">
        <v>433</v>
      </c>
      <c r="I2" s="79" t="s">
        <v>434</v>
      </c>
      <c r="J2" s="79" t="s">
        <v>435</v>
      </c>
      <c r="K2" s="79" t="s">
        <v>436</v>
      </c>
      <c r="L2" s="138"/>
      <c r="M2" s="138"/>
      <c r="N2" s="138"/>
      <c r="O2" s="138"/>
      <c r="P2" s="138"/>
      <c r="R2" s="170" t="s">
        <v>476</v>
      </c>
      <c r="S2" s="180">
        <f>'5. Down payment savings'!C1</f>
        <v>2700000000</v>
      </c>
      <c r="T2" s="167"/>
    </row>
    <row r="3" spans="2:20" x14ac:dyDescent="0.25">
      <c r="B3" s="434"/>
      <c r="C3" s="434"/>
      <c r="D3" s="171"/>
      <c r="E3" s="171"/>
      <c r="F3" s="79" t="s">
        <v>431</v>
      </c>
      <c r="G3" s="121">
        <f>'14.1. Asset Allocation'!I25</f>
        <v>0.15</v>
      </c>
      <c r="H3" s="121">
        <f>'14.1. Asset Allocation'!J25</f>
        <v>0.1</v>
      </c>
      <c r="I3" s="121">
        <f>'14.1. Asset Allocation'!K25</f>
        <v>0.15</v>
      </c>
      <c r="J3" s="121">
        <f>'14.1. Asset Allocation'!L25</f>
        <v>0.15</v>
      </c>
      <c r="K3" s="121">
        <f>'14.1. Asset Allocation'!M25</f>
        <v>0.4</v>
      </c>
      <c r="L3" s="149"/>
      <c r="M3" s="149"/>
      <c r="N3" s="149"/>
      <c r="O3" s="149"/>
      <c r="P3" s="149"/>
      <c r="R3" s="170" t="s">
        <v>119</v>
      </c>
      <c r="S3" s="180">
        <f>'6. Mortgage payment'!C4</f>
        <v>4456521135.9900026</v>
      </c>
      <c r="T3" s="167"/>
    </row>
    <row r="4" spans="2:20" x14ac:dyDescent="0.25">
      <c r="B4" s="430" t="s">
        <v>420</v>
      </c>
      <c r="C4" s="430"/>
      <c r="D4" s="187"/>
      <c r="F4" s="79" t="s">
        <v>100</v>
      </c>
      <c r="G4" s="121">
        <f>'14.1. Asset Allocation'!I26</f>
        <v>0.15</v>
      </c>
      <c r="H4" s="121">
        <f>'14.1. Asset Allocation'!J26</f>
        <v>0.2</v>
      </c>
      <c r="I4" s="121">
        <f>'14.1. Asset Allocation'!K26</f>
        <v>0.3</v>
      </c>
      <c r="J4" s="121">
        <f>'14.1. Asset Allocation'!L26</f>
        <v>0.05</v>
      </c>
      <c r="K4" s="121">
        <f>'14.1. Asset Allocation'!M26</f>
        <v>0.1</v>
      </c>
      <c r="L4" s="149"/>
      <c r="M4" s="149"/>
      <c r="N4" s="149"/>
      <c r="O4" s="149"/>
      <c r="P4" s="149"/>
      <c r="R4" s="170" t="s">
        <v>480</v>
      </c>
      <c r="S4" s="180">
        <f>150000000*8</f>
        <v>1200000000</v>
      </c>
      <c r="T4" s="167"/>
    </row>
    <row r="5" spans="2:20" x14ac:dyDescent="0.25">
      <c r="B5" s="435" t="s">
        <v>102</v>
      </c>
      <c r="C5" s="435"/>
      <c r="D5" s="191">
        <f>'14.2. Risk &amp; Return'!$B$2</f>
        <v>2.3179999999999999E-2</v>
      </c>
      <c r="E5" s="172"/>
      <c r="F5" s="79" t="s">
        <v>420</v>
      </c>
      <c r="G5" s="121">
        <f>'14.1. Asset Allocation'!I27</f>
        <v>0.4</v>
      </c>
      <c r="H5" s="121">
        <f>'14.1. Asset Allocation'!J27</f>
        <v>0.5</v>
      </c>
      <c r="I5" s="121">
        <f>'14.1. Asset Allocation'!K27</f>
        <v>0.45</v>
      </c>
      <c r="J5" s="121">
        <f>'14.1. Asset Allocation'!L27</f>
        <v>0.7</v>
      </c>
      <c r="K5" s="121">
        <f>'14.1. Asset Allocation'!M27</f>
        <v>0.4</v>
      </c>
      <c r="L5" s="149"/>
      <c r="M5" s="149"/>
      <c r="N5" s="149"/>
      <c r="O5" s="149"/>
      <c r="P5" s="149"/>
      <c r="R5" s="170" t="s">
        <v>59</v>
      </c>
      <c r="S5" s="180">
        <f>(2086-2063)*200000000</f>
        <v>4600000000</v>
      </c>
      <c r="T5" s="167"/>
    </row>
    <row r="6" spans="2:20" x14ac:dyDescent="0.25">
      <c r="B6" s="436" t="s">
        <v>100</v>
      </c>
      <c r="C6" s="436"/>
      <c r="D6" s="188"/>
      <c r="F6" s="79" t="s">
        <v>452</v>
      </c>
      <c r="G6" s="121">
        <f>'14.1. Asset Allocation'!I28</f>
        <v>0.14999999999999991</v>
      </c>
      <c r="H6" s="121">
        <f>'14.1. Asset Allocation'!J28</f>
        <v>0.1</v>
      </c>
      <c r="I6" s="121">
        <f>'14.1. Asset Allocation'!K28</f>
        <v>0.05</v>
      </c>
      <c r="J6" s="121">
        <f>'14.1. Asset Allocation'!L28</f>
        <v>0.05</v>
      </c>
      <c r="K6" s="121">
        <f>'14.1. Asset Allocation'!M28</f>
        <v>0.05</v>
      </c>
      <c r="L6" s="149"/>
      <c r="M6" s="149"/>
      <c r="N6" s="149"/>
      <c r="O6" s="149"/>
      <c r="P6" s="149"/>
      <c r="T6" s="167"/>
    </row>
    <row r="7" spans="2:20" x14ac:dyDescent="0.25">
      <c r="B7" s="437" t="s">
        <v>102</v>
      </c>
      <c r="C7" s="437"/>
      <c r="D7" s="192">
        <f>'14.2. Risk &amp; Return'!$G$3</f>
        <v>6.1999999999999993E-2</v>
      </c>
      <c r="E7" s="172"/>
      <c r="F7" s="79" t="s">
        <v>457</v>
      </c>
      <c r="G7" s="121">
        <f>'14.1. Asset Allocation'!I29</f>
        <v>0.15</v>
      </c>
      <c r="H7" s="121">
        <f>'14.1. Asset Allocation'!J29</f>
        <v>0.1</v>
      </c>
      <c r="I7" s="121">
        <f>'14.1. Asset Allocation'!K29</f>
        <v>0.05</v>
      </c>
      <c r="J7" s="121">
        <f>'14.1. Asset Allocation'!L29</f>
        <v>0.05</v>
      </c>
      <c r="K7" s="121">
        <f>'14.1. Asset Allocation'!M29</f>
        <v>0.05</v>
      </c>
      <c r="L7" s="149"/>
      <c r="M7" s="149"/>
      <c r="N7" s="149"/>
      <c r="O7" s="149"/>
      <c r="P7" s="149"/>
      <c r="R7" s="173"/>
      <c r="T7" s="167"/>
    </row>
    <row r="8" spans="2:20" x14ac:dyDescent="0.25">
      <c r="B8" s="437" t="s">
        <v>103</v>
      </c>
      <c r="C8" s="437"/>
      <c r="D8" s="192">
        <f>'14.2. Risk &amp; Return'!$H$3</f>
        <v>7.1554175279993281E-3</v>
      </c>
      <c r="E8" s="172"/>
      <c r="G8" s="169">
        <f>SUM(G3:G7)</f>
        <v>0.99999999999999989</v>
      </c>
      <c r="H8" s="169">
        <f t="shared" ref="H8:K8" si="0">SUM(H3:H7)</f>
        <v>1</v>
      </c>
      <c r="I8" s="169">
        <f t="shared" si="0"/>
        <v>1</v>
      </c>
      <c r="J8" s="169">
        <f t="shared" si="0"/>
        <v>1</v>
      </c>
      <c r="K8" s="169">
        <f t="shared" si="0"/>
        <v>1</v>
      </c>
      <c r="L8" s="169"/>
      <c r="M8" s="169"/>
      <c r="N8" s="169"/>
      <c r="O8" s="169"/>
      <c r="P8" s="169"/>
      <c r="Q8" s="173"/>
    </row>
    <row r="9" spans="2:20" x14ac:dyDescent="0.25">
      <c r="B9" s="438" t="s">
        <v>454</v>
      </c>
      <c r="C9" s="438"/>
      <c r="D9" s="189"/>
      <c r="E9" s="173"/>
    </row>
    <row r="10" spans="2:20" x14ac:dyDescent="0.25">
      <c r="B10" s="439" t="s">
        <v>102</v>
      </c>
      <c r="C10" s="439"/>
      <c r="D10" s="193">
        <f>'14.2. Risk &amp; Return'!$P$3</f>
        <v>0.12096780994737265</v>
      </c>
      <c r="E10" s="172"/>
    </row>
    <row r="11" spans="2:20" x14ac:dyDescent="0.25">
      <c r="B11" s="439" t="s">
        <v>103</v>
      </c>
      <c r="C11" s="439"/>
      <c r="D11" s="193">
        <f>'14.2. Risk &amp; Return'!$Q$3</f>
        <v>0.31828625710822772</v>
      </c>
      <c r="E11" s="172"/>
    </row>
    <row r="12" spans="2:20" x14ac:dyDescent="0.25">
      <c r="B12" s="442" t="s">
        <v>457</v>
      </c>
      <c r="C12" s="442"/>
      <c r="D12" s="190"/>
      <c r="E12" s="173"/>
    </row>
    <row r="13" spans="2:20" x14ac:dyDescent="0.25">
      <c r="B13" s="443" t="s">
        <v>102</v>
      </c>
      <c r="C13" s="443"/>
      <c r="D13" s="194">
        <f>'14.2. Risk &amp; Return'!$Y$3</f>
        <v>7.2781116971925436E-2</v>
      </c>
      <c r="E13" s="172"/>
    </row>
    <row r="14" spans="2:20" x14ac:dyDescent="0.25">
      <c r="B14" s="443" t="s">
        <v>103</v>
      </c>
      <c r="C14" s="443"/>
      <c r="D14" s="194">
        <f>'14.2. Risk &amp; Return'!$Z$3</f>
        <v>1.9082744993773267E-2</v>
      </c>
      <c r="E14" s="172"/>
    </row>
    <row r="15" spans="2:20" x14ac:dyDescent="0.25">
      <c r="D15" s="171"/>
      <c r="E15" s="171"/>
    </row>
    <row r="16" spans="2:20" x14ac:dyDescent="0.25">
      <c r="D16" s="171"/>
      <c r="E16" s="171"/>
    </row>
    <row r="17" spans="1:24" x14ac:dyDescent="0.25">
      <c r="E17" s="229" t="s">
        <v>431</v>
      </c>
      <c r="F17" s="431" t="s">
        <v>100</v>
      </c>
      <c r="G17" s="431"/>
      <c r="H17" s="431"/>
      <c r="I17" s="432" t="s">
        <v>420</v>
      </c>
      <c r="J17" s="432"/>
      <c r="K17" s="433" t="s">
        <v>452</v>
      </c>
      <c r="L17" s="433"/>
      <c r="M17" s="433"/>
      <c r="N17" s="441" t="s">
        <v>457</v>
      </c>
      <c r="O17" s="441"/>
      <c r="P17" s="441"/>
    </row>
    <row r="18" spans="1:24" s="170" customFormat="1" x14ac:dyDescent="0.25">
      <c r="A18" s="176" t="s">
        <v>322</v>
      </c>
      <c r="B18" s="176" t="s">
        <v>9</v>
      </c>
      <c r="C18" s="176" t="s">
        <v>458</v>
      </c>
      <c r="D18" s="176" t="s">
        <v>101</v>
      </c>
      <c r="E18" s="212" t="s">
        <v>459</v>
      </c>
      <c r="F18" s="213" t="s">
        <v>460</v>
      </c>
      <c r="G18" s="213" t="s">
        <v>462</v>
      </c>
      <c r="H18" s="213" t="s">
        <v>461</v>
      </c>
      <c r="I18" s="214" t="s">
        <v>422</v>
      </c>
      <c r="J18" s="214" t="s">
        <v>467</v>
      </c>
      <c r="K18" s="215" t="s">
        <v>463</v>
      </c>
      <c r="L18" s="215" t="s">
        <v>462</v>
      </c>
      <c r="M18" s="215" t="s">
        <v>464</v>
      </c>
      <c r="N18" s="216" t="s">
        <v>465</v>
      </c>
      <c r="O18" s="216" t="s">
        <v>462</v>
      </c>
      <c r="P18" s="216" t="s">
        <v>466</v>
      </c>
      <c r="Q18" s="176" t="s">
        <v>423</v>
      </c>
      <c r="R18" s="176" t="s">
        <v>473</v>
      </c>
      <c r="S18" s="176" t="s">
        <v>474</v>
      </c>
      <c r="U18" s="197" t="s">
        <v>424</v>
      </c>
      <c r="V18" s="196">
        <f ca="1">S19</f>
        <v>3180297896.3191071</v>
      </c>
    </row>
    <row r="19" spans="1:24" x14ac:dyDescent="0.25">
      <c r="A19" s="198">
        <v>1</v>
      </c>
      <c r="B19" s="199">
        <v>2024</v>
      </c>
      <c r="C19" s="199" cm="1">
        <f t="array" ref="C19">_xlfn.IFS(AND(B19&gt;=2024,B19&lt;=2034),1,AND(B19&gt;=2035,B19&lt;=2044),2,AND(B19&gt;=2045,B19&lt;=2055),3,AND(B19&gt;=2056,B19&lt;=2062),4,B19&gt;=2063,5)</f>
        <v>1</v>
      </c>
      <c r="D19" s="200">
        <f>D2</f>
        <v>42000000</v>
      </c>
      <c r="E19" s="201" cm="1">
        <f t="array" ref="E19">D19*_xlfn.IFS(C19=1,$G$3,C19=2,$H$3,C19=3,$I$3,C19=4,$J$3,C19=5,$K$3)</f>
        <v>6300000</v>
      </c>
      <c r="F19" s="202" cm="1">
        <f t="array" ref="F19">D19*_xlfn.IFS(C19=1,$G$4,C19=2,$H$4,C19=3,$I$4,C19=4,$J$4,C19=5,$K$4)</f>
        <v>6300000</v>
      </c>
      <c r="G19" s="203">
        <f ca="1">_xlfn.NORM.S.INV(RAND())</f>
        <v>-0.21876963336832117</v>
      </c>
      <c r="H19" s="203">
        <f ca="1">1+($D$7+$D$8*G19)</f>
        <v>1.0604346119308024</v>
      </c>
      <c r="I19" s="204" cm="1">
        <f t="array" ref="I19">D19*_xlfn.IFS(C19=1,$G$5,C19=2,$H$5,C19=3,$I$5,C19=4,$J$5,C19=5,$K$5)</f>
        <v>16800000</v>
      </c>
      <c r="J19" s="205">
        <f>1+$D$5</f>
        <v>1.02318</v>
      </c>
      <c r="K19" s="206" cm="1">
        <f t="array" ref="K19">D19*_xlfn.IFS(C19=1,$G$6,C19=2,$H$6,C19=3,$I$6,C19=4,$J$6,C19=5,$K$6)</f>
        <v>6299999.9999999963</v>
      </c>
      <c r="L19" s="207">
        <f ca="1">_xlfn.NORM.S.INV(RAND())</f>
        <v>0.49789075593926663</v>
      </c>
      <c r="M19" s="207">
        <f ca="1">1+($D$10+$D$11*L19)</f>
        <v>1.2794395951040678</v>
      </c>
      <c r="N19" s="208" cm="1">
        <f t="array" ref="N19">D19*_xlfn.IFS(C19=1,$G$7,C19=2,$H$7,C19=3,$I$7,C19=4,$J$7,C19=5,$K$7)</f>
        <v>6300000</v>
      </c>
      <c r="O19" s="209">
        <f ca="1">_xlfn.NORM.S.INV(RAND())</f>
        <v>-2.3397068361055364</v>
      </c>
      <c r="P19" s="209">
        <f ca="1">1+($D$13+$D$14*O19)</f>
        <v>1.0281330880583355</v>
      </c>
      <c r="Q19" s="200">
        <f ca="1">E19+F19*H19+I19*J19+K19*M19+N19*P19</f>
        <v>44707869.959087186</v>
      </c>
      <c r="R19" s="200">
        <f>'14.3. More funds to invest'!G2</f>
        <v>2898099.9999999981</v>
      </c>
      <c r="S19" s="195">
        <f ca="1">Q81+R81</f>
        <v>3180297896.3191071</v>
      </c>
      <c r="U19" s="210">
        <v>1</v>
      </c>
      <c r="V19" s="178">
        <f t="dataTable" ref="V19:V1018" dt2D="0" dtr="0" r1="S2" ca="1"/>
        <v>3448709892.0772243</v>
      </c>
      <c r="W19" s="184" t="s">
        <v>425</v>
      </c>
      <c r="X19" s="181">
        <f>AVERAGE(V19:V1018)</f>
        <v>3632305240.8339806</v>
      </c>
    </row>
    <row r="20" spans="1:24" x14ac:dyDescent="0.25">
      <c r="A20" s="198">
        <v>2</v>
      </c>
      <c r="B20" s="199">
        <v>2025</v>
      </c>
      <c r="C20" s="199" cm="1">
        <f t="array" ref="C20">_xlfn.IFS(AND(B20&gt;=2024,B20&lt;=2034),1,AND(B20&gt;=2035,B20&lt;=2044),2,AND(B20&gt;=2045,B20&lt;=2055),3,AND(B20&gt;=2056,B20&lt;=2062),4,B20&gt;=2063,5)</f>
        <v>1</v>
      </c>
      <c r="D20" s="200">
        <f t="shared" ref="D20:D81" ca="1" si="1">Q19+R19</f>
        <v>47605969.959087186</v>
      </c>
      <c r="E20" s="201" cm="1">
        <f t="array" aca="1" ref="E20" ca="1">D20*_xlfn.IFS(C20=1,$G$3,C20=2,$H$3,C20=3,$I$3,C20=4,$J$3,C20=5,$K$3)</f>
        <v>7140895.4938630778</v>
      </c>
      <c r="F20" s="202" cm="1">
        <f t="array" aca="1" ref="F20" ca="1">D20*_xlfn.IFS(C20=1,$G$4,C20=2,$H$4,C20=3,$I$4,C20=4,$J$4,C20=5,$K$4)</f>
        <v>7140895.4938630778</v>
      </c>
      <c r="G20" s="203">
        <f t="shared" ref="G20:G81" ca="1" si="2">_xlfn.NORM.S.INV(RAND())</f>
        <v>0.31177743923289153</v>
      </c>
      <c r="H20" s="203">
        <f t="shared" ref="H20:H81" ca="1" si="3">1+($D$7+$D$8*G20)</f>
        <v>1.0642308977535218</v>
      </c>
      <c r="I20" s="204" cm="1">
        <f t="array" aca="1" ref="I20" ca="1">D20*_xlfn.IFS(C20=1,$G$5,C20=2,$H$5,C20=3,$I$5,C20=4,$J$5,C20=5,$K$5)</f>
        <v>19042387.983634874</v>
      </c>
      <c r="J20" s="205">
        <f t="shared" ref="J20:J81" si="4">1+$D$5</f>
        <v>1.02318</v>
      </c>
      <c r="K20" s="206" cm="1">
        <f t="array" aca="1" ref="K20" ca="1">D20*_xlfn.IFS(C20=1,$G$6,C20=2,$H$6,C20=3,$I$6,C20=4,$J$6,C20=5,$K$6)</f>
        <v>7140895.4938630732</v>
      </c>
      <c r="L20" s="207">
        <f t="shared" ref="L20:L81" ca="1" si="5">_xlfn.NORM.S.INV(RAND())</f>
        <v>0.64966388979957601</v>
      </c>
      <c r="M20" s="207">
        <f t="shared" ref="M20:M81" ca="1" si="6">1+($D$10+$D$11*L20)</f>
        <v>1.327746897810052</v>
      </c>
      <c r="N20" s="208" cm="1">
        <f t="array" aca="1" ref="N20" ca="1">D20*_xlfn.IFS(C20=1,$G$7,C20=2,$H$7,C20=3,$I$7,C20=4,$J$7,C20=5,$K$7)</f>
        <v>7140895.4938630778</v>
      </c>
      <c r="O20" s="209">
        <f t="shared" ref="O20:O81" ca="1" si="7">_xlfn.NORM.S.INV(RAND())</f>
        <v>5.3891223513001643E-2</v>
      </c>
      <c r="P20" s="209">
        <f t="shared" ref="P20:P81" ca="1" si="8">1+($D$13+$D$14*O20)</f>
        <v>1.0738095094476265</v>
      </c>
      <c r="Q20" s="200">
        <f t="shared" ref="Q20:Q81" ca="1" si="9">E20+F20*H20+I20*J20+K20*M20+N20*P20</f>
        <v>51373510.98000095</v>
      </c>
      <c r="R20" s="200">
        <f>'14.3. More funds to invest'!G3</f>
        <v>3014024</v>
      </c>
      <c r="U20" s="211">
        <v>2</v>
      </c>
      <c r="V20" s="178">
        <v>3279432783.025681</v>
      </c>
      <c r="W20" s="184" t="s">
        <v>426</v>
      </c>
      <c r="X20" s="181">
        <f>_xlfn.STDEV.S(V19:V1018)</f>
        <v>301470412.92949533</v>
      </c>
    </row>
    <row r="21" spans="1:24" x14ac:dyDescent="0.25">
      <c r="A21" s="198">
        <v>3</v>
      </c>
      <c r="B21" s="199">
        <v>2026</v>
      </c>
      <c r="C21" s="199" cm="1">
        <f t="array" ref="C21">_xlfn.IFS(AND(B21&gt;=2024,B21&lt;=2034),1,AND(B21&gt;=2035,B21&lt;=2044),2,AND(B21&gt;=2045,B21&lt;=2055),3,AND(B21&gt;=2056,B21&lt;=2062),4,B21&gt;=2063,5)</f>
        <v>1</v>
      </c>
      <c r="D21" s="200">
        <f t="shared" ca="1" si="1"/>
        <v>54387534.98000095</v>
      </c>
      <c r="E21" s="201" cm="1">
        <f t="array" aca="1" ref="E21" ca="1">D21*_xlfn.IFS(C21=1,$G$3,C21=2,$H$3,C21=3,$I$3,C21=4,$J$3,C21=5,$K$3)</f>
        <v>8158130.247000142</v>
      </c>
      <c r="F21" s="202" cm="1">
        <f t="array" aca="1" ref="F21" ca="1">D21*_xlfn.IFS(C21=1,$G$4,C21=2,$H$4,C21=3,$I$4,C21=4,$J$4,C21=5,$K$4)</f>
        <v>8158130.247000142</v>
      </c>
      <c r="G21" s="203">
        <f t="shared" ca="1" si="2"/>
        <v>-0.6731712755540139</v>
      </c>
      <c r="H21" s="203">
        <f t="shared" ca="1" si="3"/>
        <v>1.0571831784555552</v>
      </c>
      <c r="I21" s="204" cm="1">
        <f t="array" aca="1" ref="I21" ca="1">D21*_xlfn.IFS(C21=1,$G$5,C21=2,$H$5,C21=3,$I$5,C21=4,$J$5,C21=5,$K$5)</f>
        <v>21755013.992000382</v>
      </c>
      <c r="J21" s="205">
        <f t="shared" si="4"/>
        <v>1.02318</v>
      </c>
      <c r="K21" s="206" cm="1">
        <f t="array" aca="1" ref="K21" ca="1">D21*_xlfn.IFS(C21=1,$G$6,C21=2,$H$6,C21=3,$I$6,C21=4,$J$6,C21=5,$K$6)</f>
        <v>8158130.2470001373</v>
      </c>
      <c r="L21" s="207">
        <f t="shared" ca="1" si="5"/>
        <v>-1.9891862273406664</v>
      </c>
      <c r="M21" s="207">
        <f t="shared" ca="1" si="6"/>
        <v>0.48783717095587575</v>
      </c>
      <c r="N21" s="208" cm="1">
        <f t="array" aca="1" ref="N21" ca="1">D21*_xlfn.IFS(C21=1,$G$7,C21=2,$H$7,C21=3,$I$7,C21=4,$J$7,C21=5,$K$7)</f>
        <v>8158130.247000142</v>
      </c>
      <c r="O21" s="209">
        <f t="shared" ca="1" si="7"/>
        <v>-0.62026805301642007</v>
      </c>
      <c r="P21" s="209">
        <f t="shared" ca="1" si="8"/>
        <v>1.0609446998884289</v>
      </c>
      <c r="Q21" s="200">
        <f t="shared" ca="1" si="9"/>
        <v>51677227.754653491</v>
      </c>
      <c r="R21" s="200">
        <f>'14.3. More funds to invest'!G4</f>
        <v>3134584.959999999</v>
      </c>
      <c r="U21" s="211">
        <v>3</v>
      </c>
      <c r="V21" s="178">
        <v>3808579565.6031399</v>
      </c>
      <c r="W21" s="184" t="s">
        <v>427</v>
      </c>
      <c r="X21" s="181">
        <f>_xlfn.PERCENTILE.EXC(V19:V1018,0.25)</f>
        <v>3423666035.8963151</v>
      </c>
    </row>
    <row r="22" spans="1:24" x14ac:dyDescent="0.25">
      <c r="A22" s="198">
        <v>4</v>
      </c>
      <c r="B22" s="199">
        <v>2027</v>
      </c>
      <c r="C22" s="199" cm="1">
        <f t="array" ref="C22">_xlfn.IFS(AND(B22&gt;=2024,B22&lt;=2034),1,AND(B22&gt;=2035,B22&lt;=2044),2,AND(B22&gt;=2045,B22&lt;=2055),3,AND(B22&gt;=2056,B22&lt;=2062),4,B22&gt;=2063,5)</f>
        <v>1</v>
      </c>
      <c r="D22" s="200">
        <f t="shared" ca="1" si="1"/>
        <v>54811812.714653492</v>
      </c>
      <c r="E22" s="201" cm="1">
        <f t="array" aca="1" ref="E22" ca="1">D22*_xlfn.IFS(C22=1,$G$3,C22=2,$H$3,C22=3,$I$3,C22=4,$J$3,C22=5,$K$3)</f>
        <v>8221771.9071980231</v>
      </c>
      <c r="F22" s="202" cm="1">
        <f t="array" aca="1" ref="F22" ca="1">D22*_xlfn.IFS(C22=1,$G$4,C22=2,$H$4,C22=3,$I$4,C22=4,$J$4,C22=5,$K$4)</f>
        <v>8221771.9071980231</v>
      </c>
      <c r="G22" s="203">
        <f t="shared" ca="1" si="2"/>
        <v>6.3935545476109579E-2</v>
      </c>
      <c r="H22" s="203">
        <f t="shared" ca="1" si="3"/>
        <v>1.062457485522762</v>
      </c>
      <c r="I22" s="204" cm="1">
        <f t="array" aca="1" ref="I22" ca="1">D22*_xlfn.IFS(C22=1,$G$5,C22=2,$H$5,C22=3,$I$5,C22=4,$J$5,C22=5,$K$5)</f>
        <v>21924725.0858614</v>
      </c>
      <c r="J22" s="205">
        <f t="shared" si="4"/>
        <v>1.02318</v>
      </c>
      <c r="K22" s="206" cm="1">
        <f t="array" aca="1" ref="K22" ca="1">D22*_xlfn.IFS(C22=1,$G$6,C22=2,$H$6,C22=3,$I$6,C22=4,$J$6,C22=5,$K$6)</f>
        <v>8221771.9071980193</v>
      </c>
      <c r="L22" s="207">
        <f t="shared" ca="1" si="5"/>
        <v>-1.410785502075754</v>
      </c>
      <c r="M22" s="207">
        <f t="shared" ca="1" si="6"/>
        <v>0.67193417290912905</v>
      </c>
      <c r="N22" s="208" cm="1">
        <f t="array" aca="1" ref="N22" ca="1">D22*_xlfn.IFS(C22=1,$G$7,C22=2,$H$7,C22=3,$I$7,C22=4,$J$7,C22=5,$K$7)</f>
        <v>8221771.9071980231</v>
      </c>
      <c r="O22" s="209">
        <f t="shared" ca="1" si="7"/>
        <v>2.9102692359356919</v>
      </c>
      <c r="P22" s="209">
        <f t="shared" ca="1" si="8"/>
        <v>1.1283170426645097</v>
      </c>
      <c r="Q22" s="200">
        <f t="shared" ca="1" si="9"/>
        <v>54191250.097715423</v>
      </c>
      <c r="R22" s="200">
        <f>'14.3. More funds to invest'!G5</f>
        <v>3259968.3584000003</v>
      </c>
      <c r="U22" s="211">
        <v>4</v>
      </c>
      <c r="V22" s="178">
        <v>4081654908.9146318</v>
      </c>
      <c r="W22" s="184" t="s">
        <v>429</v>
      </c>
      <c r="X22" s="181">
        <f>_xlfn.PERCENTILE.EXC(V19:V1018,0.5)</f>
        <v>3603541026.8074589</v>
      </c>
    </row>
    <row r="23" spans="1:24" x14ac:dyDescent="0.25">
      <c r="A23" s="198">
        <v>5</v>
      </c>
      <c r="B23" s="199">
        <v>2028</v>
      </c>
      <c r="C23" s="199" cm="1">
        <f t="array" ref="C23">_xlfn.IFS(AND(B23&gt;=2024,B23&lt;=2034),1,AND(B23&gt;=2035,B23&lt;=2044),2,AND(B23&gt;=2045,B23&lt;=2055),3,AND(B23&gt;=2056,B23&lt;=2062),4,B23&gt;=2063,5)</f>
        <v>1</v>
      </c>
      <c r="D23" s="200">
        <f t="shared" ca="1" si="1"/>
        <v>57451218.456115425</v>
      </c>
      <c r="E23" s="201" cm="1">
        <f t="array" aca="1" ref="E23" ca="1">D23*_xlfn.IFS(C23=1,$G$3,C23=2,$H$3,C23=3,$I$3,C23=4,$J$3,C23=5,$K$3)</f>
        <v>8617682.7684173137</v>
      </c>
      <c r="F23" s="202" cm="1">
        <f t="array" aca="1" ref="F23" ca="1">D23*_xlfn.IFS(C23=1,$G$4,C23=2,$H$4,C23=3,$I$4,C23=4,$J$4,C23=5,$K$4)</f>
        <v>8617682.7684173137</v>
      </c>
      <c r="G23" s="203">
        <f t="shared" ca="1" si="2"/>
        <v>-1.0357978621624409</v>
      </c>
      <c r="H23" s="203">
        <f t="shared" ca="1" si="3"/>
        <v>1.0545884338216187</v>
      </c>
      <c r="I23" s="204" cm="1">
        <f t="array" aca="1" ref="I23" ca="1">D23*_xlfn.IFS(C23=1,$G$5,C23=2,$H$5,C23=3,$I$5,C23=4,$J$5,C23=5,$K$5)</f>
        <v>22980487.38244617</v>
      </c>
      <c r="J23" s="205">
        <f t="shared" si="4"/>
        <v>1.02318</v>
      </c>
      <c r="K23" s="206" cm="1">
        <f t="array" aca="1" ref="K23" ca="1">D23*_xlfn.IFS(C23=1,$G$6,C23=2,$H$6,C23=3,$I$6,C23=4,$J$6,C23=5,$K$6)</f>
        <v>8617682.7684173081</v>
      </c>
      <c r="L23" s="207">
        <f t="shared" ca="1" si="5"/>
        <v>-1.2652846661284467</v>
      </c>
      <c r="M23" s="207">
        <f t="shared" ca="1" si="6"/>
        <v>0.71824508938891585</v>
      </c>
      <c r="N23" s="208" cm="1">
        <f t="array" aca="1" ref="N23" ca="1">D23*_xlfn.IFS(C23=1,$G$7,C23=2,$H$7,C23=3,$I$7,C23=4,$J$7,C23=5,$K$7)</f>
        <v>8617682.7684173137</v>
      </c>
      <c r="O23" s="209">
        <f t="shared" ca="1" si="7"/>
        <v>6.8794786932046034E-2</v>
      </c>
      <c r="P23" s="209">
        <f t="shared" ca="1" si="8"/>
        <v>1.0740939103478506</v>
      </c>
      <c r="Q23" s="200">
        <f t="shared" ca="1" si="9"/>
        <v>56664775.335499197</v>
      </c>
      <c r="R23" s="200">
        <f>'14.3. More funds to invest'!G6</f>
        <v>3390367.0927359983</v>
      </c>
      <c r="U23" s="211">
        <v>5</v>
      </c>
      <c r="V23" s="178">
        <v>4280012012.2812037</v>
      </c>
      <c r="W23" s="184" t="s">
        <v>428</v>
      </c>
      <c r="X23" s="181">
        <f>_xlfn.PERCENTILE.EXC(V19:V1018,0.75)</f>
        <v>3829945460.3302155</v>
      </c>
    </row>
    <row r="24" spans="1:24" x14ac:dyDescent="0.25">
      <c r="A24" s="198">
        <v>6</v>
      </c>
      <c r="B24" s="199">
        <v>2029</v>
      </c>
      <c r="C24" s="199" cm="1">
        <f t="array" ref="C24">_xlfn.IFS(AND(B24&gt;=2024,B24&lt;=2034),1,AND(B24&gt;=2035,B24&lt;=2044),2,AND(B24&gt;=2045,B24&lt;=2055),3,AND(B24&gt;=2056,B24&lt;=2062),4,B24&gt;=2063,5)</f>
        <v>1</v>
      </c>
      <c r="D24" s="200">
        <f t="shared" ca="1" si="1"/>
        <v>60055142.428235196</v>
      </c>
      <c r="E24" s="201" cm="1">
        <f t="array" aca="1" ref="E24" ca="1">D24*_xlfn.IFS(C24=1,$G$3,C24=2,$H$3,C24=3,$I$3,C24=4,$J$3,C24=5,$K$3)</f>
        <v>9008271.3642352782</v>
      </c>
      <c r="F24" s="202" cm="1">
        <f t="array" aca="1" ref="F24" ca="1">D24*_xlfn.IFS(C24=1,$G$4,C24=2,$H$4,C24=3,$I$4,C24=4,$J$4,C24=5,$K$4)</f>
        <v>9008271.3642352782</v>
      </c>
      <c r="G24" s="203">
        <f t="shared" ca="1" si="2"/>
        <v>3.1023700910811978</v>
      </c>
      <c r="H24" s="203">
        <f t="shared" ca="1" si="3"/>
        <v>1.0841987533280633</v>
      </c>
      <c r="I24" s="204" cm="1">
        <f t="array" aca="1" ref="I24" ca="1">D24*_xlfn.IFS(C24=1,$G$5,C24=2,$H$5,C24=3,$I$5,C24=4,$J$5,C24=5,$K$5)</f>
        <v>24022056.971294079</v>
      </c>
      <c r="J24" s="205">
        <f t="shared" si="4"/>
        <v>1.02318</v>
      </c>
      <c r="K24" s="206" cm="1">
        <f t="array" aca="1" ref="K24" ca="1">D24*_xlfn.IFS(C24=1,$G$6,C24=2,$H$6,C24=3,$I$6,C24=4,$J$6,C24=5,$K$6)</f>
        <v>9008271.3642352745</v>
      </c>
      <c r="L24" s="207">
        <f t="shared" ca="1" si="5"/>
        <v>-0.69465434092416223</v>
      </c>
      <c r="M24" s="207">
        <f t="shared" ca="1" si="6"/>
        <v>0.89986887979063823</v>
      </c>
      <c r="N24" s="208" cm="1">
        <f t="array" aca="1" ref="N24" ca="1">D24*_xlfn.IFS(C24=1,$G$7,C24=2,$H$7,C24=3,$I$7,C24=4,$J$7,C24=5,$K$7)</f>
        <v>9008271.3642352782</v>
      </c>
      <c r="O24" s="209">
        <f t="shared" ca="1" si="7"/>
        <v>0.38466939933178096</v>
      </c>
      <c r="P24" s="209">
        <f t="shared" ca="1" si="8"/>
        <v>1.0801216650262817</v>
      </c>
      <c r="Q24" s="200">
        <f t="shared" ca="1" si="9"/>
        <v>61190208.325199604</v>
      </c>
      <c r="R24" s="200">
        <f>'14.3. More funds to invest'!G7</f>
        <v>3525981.7764454391</v>
      </c>
      <c r="U24" s="211">
        <v>6</v>
      </c>
      <c r="V24" s="178">
        <v>3333830482.7192402</v>
      </c>
      <c r="W24" s="184" t="s">
        <v>430</v>
      </c>
      <c r="X24" s="181">
        <f>_xlfn.PERCENTILE.EXC(V19:V1018,0.95)</f>
        <v>4175041630.5798841</v>
      </c>
    </row>
    <row r="25" spans="1:24" x14ac:dyDescent="0.25">
      <c r="A25" s="198">
        <v>7</v>
      </c>
      <c r="B25" s="199">
        <v>2030</v>
      </c>
      <c r="C25" s="199" cm="1">
        <f t="array" ref="C25">_xlfn.IFS(AND(B25&gt;=2024,B25&lt;=2034),1,AND(B25&gt;=2035,B25&lt;=2044),2,AND(B25&gt;=2045,B25&lt;=2055),3,AND(B25&gt;=2056,B25&lt;=2062),4,B25&gt;=2063,5)</f>
        <v>1</v>
      </c>
      <c r="D25" s="200">
        <f t="shared" ca="1" si="1"/>
        <v>64716190.101645045</v>
      </c>
      <c r="E25" s="201" cm="1">
        <f t="array" aca="1" ref="E25" ca="1">D25*_xlfn.IFS(C25=1,$G$3,C25=2,$H$3,C25=3,$I$3,C25=4,$J$3,C25=5,$K$3)</f>
        <v>9707428.5152467564</v>
      </c>
      <c r="F25" s="202" cm="1">
        <f t="array" aca="1" ref="F25" ca="1">D25*_xlfn.IFS(C25=1,$G$4,C25=2,$H$4,C25=3,$I$4,C25=4,$J$4,C25=5,$K$4)</f>
        <v>9707428.5152467564</v>
      </c>
      <c r="G25" s="203">
        <f t="shared" ca="1" si="2"/>
        <v>0.17444317248918376</v>
      </c>
      <c r="H25" s="203">
        <f t="shared" ca="1" si="3"/>
        <v>1.0632482137340689</v>
      </c>
      <c r="I25" s="204" cm="1">
        <f t="array" aca="1" ref="I25" ca="1">D25*_xlfn.IFS(C25=1,$G$5,C25=2,$H$5,C25=3,$I$5,C25=4,$J$5,C25=5,$K$5)</f>
        <v>25886476.040658019</v>
      </c>
      <c r="J25" s="205">
        <f t="shared" si="4"/>
        <v>1.02318</v>
      </c>
      <c r="K25" s="206" cm="1">
        <f t="array" aca="1" ref="K25" ca="1">D25*_xlfn.IFS(C25=1,$G$6,C25=2,$H$6,C25=3,$I$6,C25=4,$J$6,C25=5,$K$6)</f>
        <v>9707428.5152467508</v>
      </c>
      <c r="L25" s="207">
        <f t="shared" ca="1" si="5"/>
        <v>-0.27451028836092917</v>
      </c>
      <c r="M25" s="207">
        <f t="shared" ca="1" si="6"/>
        <v>1.0335949577272723</v>
      </c>
      <c r="N25" s="208" cm="1">
        <f t="array" aca="1" ref="N25" ca="1">D25*_xlfn.IFS(C25=1,$G$7,C25=2,$H$7,C25=3,$I$7,C25=4,$J$7,C25=5,$K$7)</f>
        <v>9707428.5152467564</v>
      </c>
      <c r="O25" s="209">
        <f t="shared" ca="1" si="7"/>
        <v>-0.15177383362519997</v>
      </c>
      <c r="P25" s="209">
        <f t="shared" ca="1" si="8"/>
        <v>1.0698848556081284</v>
      </c>
      <c r="Q25" s="200">
        <f t="shared" ca="1" si="9"/>
        <v>66934739.020532504</v>
      </c>
      <c r="R25" s="200">
        <f>'14.3. More funds to invest'!G8</f>
        <v>3667021.0475032572</v>
      </c>
      <c r="U25" s="211">
        <v>7</v>
      </c>
      <c r="V25" s="178">
        <v>3835894495.8819571</v>
      </c>
      <c r="W25" s="184" t="s">
        <v>478</v>
      </c>
      <c r="X25" s="182">
        <f>COUNTIF(V19:V1018,"&gt;="&amp;S2)/COUNT(V19:V1018)</f>
        <v>1</v>
      </c>
    </row>
    <row r="26" spans="1:24" x14ac:dyDescent="0.25">
      <c r="A26" s="198">
        <v>8</v>
      </c>
      <c r="B26" s="199">
        <v>2031</v>
      </c>
      <c r="C26" s="199" cm="1">
        <f t="array" ref="C26">_xlfn.IFS(AND(B26&gt;=2024,B26&lt;=2034),1,AND(B26&gt;=2035,B26&lt;=2044),2,AND(B26&gt;=2045,B26&lt;=2055),3,AND(B26&gt;=2056,B26&lt;=2062),4,B26&gt;=2063,5)</f>
        <v>1</v>
      </c>
      <c r="D26" s="200">
        <f t="shared" ca="1" si="1"/>
        <v>70601760.068035766</v>
      </c>
      <c r="E26" s="201" cm="1">
        <f t="array" aca="1" ref="E26" ca="1">D26*_xlfn.IFS(C26=1,$G$3,C26=2,$H$3,C26=3,$I$3,C26=4,$J$3,C26=5,$K$3)</f>
        <v>10590264.010205364</v>
      </c>
      <c r="F26" s="202" cm="1">
        <f t="array" aca="1" ref="F26" ca="1">D26*_xlfn.IFS(C26=1,$G$4,C26=2,$H$4,C26=3,$I$4,C26=4,$J$4,C26=5,$K$4)</f>
        <v>10590264.010205364</v>
      </c>
      <c r="G26" s="203">
        <f t="shared" ca="1" si="2"/>
        <v>1.1702146838673142</v>
      </c>
      <c r="H26" s="203">
        <f t="shared" ca="1" si="3"/>
        <v>1.0703733746604664</v>
      </c>
      <c r="I26" s="204" cm="1">
        <f t="array" aca="1" ref="I26" ca="1">D26*_xlfn.IFS(C26=1,$G$5,C26=2,$H$5,C26=3,$I$5,C26=4,$J$5,C26=5,$K$5)</f>
        <v>28240704.027214307</v>
      </c>
      <c r="J26" s="205">
        <f t="shared" si="4"/>
        <v>1.02318</v>
      </c>
      <c r="K26" s="206" cm="1">
        <f t="array" aca="1" ref="K26" ca="1">D26*_xlfn.IFS(C26=1,$G$6,C26=2,$H$6,C26=3,$I$6,C26=4,$J$6,C26=5,$K$6)</f>
        <v>10590264.010205358</v>
      </c>
      <c r="L26" s="207">
        <f t="shared" ca="1" si="5"/>
        <v>0.26444999348749365</v>
      </c>
      <c r="M26" s="207">
        <f t="shared" ca="1" si="6"/>
        <v>1.2051386085668021</v>
      </c>
      <c r="N26" s="208" cm="1">
        <f t="array" aca="1" ref="N26" ca="1">D26*_xlfn.IFS(C26=1,$G$7,C26=2,$H$7,C26=3,$I$7,C26=4,$J$7,C26=5,$K$7)</f>
        <v>10590264.010205364</v>
      </c>
      <c r="O26" s="209">
        <f t="shared" ca="1" si="7"/>
        <v>0.91151173608409242</v>
      </c>
      <c r="P26" s="209">
        <f t="shared" ca="1" si="8"/>
        <v>1.0901752629904498</v>
      </c>
      <c r="Q26" s="200">
        <f t="shared" ca="1" si="9"/>
        <v>75129104.069997191</v>
      </c>
      <c r="R26" s="200">
        <f>'14.3. More funds to invest'!G9</f>
        <v>3813701.8894033879</v>
      </c>
      <c r="U26" s="211">
        <v>8</v>
      </c>
      <c r="V26" s="178">
        <v>3963814630.7742467</v>
      </c>
      <c r="W26" s="184" t="s">
        <v>479</v>
      </c>
      <c r="X26" s="182">
        <f>COUNTIF(V19:V1018,"&gt;="&amp;S3)/COUNT(V19:V1018)</f>
        <v>4.0000000000000001E-3</v>
      </c>
    </row>
    <row r="27" spans="1:24" x14ac:dyDescent="0.25">
      <c r="A27" s="198">
        <v>9</v>
      </c>
      <c r="B27" s="199">
        <v>2032</v>
      </c>
      <c r="C27" s="199" cm="1">
        <f t="array" ref="C27">_xlfn.IFS(AND(B27&gt;=2024,B27&lt;=2034),1,AND(B27&gt;=2035,B27&lt;=2044),2,AND(B27&gt;=2045,B27&lt;=2055),3,AND(B27&gt;=2056,B27&lt;=2062),4,B27&gt;=2063,5)</f>
        <v>1</v>
      </c>
      <c r="D27" s="200">
        <f t="shared" ca="1" si="1"/>
        <v>78942805.959400579</v>
      </c>
      <c r="E27" s="201" cm="1">
        <f t="array" aca="1" ref="E27" ca="1">D27*_xlfn.IFS(C27=1,$G$3,C27=2,$H$3,C27=3,$I$3,C27=4,$J$3,C27=5,$K$3)</f>
        <v>11841420.893910086</v>
      </c>
      <c r="F27" s="202" cm="1">
        <f t="array" aca="1" ref="F27" ca="1">D27*_xlfn.IFS(C27=1,$G$4,C27=2,$H$4,C27=3,$I$4,C27=4,$J$4,C27=5,$K$4)</f>
        <v>11841420.893910086</v>
      </c>
      <c r="G27" s="203">
        <f t="shared" ca="1" si="2"/>
        <v>7.3868578197800192E-3</v>
      </c>
      <c r="H27" s="203">
        <f t="shared" ca="1" si="3"/>
        <v>1.0620528560519205</v>
      </c>
      <c r="I27" s="204" cm="1">
        <f t="array" aca="1" ref="I27" ca="1">D27*_xlfn.IFS(C27=1,$G$5,C27=2,$H$5,C27=3,$I$5,C27=4,$J$5,C27=5,$K$5)</f>
        <v>31577122.383760232</v>
      </c>
      <c r="J27" s="205">
        <f t="shared" si="4"/>
        <v>1.02318</v>
      </c>
      <c r="K27" s="206" cm="1">
        <f t="array" aca="1" ref="K27" ca="1">D27*_xlfn.IFS(C27=1,$G$6,C27=2,$H$6,C27=3,$I$6,C27=4,$J$6,C27=5,$K$6)</f>
        <v>11841420.89391008</v>
      </c>
      <c r="L27" s="207">
        <f t="shared" ca="1" si="5"/>
        <v>-0.82408202876286318</v>
      </c>
      <c r="M27" s="207">
        <f t="shared" ca="1" si="6"/>
        <v>0.8586738254622861</v>
      </c>
      <c r="N27" s="208" cm="1">
        <f t="array" aca="1" ref="N27" ca="1">D27*_xlfn.IFS(C27=1,$G$7,C27=2,$H$7,C27=3,$I$7,C27=4,$J$7,C27=5,$K$7)</f>
        <v>11841420.893910086</v>
      </c>
      <c r="O27" s="209">
        <f t="shared" ca="1" si="7"/>
        <v>-0.93218872895335558</v>
      </c>
      <c r="P27" s="209">
        <f t="shared" ca="1" si="8"/>
        <v>1.0549923971712389</v>
      </c>
      <c r="Q27" s="200">
        <f t="shared" ca="1" si="9"/>
        <v>79387243.047278583</v>
      </c>
      <c r="R27" s="200">
        <f>'14.3. More funds to invest'!G10</f>
        <v>3966249.9649795219</v>
      </c>
      <c r="U27" s="211">
        <v>9</v>
      </c>
      <c r="V27" s="178">
        <v>3403913312.9409437</v>
      </c>
      <c r="W27" s="184" t="s">
        <v>481</v>
      </c>
      <c r="X27" s="183">
        <f>COUNTIF(V19:V1018,"&gt;="&amp;S4)/COUNT(V19:V1018)</f>
        <v>1</v>
      </c>
    </row>
    <row r="28" spans="1:24" x14ac:dyDescent="0.25">
      <c r="A28" s="198">
        <v>10</v>
      </c>
      <c r="B28" s="199">
        <v>2033</v>
      </c>
      <c r="C28" s="199" cm="1">
        <f t="array" ref="C28">_xlfn.IFS(AND(B28&gt;=2024,B28&lt;=2034),1,AND(B28&gt;=2035,B28&lt;=2044),2,AND(B28&gt;=2045,B28&lt;=2055),3,AND(B28&gt;=2056,B28&lt;=2062),4,B28&gt;=2063,5)</f>
        <v>1</v>
      </c>
      <c r="D28" s="200">
        <f t="shared" ca="1" si="1"/>
        <v>83353493.012258112</v>
      </c>
      <c r="E28" s="201" cm="1">
        <f t="array" aca="1" ref="E28" ca="1">D28*_xlfn.IFS(C28=1,$G$3,C28=2,$H$3,C28=3,$I$3,C28=4,$J$3,C28=5,$K$3)</f>
        <v>12503023.951838717</v>
      </c>
      <c r="F28" s="202" cm="1">
        <f t="array" aca="1" ref="F28" ca="1">D28*_xlfn.IFS(C28=1,$G$4,C28=2,$H$4,C28=3,$I$4,C28=4,$J$4,C28=5,$K$4)</f>
        <v>12503023.951838717</v>
      </c>
      <c r="G28" s="203">
        <f t="shared" ca="1" si="2"/>
        <v>-0.88424620325963932</v>
      </c>
      <c r="H28" s="203">
        <f t="shared" ca="1" si="3"/>
        <v>1.0556728492181291</v>
      </c>
      <c r="I28" s="204" cm="1">
        <f t="array" aca="1" ref="I28" ca="1">D28*_xlfn.IFS(C28=1,$G$5,C28=2,$H$5,C28=3,$I$5,C28=4,$J$5,C28=5,$K$5)</f>
        <v>33341397.204903245</v>
      </c>
      <c r="J28" s="205">
        <f t="shared" si="4"/>
        <v>1.02318</v>
      </c>
      <c r="K28" s="206" cm="1">
        <f t="array" aca="1" ref="K28" ca="1">D28*_xlfn.IFS(C28=1,$G$6,C28=2,$H$6,C28=3,$I$6,C28=4,$J$6,C28=5,$K$6)</f>
        <v>12503023.951838709</v>
      </c>
      <c r="L28" s="207">
        <f t="shared" ca="1" si="5"/>
        <v>0.55363509637773234</v>
      </c>
      <c r="M28" s="207">
        <f t="shared" ca="1" si="6"/>
        <v>1.2971822525771941</v>
      </c>
      <c r="N28" s="208" cm="1">
        <f t="array" aca="1" ref="N28" ca="1">D28*_xlfn.IFS(C28=1,$G$7,C28=2,$H$7,C28=3,$I$7,C28=4,$J$7,C28=5,$K$7)</f>
        <v>12503023.951838717</v>
      </c>
      <c r="O28" s="209">
        <f t="shared" ca="1" si="7"/>
        <v>-1.2510125202869549</v>
      </c>
      <c r="P28" s="209">
        <f t="shared" ca="1" si="8"/>
        <v>1.0489083640632719</v>
      </c>
      <c r="Q28" s="200">
        <f t="shared" ca="1" si="9"/>
        <v>89149604.836071521</v>
      </c>
      <c r="R28" s="200">
        <f>'14.3. More funds to invest'!G11</f>
        <v>8066910.3617777787</v>
      </c>
      <c r="S28" s="168"/>
      <c r="U28" s="211">
        <v>10</v>
      </c>
      <c r="V28" s="178">
        <v>3475537242.01793</v>
      </c>
      <c r="W28" s="184" t="s">
        <v>482</v>
      </c>
      <c r="X28" s="183">
        <f>COUNTIF(V19:V1018,"&gt;="&amp;S5)/COUNT(V19:V1018)</f>
        <v>2E-3</v>
      </c>
    </row>
    <row r="29" spans="1:24" x14ac:dyDescent="0.25">
      <c r="A29" s="198">
        <v>11</v>
      </c>
      <c r="B29" s="199">
        <v>2034</v>
      </c>
      <c r="C29" s="199" cm="1">
        <f t="array" ref="C29">_xlfn.IFS(AND(B29&gt;=2024,B29&lt;=2034),1,AND(B29&gt;=2035,B29&lt;=2044),2,AND(B29&gt;=2045,B29&lt;=2055),3,AND(B29&gt;=2056,B29&lt;=2062),4,B29&gt;=2063,5)</f>
        <v>1</v>
      </c>
      <c r="D29" s="200">
        <f t="shared" ca="1" si="1"/>
        <v>97216515.197849303</v>
      </c>
      <c r="E29" s="201" cm="1">
        <f t="array" aca="1" ref="E29" ca="1">D29*_xlfn.IFS(C29=1,$G$3,C29=2,$H$3,C29=3,$I$3,C29=4,$J$3,C29=5,$K$3)</f>
        <v>14582477.279677395</v>
      </c>
      <c r="F29" s="202" cm="1">
        <f t="array" aca="1" ref="F29" ca="1">D29*_xlfn.IFS(C29=1,$G$4,C29=2,$H$4,C29=3,$I$4,C29=4,$J$4,C29=5,$K$4)</f>
        <v>14582477.279677395</v>
      </c>
      <c r="G29" s="203">
        <f t="shared" ca="1" si="2"/>
        <v>0.61761903685533714</v>
      </c>
      <c r="H29" s="203">
        <f t="shared" ca="1" si="3"/>
        <v>1.0664193220819407</v>
      </c>
      <c r="I29" s="204" cm="1">
        <f t="array" aca="1" ref="I29" ca="1">D29*_xlfn.IFS(C29=1,$G$5,C29=2,$H$5,C29=3,$I$5,C29=4,$J$5,C29=5,$K$5)</f>
        <v>38886606.079139724</v>
      </c>
      <c r="J29" s="205">
        <f t="shared" si="4"/>
        <v>1.02318</v>
      </c>
      <c r="K29" s="206" cm="1">
        <f t="array" aca="1" ref="K29" ca="1">D29*_xlfn.IFS(C29=1,$G$6,C29=2,$H$6,C29=3,$I$6,C29=4,$J$6,C29=5,$K$6)</f>
        <v>14582477.279677387</v>
      </c>
      <c r="L29" s="207">
        <f t="shared" ca="1" si="5"/>
        <v>0.25203775775450443</v>
      </c>
      <c r="M29" s="207">
        <f t="shared" ca="1" si="6"/>
        <v>1.2011879645130041</v>
      </c>
      <c r="N29" s="208" cm="1">
        <f t="array" aca="1" ref="N29" ca="1">D29*_xlfn.IFS(C29=1,$G$7,C29=2,$H$7,C29=3,$I$7,C29=4,$J$7,C29=5,$K$7)</f>
        <v>14582477.279677395</v>
      </c>
      <c r="O29" s="209">
        <f t="shared" ca="1" si="7"/>
        <v>1.0218604047174049</v>
      </c>
      <c r="P29" s="209">
        <f t="shared" ca="1" si="8"/>
        <v>1.0922810184943816</v>
      </c>
      <c r="Q29" s="200">
        <f t="shared" ca="1" si="9"/>
        <v>103365969.75895046</v>
      </c>
      <c r="R29" s="200">
        <f>'14.3. More funds to invest'!G12</f>
        <v>11932889.802362889</v>
      </c>
      <c r="U29" s="211">
        <v>11</v>
      </c>
      <c r="V29" s="178">
        <v>3497223866.3620906</v>
      </c>
    </row>
    <row r="30" spans="1:24" x14ac:dyDescent="0.25">
      <c r="A30" s="198">
        <v>12</v>
      </c>
      <c r="B30" s="199">
        <v>2035</v>
      </c>
      <c r="C30" s="199" cm="1">
        <f t="array" ref="C30">_xlfn.IFS(AND(B30&gt;=2024,B30&lt;=2034),1,AND(B30&gt;=2035,B30&lt;=2044),2,AND(B30&gt;=2045,B30&lt;=2055),3,AND(B30&gt;=2056,B30&lt;=2062),4,B30&gt;=2063,5)</f>
        <v>2</v>
      </c>
      <c r="D30" s="200">
        <f t="shared" ca="1" si="1"/>
        <v>115298859.56131335</v>
      </c>
      <c r="E30" s="201" cm="1">
        <f t="array" aca="1" ref="E30" ca="1">D30*_xlfn.IFS(C30=1,$G$3,C30=2,$H$3,C30=3,$I$3,C30=4,$J$3,C30=5,$K$3)</f>
        <v>11529885.956131335</v>
      </c>
      <c r="F30" s="202" cm="1">
        <f t="array" aca="1" ref="F30" ca="1">D30*_xlfn.IFS(C30=1,$G$4,C30=2,$H$4,C30=3,$I$4,C30=4,$J$4,C30=5,$K$4)</f>
        <v>23059771.912262671</v>
      </c>
      <c r="G30" s="203">
        <f t="shared" ca="1" si="2"/>
        <v>0.20818684114309674</v>
      </c>
      <c r="H30" s="203">
        <f t="shared" ca="1" si="3"/>
        <v>1.0634896637722142</v>
      </c>
      <c r="I30" s="204" cm="1">
        <f t="array" aca="1" ref="I30" ca="1">D30*_xlfn.IFS(C30=1,$G$5,C30=2,$H$5,C30=3,$I$5,C30=4,$J$5,C30=5,$K$5)</f>
        <v>57649429.780656673</v>
      </c>
      <c r="J30" s="205">
        <f t="shared" si="4"/>
        <v>1.02318</v>
      </c>
      <c r="K30" s="206" cm="1">
        <f t="array" aca="1" ref="K30" ca="1">D30*_xlfn.IFS(C30=1,$G$6,C30=2,$H$6,C30=3,$I$6,C30=4,$J$6,C30=5,$K$6)</f>
        <v>11529885.956131335</v>
      </c>
      <c r="L30" s="207">
        <f t="shared" ca="1" si="5"/>
        <v>0.19914781610942164</v>
      </c>
      <c r="M30" s="207">
        <f t="shared" ca="1" si="6"/>
        <v>1.1843538229481181</v>
      </c>
      <c r="N30" s="208" cm="1">
        <f t="array" aca="1" ref="N30" ca="1">D30*_xlfn.IFS(C30=1,$G$7,C30=2,$H$7,C30=3,$I$7,C30=4,$J$7,C30=5,$K$7)</f>
        <v>11529885.956131335</v>
      </c>
      <c r="O30" s="209">
        <f t="shared" ca="1" si="7"/>
        <v>-0.33321136662261752</v>
      </c>
      <c r="P30" s="209">
        <f t="shared" ca="1" si="8"/>
        <v>1.0664225294336394</v>
      </c>
      <c r="Q30" s="200">
        <f t="shared" ca="1" si="9"/>
        <v>120990653.25245874</v>
      </c>
      <c r="R30" s="200">
        <f>'14.3. More funds to invest'!G13</f>
        <v>12414337.453280926</v>
      </c>
      <c r="U30" s="211">
        <v>12</v>
      </c>
      <c r="V30" s="178">
        <v>3474301159.8016181</v>
      </c>
    </row>
    <row r="31" spans="1:24" x14ac:dyDescent="0.25">
      <c r="A31" s="198">
        <v>13</v>
      </c>
      <c r="B31" s="199">
        <v>2036</v>
      </c>
      <c r="C31" s="199" cm="1">
        <f t="array" ref="C31">_xlfn.IFS(AND(B31&gt;=2024,B31&lt;=2034),1,AND(B31&gt;=2035,B31&lt;=2044),2,AND(B31&gt;=2045,B31&lt;=2055),3,AND(B31&gt;=2056,B31&lt;=2062),4,B31&gt;=2063,5)</f>
        <v>2</v>
      </c>
      <c r="D31" s="200">
        <f t="shared" ca="1" si="1"/>
        <v>133404990.70573966</v>
      </c>
      <c r="E31" s="201" cm="1">
        <f t="array" aca="1" ref="E31" ca="1">D31*_xlfn.IFS(C31=1,$G$3,C31=2,$H$3,C31=3,$I$3,C31=4,$J$3,C31=5,$K$3)</f>
        <v>13340499.070573967</v>
      </c>
      <c r="F31" s="202" cm="1">
        <f t="array" aca="1" ref="F31" ca="1">D31*_xlfn.IFS(C31=1,$G$4,C31=2,$H$4,C31=3,$I$4,C31=4,$J$4,C31=5,$K$4)</f>
        <v>26680998.141147934</v>
      </c>
      <c r="G31" s="203">
        <f t="shared" ca="1" si="2"/>
        <v>-1.0510084357655798</v>
      </c>
      <c r="H31" s="203">
        <f t="shared" ca="1" si="3"/>
        <v>1.0544795958166477</v>
      </c>
      <c r="I31" s="204" cm="1">
        <f t="array" aca="1" ref="I31" ca="1">D31*_xlfn.IFS(C31=1,$G$5,C31=2,$H$5,C31=3,$I$5,C31=4,$J$5,C31=5,$K$5)</f>
        <v>66702495.352869831</v>
      </c>
      <c r="J31" s="205">
        <f t="shared" si="4"/>
        <v>1.02318</v>
      </c>
      <c r="K31" s="206" cm="1">
        <f t="array" aca="1" ref="K31" ca="1">D31*_xlfn.IFS(C31=1,$G$6,C31=2,$H$6,C31=3,$I$6,C31=4,$J$6,C31=5,$K$6)</f>
        <v>13340499.070573967</v>
      </c>
      <c r="L31" s="207">
        <f t="shared" ca="1" si="5"/>
        <v>-0.98174781212413198</v>
      </c>
      <c r="M31" s="207">
        <f t="shared" ca="1" si="6"/>
        <v>0.80849097340219123</v>
      </c>
      <c r="N31" s="208" cm="1">
        <f t="array" aca="1" ref="N31" ca="1">D31*_xlfn.IFS(C31=1,$G$7,C31=2,$H$7,C31=3,$I$7,C31=4,$J$7,C31=5,$K$7)</f>
        <v>13340499.070573967</v>
      </c>
      <c r="O31" s="209">
        <f t="shared" ca="1" si="7"/>
        <v>-1.0783298916040844</v>
      </c>
      <c r="P31" s="209">
        <f t="shared" ca="1" si="8"/>
        <v>1.0522036226312814</v>
      </c>
      <c r="Q31" s="200">
        <f t="shared" ca="1" si="9"/>
        <v>134546320.93059224</v>
      </c>
      <c r="R31" s="200">
        <f>'14.3. More funds to invest'!G14</f>
        <v>20013977.953921661</v>
      </c>
      <c r="U31" s="211">
        <v>13</v>
      </c>
      <c r="V31" s="178">
        <v>3744155497.7865992</v>
      </c>
    </row>
    <row r="32" spans="1:24" x14ac:dyDescent="0.25">
      <c r="A32" s="198">
        <v>14</v>
      </c>
      <c r="B32" s="199">
        <v>2037</v>
      </c>
      <c r="C32" s="199" cm="1">
        <f t="array" ref="C32">_xlfn.IFS(AND(B32&gt;=2024,B32&lt;=2034),1,AND(B32&gt;=2035,B32&lt;=2044),2,AND(B32&gt;=2045,B32&lt;=2055),3,AND(B32&gt;=2056,B32&lt;=2062),4,B32&gt;=2063,5)</f>
        <v>2</v>
      </c>
      <c r="D32" s="200">
        <f t="shared" ca="1" si="1"/>
        <v>154560298.88451391</v>
      </c>
      <c r="E32" s="201" cm="1">
        <f t="array" aca="1" ref="E32" ca="1">D32*_xlfn.IFS(C32=1,$G$3,C32=2,$H$3,C32=3,$I$3,C32=4,$J$3,C32=5,$K$3)</f>
        <v>15456029.888451392</v>
      </c>
      <c r="F32" s="202" cm="1">
        <f t="array" aca="1" ref="F32" ca="1">D32*_xlfn.IFS(C32=1,$G$4,C32=2,$H$4,C32=3,$I$4,C32=4,$J$4,C32=5,$K$4)</f>
        <v>30912059.776902784</v>
      </c>
      <c r="G32" s="203">
        <f t="shared" ca="1" si="2"/>
        <v>1.5601468063295798</v>
      </c>
      <c r="H32" s="203">
        <f t="shared" ca="1" si="3"/>
        <v>1.0731635018042629</v>
      </c>
      <c r="I32" s="204" cm="1">
        <f t="array" aca="1" ref="I32" ca="1">D32*_xlfn.IFS(C32=1,$G$5,C32=2,$H$5,C32=3,$I$5,C32=4,$J$5,C32=5,$K$5)</f>
        <v>77280149.442256957</v>
      </c>
      <c r="J32" s="205">
        <f t="shared" si="4"/>
        <v>1.02318</v>
      </c>
      <c r="K32" s="206" cm="1">
        <f t="array" aca="1" ref="K32" ca="1">D32*_xlfn.IFS(C32=1,$G$6,C32=2,$H$6,C32=3,$I$6,C32=4,$J$6,C32=5,$K$6)</f>
        <v>15456029.888451392</v>
      </c>
      <c r="L32" s="207">
        <f t="shared" ca="1" si="5"/>
        <v>0.14749152219988346</v>
      </c>
      <c r="M32" s="207">
        <f t="shared" ca="1" si="6"/>
        <v>1.1679123345035687</v>
      </c>
      <c r="N32" s="208" cm="1">
        <f t="array" aca="1" ref="N32" ca="1">D32*_xlfn.IFS(C32=1,$G$7,C32=2,$H$7,C32=3,$I$7,C32=4,$J$7,C32=5,$K$7)</f>
        <v>15456029.888451392</v>
      </c>
      <c r="O32" s="209">
        <f t="shared" ca="1" si="7"/>
        <v>-0.76462375262928661</v>
      </c>
      <c r="P32" s="209">
        <f t="shared" ca="1" si="8"/>
        <v>1.0581899968843187</v>
      </c>
      <c r="Q32" s="200">
        <f t="shared" ca="1" si="9"/>
        <v>162107931.68162608</v>
      </c>
      <c r="R32" s="200">
        <f>'14.3. More funds to invest'!G15</f>
        <v>20429132.392387927</v>
      </c>
      <c r="U32" s="211">
        <v>14</v>
      </c>
      <c r="V32" s="178">
        <v>3637872537.338119</v>
      </c>
    </row>
    <row r="33" spans="1:22" x14ac:dyDescent="0.25">
      <c r="A33" s="198">
        <v>15</v>
      </c>
      <c r="B33" s="199">
        <v>2038</v>
      </c>
      <c r="C33" s="199" cm="1">
        <f t="array" ref="C33">_xlfn.IFS(AND(B33&gt;=2024,B33&lt;=2034),1,AND(B33&gt;=2035,B33&lt;=2044),2,AND(B33&gt;=2045,B33&lt;=2055),3,AND(B33&gt;=2056,B33&lt;=2062),4,B33&gt;=2063,5)</f>
        <v>2</v>
      </c>
      <c r="D33" s="200">
        <f t="shared" ca="1" si="1"/>
        <v>182537064.07401401</v>
      </c>
      <c r="E33" s="201" cm="1">
        <f t="array" aca="1" ref="E33" ca="1">D33*_xlfn.IFS(C33=1,$G$3,C33=2,$H$3,C33=3,$I$3,C33=4,$J$3,C33=5,$K$3)</f>
        <v>18253706.407401402</v>
      </c>
      <c r="F33" s="202" cm="1">
        <f t="array" aca="1" ref="F33" ca="1">D33*_xlfn.IFS(C33=1,$G$4,C33=2,$H$4,C33=3,$I$4,C33=4,$J$4,C33=5,$K$4)</f>
        <v>36507412.814802803</v>
      </c>
      <c r="G33" s="203">
        <f t="shared" ca="1" si="2"/>
        <v>-0.71224098847547357</v>
      </c>
      <c r="H33" s="203">
        <f t="shared" ca="1" si="3"/>
        <v>1.0569036183469029</v>
      </c>
      <c r="I33" s="204" cm="1">
        <f t="array" aca="1" ref="I33" ca="1">D33*_xlfn.IFS(C33=1,$G$5,C33=2,$H$5,C33=3,$I$5,C33=4,$J$5,C33=5,$K$5)</f>
        <v>91268532.037007004</v>
      </c>
      <c r="J33" s="205">
        <f t="shared" si="4"/>
        <v>1.02318</v>
      </c>
      <c r="K33" s="206" cm="1">
        <f t="array" aca="1" ref="K33" ca="1">D33*_xlfn.IFS(C33=1,$G$6,C33=2,$H$6,C33=3,$I$6,C33=4,$J$6,C33=5,$K$6)</f>
        <v>18253706.407401402</v>
      </c>
      <c r="L33" s="207">
        <f t="shared" ca="1" si="5"/>
        <v>-0.93728153827003857</v>
      </c>
      <c r="M33" s="207">
        <f t="shared" ca="1" si="6"/>
        <v>0.82264397727476002</v>
      </c>
      <c r="N33" s="208" cm="1">
        <f t="array" aca="1" ref="N33" ca="1">D33*_xlfn.IFS(C33=1,$G$7,C33=2,$H$7,C33=3,$I$7,C33=4,$J$7,C33=5,$K$7)</f>
        <v>18253706.407401402</v>
      </c>
      <c r="O33" s="209">
        <f t="shared" ca="1" si="7"/>
        <v>0.74784746965785687</v>
      </c>
      <c r="P33" s="209">
        <f t="shared" ca="1" si="8"/>
        <v>1.0870520995296449</v>
      </c>
      <c r="Q33" s="200">
        <f t="shared" ca="1" si="9"/>
        <v>185081691.2308293</v>
      </c>
      <c r="R33" s="200">
        <f>'14.3. More funds to invest'!G16</f>
        <v>20860430.803570881</v>
      </c>
      <c r="U33" s="211">
        <v>15</v>
      </c>
      <c r="V33" s="178">
        <v>3498759126.3572903</v>
      </c>
    </row>
    <row r="34" spans="1:22" x14ac:dyDescent="0.25">
      <c r="A34" s="198">
        <v>16</v>
      </c>
      <c r="B34" s="199">
        <v>2039</v>
      </c>
      <c r="C34" s="199" cm="1">
        <f t="array" ref="C34">_xlfn.IFS(AND(B34&gt;=2024,B34&lt;=2034),1,AND(B34&gt;=2035,B34&lt;=2044),2,AND(B34&gt;=2045,B34&lt;=2055),3,AND(B34&gt;=2056,B34&lt;=2062),4,B34&gt;=2063,5)</f>
        <v>2</v>
      </c>
      <c r="D34" s="200">
        <f t="shared" ca="1" si="1"/>
        <v>205942122.03440017</v>
      </c>
      <c r="E34" s="201" cm="1">
        <f t="array" aca="1" ref="E34" ca="1">D34*_xlfn.IFS(C34=1,$G$3,C34=2,$H$3,C34=3,$I$3,C34=4,$J$3,C34=5,$K$3)</f>
        <v>20594212.203440018</v>
      </c>
      <c r="F34" s="202" cm="1">
        <f t="array" aca="1" ref="F34" ca="1">D34*_xlfn.IFS(C34=1,$G$4,C34=2,$H$4,C34=3,$I$4,C34=4,$J$4,C34=5,$K$4)</f>
        <v>41188424.406880036</v>
      </c>
      <c r="G34" s="203">
        <f t="shared" ca="1" si="2"/>
        <v>-0.97553609819338394</v>
      </c>
      <c r="H34" s="203">
        <f t="shared" ca="1" si="3"/>
        <v>1.055019631903791</v>
      </c>
      <c r="I34" s="204" cm="1">
        <f t="array" aca="1" ref="I34" ca="1">D34*_xlfn.IFS(C34=1,$G$5,C34=2,$H$5,C34=3,$I$5,C34=4,$J$5,C34=5,$K$5)</f>
        <v>102971061.01720008</v>
      </c>
      <c r="J34" s="205">
        <f t="shared" si="4"/>
        <v>1.02318</v>
      </c>
      <c r="K34" s="206" cm="1">
        <f t="array" aca="1" ref="K34" ca="1">D34*_xlfn.IFS(C34=1,$G$6,C34=2,$H$6,C34=3,$I$6,C34=4,$J$6,C34=5,$K$6)</f>
        <v>20594212.203440018</v>
      </c>
      <c r="L34" s="207">
        <f t="shared" ca="1" si="5"/>
        <v>0.38487004923343343</v>
      </c>
      <c r="M34" s="207">
        <f t="shared" ca="1" si="6"/>
        <v>1.2434666573909414</v>
      </c>
      <c r="N34" s="208" cm="1">
        <f t="array" aca="1" ref="N34" ca="1">D34*_xlfn.IFS(C34=1,$G$7,C34=2,$H$7,C34=3,$I$7,C34=4,$J$7,C34=5,$K$7)</f>
        <v>20594212.203440018</v>
      </c>
      <c r="O34" s="209">
        <f t="shared" ca="1" si="7"/>
        <v>0.71457473910750591</v>
      </c>
      <c r="P34" s="209">
        <f t="shared" ca="1" si="8"/>
        <v>1.086417164497306</v>
      </c>
      <c r="Q34" s="200">
        <f t="shared" ca="1" si="9"/>
        <v>217388860.6087909</v>
      </c>
      <c r="R34" s="200">
        <f>'14.3. More funds to invest'!G17</f>
        <v>21308516.499412462</v>
      </c>
      <c r="U34" s="211">
        <v>16</v>
      </c>
      <c r="V34" s="178">
        <v>3658695366.3931637</v>
      </c>
    </row>
    <row r="35" spans="1:22" x14ac:dyDescent="0.25">
      <c r="A35" s="198">
        <v>17</v>
      </c>
      <c r="B35" s="199">
        <v>2040</v>
      </c>
      <c r="C35" s="199" cm="1">
        <f t="array" ref="C35">_xlfn.IFS(AND(B35&gt;=2024,B35&lt;=2034),1,AND(B35&gt;=2035,B35&lt;=2044),2,AND(B35&gt;=2045,B35&lt;=2055),3,AND(B35&gt;=2056,B35&lt;=2062),4,B35&gt;=2063,5)</f>
        <v>2</v>
      </c>
      <c r="D35" s="200">
        <f t="shared" ca="1" si="1"/>
        <v>238697377.10820335</v>
      </c>
      <c r="E35" s="201" cm="1">
        <f t="array" aca="1" ref="E35" ca="1">D35*_xlfn.IFS(C35=1,$G$3,C35=2,$H$3,C35=3,$I$3,C35=4,$J$3,C35=5,$K$3)</f>
        <v>23869737.710820336</v>
      </c>
      <c r="F35" s="202" cm="1">
        <f t="array" aca="1" ref="F35" ca="1">D35*_xlfn.IFS(C35=1,$G$4,C35=2,$H$4,C35=3,$I$4,C35=4,$J$4,C35=5,$K$4)</f>
        <v>47739475.421640672</v>
      </c>
      <c r="G35" s="203">
        <f t="shared" ca="1" si="2"/>
        <v>-0.35603468949120309</v>
      </c>
      <c r="H35" s="203">
        <f t="shared" ca="1" si="3"/>
        <v>1.0594524231422389</v>
      </c>
      <c r="I35" s="204" cm="1">
        <f t="array" aca="1" ref="I35" ca="1">D35*_xlfn.IFS(C35=1,$G$5,C35=2,$H$5,C35=3,$I$5,C35=4,$J$5,C35=5,$K$5)</f>
        <v>119348688.55410168</v>
      </c>
      <c r="J35" s="205">
        <f t="shared" si="4"/>
        <v>1.02318</v>
      </c>
      <c r="K35" s="206" cm="1">
        <f t="array" aca="1" ref="K35" ca="1">D35*_xlfn.IFS(C35=1,$G$6,C35=2,$H$6,C35=3,$I$6,C35=4,$J$6,C35=5,$K$6)</f>
        <v>23869737.710820336</v>
      </c>
      <c r="L35" s="207">
        <f t="shared" ca="1" si="5"/>
        <v>0.22222225697770462</v>
      </c>
      <c r="M35" s="207">
        <f t="shared" ca="1" si="6"/>
        <v>1.1916981003669491</v>
      </c>
      <c r="N35" s="208" cm="1">
        <f t="array" aca="1" ref="N35" ca="1">D35*_xlfn.IFS(C35=1,$G$7,C35=2,$H$7,C35=3,$I$7,C35=4,$J$7,C35=5,$K$7)</f>
        <v>23869737.710820336</v>
      </c>
      <c r="O35" s="209">
        <f t="shared" ca="1" si="7"/>
        <v>-1.6473274084740317</v>
      </c>
      <c r="P35" s="209">
        <f t="shared" ca="1" si="8"/>
        <v>1.0413455881147622</v>
      </c>
      <c r="Q35" s="200">
        <f t="shared" ca="1" si="9"/>
        <v>249864798.92146388</v>
      </c>
      <c r="R35" s="200">
        <f>'14.3. More funds to invest'!G18</f>
        <v>20619675.146259278</v>
      </c>
      <c r="U35" s="211">
        <v>17</v>
      </c>
      <c r="V35" s="178">
        <v>3363012801.8142457</v>
      </c>
    </row>
    <row r="36" spans="1:22" x14ac:dyDescent="0.25">
      <c r="A36" s="198">
        <v>18</v>
      </c>
      <c r="B36" s="199">
        <v>2041</v>
      </c>
      <c r="C36" s="199" cm="1">
        <f t="array" ref="C36">_xlfn.IFS(AND(B36&gt;=2024,B36&lt;=2034),1,AND(B36&gt;=2035,B36&lt;=2044),2,AND(B36&gt;=2045,B36&lt;=2055),3,AND(B36&gt;=2056,B36&lt;=2062),4,B36&gt;=2063,5)</f>
        <v>2</v>
      </c>
      <c r="D36" s="200">
        <f t="shared" ca="1" si="1"/>
        <v>270484474.06772316</v>
      </c>
      <c r="E36" s="201" cm="1">
        <f t="array" aca="1" ref="E36" ca="1">D36*_xlfn.IFS(C36=1,$G$3,C36=2,$H$3,C36=3,$I$3,C36=4,$J$3,C36=5,$K$3)</f>
        <v>27048447.406772316</v>
      </c>
      <c r="F36" s="202" cm="1">
        <f t="array" aca="1" ref="F36" ca="1">D36*_xlfn.IFS(C36=1,$G$4,C36=2,$H$4,C36=3,$I$4,C36=4,$J$4,C36=5,$K$4)</f>
        <v>54096894.813544631</v>
      </c>
      <c r="G36" s="203">
        <f t="shared" ca="1" si="2"/>
        <v>0.19607798988492048</v>
      </c>
      <c r="H36" s="203">
        <f t="shared" ca="1" si="3"/>
        <v>1.0634030198856774</v>
      </c>
      <c r="I36" s="204" cm="1">
        <f t="array" aca="1" ref="I36" ca="1">D36*_xlfn.IFS(C36=1,$G$5,C36=2,$H$5,C36=3,$I$5,C36=4,$J$5,C36=5,$K$5)</f>
        <v>135242237.03386158</v>
      </c>
      <c r="J36" s="205">
        <f t="shared" si="4"/>
        <v>1.02318</v>
      </c>
      <c r="K36" s="206" cm="1">
        <f t="array" aca="1" ref="K36" ca="1">D36*_xlfn.IFS(C36=1,$G$6,C36=2,$H$6,C36=3,$I$6,C36=4,$J$6,C36=5,$K$6)</f>
        <v>27048447.406772316</v>
      </c>
      <c r="L36" s="207">
        <f t="shared" ca="1" si="5"/>
        <v>-1.2899386174136749</v>
      </c>
      <c r="M36" s="207">
        <f t="shared" ca="1" si="6"/>
        <v>0.71039807551141188</v>
      </c>
      <c r="N36" s="208" cm="1">
        <f t="array" aca="1" ref="N36" ca="1">D36*_xlfn.IFS(C36=1,$G$7,C36=2,$H$7,C36=3,$I$7,C36=4,$J$7,C36=5,$K$7)</f>
        <v>27048447.406772316</v>
      </c>
      <c r="O36" s="209">
        <f t="shared" ca="1" si="7"/>
        <v>1.5798689954819694</v>
      </c>
      <c r="P36" s="209">
        <f t="shared" ca="1" si="8"/>
        <v>1.1029293541362766</v>
      </c>
      <c r="Q36" s="200">
        <f t="shared" ca="1" si="9"/>
        <v>272000092.4183231</v>
      </c>
      <c r="R36" s="200">
        <f>'14.3. More funds to invest'!G19</f>
        <v>21251593.243873313</v>
      </c>
      <c r="U36" s="211">
        <v>18</v>
      </c>
      <c r="V36" s="178">
        <v>3322352295.6120353</v>
      </c>
    </row>
    <row r="37" spans="1:22" x14ac:dyDescent="0.25">
      <c r="A37" s="198">
        <v>19</v>
      </c>
      <c r="B37" s="199">
        <v>2042</v>
      </c>
      <c r="C37" s="199" cm="1">
        <f t="array" ref="C37">_xlfn.IFS(AND(B37&gt;=2024,B37&lt;=2034),1,AND(B37&gt;=2035,B37&lt;=2044),2,AND(B37&gt;=2045,B37&lt;=2055),3,AND(B37&gt;=2056,B37&lt;=2062),4,B37&gt;=2063,5)</f>
        <v>2</v>
      </c>
      <c r="D37" s="200">
        <f t="shared" ca="1" si="1"/>
        <v>293251685.6621964</v>
      </c>
      <c r="E37" s="201" cm="1">
        <f t="array" aca="1" ref="E37" ca="1">D37*_xlfn.IFS(C37=1,$G$3,C37=2,$H$3,C37=3,$I$3,C37=4,$J$3,C37=5,$K$3)</f>
        <v>29325168.566219643</v>
      </c>
      <c r="F37" s="202" cm="1">
        <f t="array" aca="1" ref="F37" ca="1">D37*_xlfn.IFS(C37=1,$G$4,C37=2,$H$4,C37=3,$I$4,C37=4,$J$4,C37=5,$K$4)</f>
        <v>58650337.132439286</v>
      </c>
      <c r="G37" s="203">
        <f t="shared" ca="1" si="2"/>
        <v>0.39040743269057138</v>
      </c>
      <c r="H37" s="203">
        <f t="shared" ca="1" si="3"/>
        <v>1.0647935281869354</v>
      </c>
      <c r="I37" s="204" cm="1">
        <f t="array" aca="1" ref="I37" ca="1">D37*_xlfn.IFS(C37=1,$G$5,C37=2,$H$5,C37=3,$I$5,C37=4,$J$5,C37=5,$K$5)</f>
        <v>146625842.8310982</v>
      </c>
      <c r="J37" s="205">
        <f t="shared" si="4"/>
        <v>1.02318</v>
      </c>
      <c r="K37" s="206" cm="1">
        <f t="array" aca="1" ref="K37" ca="1">D37*_xlfn.IFS(C37=1,$G$6,C37=2,$H$6,C37=3,$I$6,C37=4,$J$6,C37=5,$K$6)</f>
        <v>29325168.566219643</v>
      </c>
      <c r="L37" s="207">
        <f t="shared" ca="1" si="5"/>
        <v>-1.192974524414359</v>
      </c>
      <c r="M37" s="207">
        <f t="shared" ca="1" si="6"/>
        <v>0.74126041374605833</v>
      </c>
      <c r="N37" s="208" cm="1">
        <f t="array" aca="1" ref="N37" ca="1">D37*_xlfn.IFS(C37=1,$G$7,C37=2,$H$7,C37=3,$I$7,C37=4,$J$7,C37=5,$K$7)</f>
        <v>29325168.566219643</v>
      </c>
      <c r="O37" s="209">
        <f t="shared" ca="1" si="7"/>
        <v>-0.6358868580208672</v>
      </c>
      <c r="P37" s="209">
        <f t="shared" ca="1" si="8"/>
        <v>1.0606466502154215</v>
      </c>
      <c r="Q37" s="200">
        <f t="shared" ca="1" si="9"/>
        <v>294641526.23007828</v>
      </c>
      <c r="R37" s="200">
        <f>'14.3. More funds to invest'!G20</f>
        <v>22090639.481085345</v>
      </c>
      <c r="U37" s="211">
        <v>19</v>
      </c>
      <c r="V37" s="178">
        <v>3399425731.4006038</v>
      </c>
    </row>
    <row r="38" spans="1:22" x14ac:dyDescent="0.25">
      <c r="A38" s="198">
        <v>20</v>
      </c>
      <c r="B38" s="199">
        <v>2043</v>
      </c>
      <c r="C38" s="199" cm="1">
        <f t="array" ref="C38">_xlfn.IFS(AND(B38&gt;=2024,B38&lt;=2034),1,AND(B38&gt;=2035,B38&lt;=2044),2,AND(B38&gt;=2045,B38&lt;=2055),3,AND(B38&gt;=2056,B38&lt;=2062),4,B38&gt;=2063,5)</f>
        <v>2</v>
      </c>
      <c r="D38" s="200">
        <f t="shared" ca="1" si="1"/>
        <v>316732165.71116364</v>
      </c>
      <c r="E38" s="201" cm="1">
        <f t="array" aca="1" ref="E38" ca="1">D38*_xlfn.IFS(C38=1,$G$3,C38=2,$H$3,C38=3,$I$3,C38=4,$J$3,C38=5,$K$3)</f>
        <v>31673216.571116365</v>
      </c>
      <c r="F38" s="202" cm="1">
        <f t="array" aca="1" ref="F38" ca="1">D38*_xlfn.IFS(C38=1,$G$4,C38=2,$H$4,C38=3,$I$4,C38=4,$J$4,C38=5,$K$4)</f>
        <v>63346433.142232731</v>
      </c>
      <c r="G38" s="203">
        <f t="shared" ca="1" si="2"/>
        <v>3.345387593602047E-2</v>
      </c>
      <c r="H38" s="203">
        <f t="shared" ca="1" si="3"/>
        <v>1.062239376450252</v>
      </c>
      <c r="I38" s="204" cm="1">
        <f t="array" aca="1" ref="I38" ca="1">D38*_xlfn.IFS(C38=1,$G$5,C38=2,$H$5,C38=3,$I$5,C38=4,$J$5,C38=5,$K$5)</f>
        <v>158366082.85558182</v>
      </c>
      <c r="J38" s="205">
        <f t="shared" si="4"/>
        <v>1.02318</v>
      </c>
      <c r="K38" s="206" cm="1">
        <f t="array" aca="1" ref="K38" ca="1">D38*_xlfn.IFS(C38=1,$G$6,C38=2,$H$6,C38=3,$I$6,C38=4,$J$6,C38=5,$K$6)</f>
        <v>31673216.571116365</v>
      </c>
      <c r="L38" s="207">
        <f t="shared" ca="1" si="5"/>
        <v>0.59773182696440486</v>
      </c>
      <c r="M38" s="207">
        <f t="shared" ca="1" si="6"/>
        <v>1.3112176359063359</v>
      </c>
      <c r="N38" s="208" cm="1">
        <f t="array" aca="1" ref="N38" ca="1">D38*_xlfn.IFS(C38=1,$G$7,C38=2,$H$7,C38=3,$I$7,C38=4,$J$7,C38=5,$K$7)</f>
        <v>31673216.571116365</v>
      </c>
      <c r="O38" s="209">
        <f t="shared" ca="1" si="7"/>
        <v>-0.88323414125473387</v>
      </c>
      <c r="P38" s="209">
        <f t="shared" ca="1" si="8"/>
        <v>1.0559265850845669</v>
      </c>
      <c r="Q38" s="200">
        <f t="shared" ca="1" si="9"/>
        <v>335974372.43515486</v>
      </c>
      <c r="R38" s="200">
        <f>'14.3. More funds to invest'!G21</f>
        <v>22780449.511513352</v>
      </c>
      <c r="U38" s="211">
        <v>20</v>
      </c>
      <c r="V38" s="178">
        <v>4017336361.5059676</v>
      </c>
    </row>
    <row r="39" spans="1:22" x14ac:dyDescent="0.25">
      <c r="A39" s="198">
        <v>21</v>
      </c>
      <c r="B39" s="199">
        <v>2044</v>
      </c>
      <c r="C39" s="199" cm="1">
        <f t="array" ref="C39">_xlfn.IFS(AND(B39&gt;=2024,B39&lt;=2034),1,AND(B39&gt;=2035,B39&lt;=2044),2,AND(B39&gt;=2045,B39&lt;=2055),3,AND(B39&gt;=2056,B39&lt;=2062),4,B39&gt;=2063,5)</f>
        <v>2</v>
      </c>
      <c r="D39" s="200">
        <f t="shared" ca="1" si="1"/>
        <v>358754821.94666821</v>
      </c>
      <c r="E39" s="201" cm="1">
        <f t="array" aca="1" ref="E39" ca="1">D39*_xlfn.IFS(C39=1,$G$3,C39=2,$H$3,C39=3,$I$3,C39=4,$J$3,C39=5,$K$3)</f>
        <v>35875482.194666825</v>
      </c>
      <c r="F39" s="202" cm="1">
        <f t="array" aca="1" ref="F39" ca="1">D39*_xlfn.IFS(C39=1,$G$4,C39=2,$H$4,C39=3,$I$4,C39=4,$J$4,C39=5,$K$4)</f>
        <v>71750964.38933365</v>
      </c>
      <c r="G39" s="203">
        <f t="shared" ca="1" si="2"/>
        <v>2.6019686816272785</v>
      </c>
      <c r="H39" s="203">
        <f t="shared" ca="1" si="3"/>
        <v>1.0806181723118211</v>
      </c>
      <c r="I39" s="204" cm="1">
        <f t="array" aca="1" ref="I39" ca="1">D39*_xlfn.IFS(C39=1,$G$5,C39=2,$H$5,C39=3,$I$5,C39=4,$J$5,C39=5,$K$5)</f>
        <v>179377410.9733341</v>
      </c>
      <c r="J39" s="205">
        <f t="shared" si="4"/>
        <v>1.02318</v>
      </c>
      <c r="K39" s="206" cm="1">
        <f t="array" aca="1" ref="K39" ca="1">D39*_xlfn.IFS(C39=1,$G$6,C39=2,$H$6,C39=3,$I$6,C39=4,$J$6,C39=5,$K$6)</f>
        <v>35875482.194666825</v>
      </c>
      <c r="L39" s="207">
        <f t="shared" ca="1" si="5"/>
        <v>-0.44624145714158558</v>
      </c>
      <c r="M39" s="207">
        <f t="shared" ca="1" si="6"/>
        <v>0.97893528678725572</v>
      </c>
      <c r="N39" s="208" cm="1">
        <f t="array" aca="1" ref="N39" ca="1">D39*_xlfn.IFS(C39=1,$G$7,C39=2,$H$7,C39=3,$I$7,C39=4,$J$7,C39=5,$K$7)</f>
        <v>35875482.194666825</v>
      </c>
      <c r="O39" s="209">
        <f t="shared" ca="1" si="7"/>
        <v>-0.34934064223477457</v>
      </c>
      <c r="P39" s="209">
        <f t="shared" ca="1" si="8"/>
        <v>1.0661147385801983</v>
      </c>
      <c r="Q39" s="200">
        <f t="shared" ca="1" si="9"/>
        <v>370313413.32664806</v>
      </c>
      <c r="R39" s="200">
        <f>'14.3. More funds to invest'!G22</f>
        <v>23497374.8608412</v>
      </c>
      <c r="U39" s="211">
        <v>21</v>
      </c>
      <c r="V39" s="178">
        <v>3542860945.7668862</v>
      </c>
    </row>
    <row r="40" spans="1:22" x14ac:dyDescent="0.25">
      <c r="A40" s="198">
        <v>22</v>
      </c>
      <c r="B40" s="199">
        <v>2045</v>
      </c>
      <c r="C40" s="199" cm="1">
        <f t="array" ref="C40">_xlfn.IFS(AND(B40&gt;=2024,B40&lt;=2034),1,AND(B40&gt;=2035,B40&lt;=2044),2,AND(B40&gt;=2045,B40&lt;=2055),3,AND(B40&gt;=2056,B40&lt;=2062),4,B40&gt;=2063,5)</f>
        <v>3</v>
      </c>
      <c r="D40" s="200">
        <f t="shared" ca="1" si="1"/>
        <v>393810788.18748927</v>
      </c>
      <c r="E40" s="201" cm="1">
        <f t="array" aca="1" ref="E40" ca="1">D40*_xlfn.IFS(C40=1,$G$3,C40=2,$H$3,C40=3,$I$3,C40=4,$J$3,C40=5,$K$3)</f>
        <v>59071618.228123389</v>
      </c>
      <c r="F40" s="202" cm="1">
        <f t="array" aca="1" ref="F40" ca="1">D40*_xlfn.IFS(C40=1,$G$4,C40=2,$H$4,C40=3,$I$4,C40=4,$J$4,C40=5,$K$4)</f>
        <v>118143236.45624678</v>
      </c>
      <c r="G40" s="203">
        <f t="shared" ca="1" si="2"/>
        <v>-1.2904104456379637</v>
      </c>
      <c r="H40" s="203">
        <f t="shared" ca="1" si="3"/>
        <v>1.0527665744789687</v>
      </c>
      <c r="I40" s="204" cm="1">
        <f t="array" aca="1" ref="I40" ca="1">D40*_xlfn.IFS(C40=1,$G$5,C40=2,$H$5,C40=3,$I$5,C40=4,$J$5,C40=5,$K$5)</f>
        <v>177214854.68437019</v>
      </c>
      <c r="J40" s="205">
        <f t="shared" si="4"/>
        <v>1.02318</v>
      </c>
      <c r="K40" s="206" cm="1">
        <f t="array" aca="1" ref="K40" ca="1">D40*_xlfn.IFS(C40=1,$G$6,C40=2,$H$6,C40=3,$I$6,C40=4,$J$6,C40=5,$K$6)</f>
        <v>19690539.409374464</v>
      </c>
      <c r="L40" s="207">
        <f t="shared" ca="1" si="5"/>
        <v>1.6092636961697333</v>
      </c>
      <c r="M40" s="207">
        <f t="shared" ca="1" si="6"/>
        <v>1.6331743285013891</v>
      </c>
      <c r="N40" s="208" cm="1">
        <f t="array" aca="1" ref="N40" ca="1">D40*_xlfn.IFS(C40=1,$G$7,C40=2,$H$7,C40=3,$I$7,C40=4,$J$7,C40=5,$K$7)</f>
        <v>19690539.409374464</v>
      </c>
      <c r="O40" s="209">
        <f t="shared" ca="1" si="7"/>
        <v>-1.2162824356815558</v>
      </c>
      <c r="P40" s="209">
        <f t="shared" ca="1" si="8"/>
        <v>1.0495711094114089</v>
      </c>
      <c r="Q40" s="200">
        <f t="shared" ca="1" si="9"/>
        <v>417596268.35652047</v>
      </c>
      <c r="R40" s="200">
        <f>'14.3. More funds to invest'!G23</f>
        <v>24242497.616095006</v>
      </c>
      <c r="U40" s="211">
        <v>22</v>
      </c>
      <c r="V40" s="178">
        <v>3196728138.0284529</v>
      </c>
    </row>
    <row r="41" spans="1:22" x14ac:dyDescent="0.25">
      <c r="A41" s="198">
        <v>23</v>
      </c>
      <c r="B41" s="199">
        <v>2046</v>
      </c>
      <c r="C41" s="199" cm="1">
        <f t="array" ref="C41">_xlfn.IFS(AND(B41&gt;=2024,B41&lt;=2034),1,AND(B41&gt;=2035,B41&lt;=2044),2,AND(B41&gt;=2045,B41&lt;=2055),3,AND(B41&gt;=2056,B41&lt;=2062),4,B41&gt;=2063,5)</f>
        <v>3</v>
      </c>
      <c r="D41" s="200">
        <f t="shared" ca="1" si="1"/>
        <v>441838765.97261548</v>
      </c>
      <c r="E41" s="201" cm="1">
        <f t="array" aca="1" ref="E41" ca="1">D41*_xlfn.IFS(C41=1,$G$3,C41=2,$H$3,C41=3,$I$3,C41=4,$J$3,C41=5,$K$3)</f>
        <v>66275814.895892322</v>
      </c>
      <c r="F41" s="202" cm="1">
        <f t="array" aca="1" ref="F41" ca="1">D41*_xlfn.IFS(C41=1,$G$4,C41=2,$H$4,C41=3,$I$4,C41=4,$J$4,C41=5,$K$4)</f>
        <v>132551629.79178464</v>
      </c>
      <c r="G41" s="203">
        <f t="shared" ca="1" si="2"/>
        <v>1.1826056671324721</v>
      </c>
      <c r="H41" s="203">
        <f t="shared" ca="1" si="3"/>
        <v>1.070462037319311</v>
      </c>
      <c r="I41" s="204" cm="1">
        <f t="array" aca="1" ref="I41" ca="1">D41*_xlfn.IFS(C41=1,$G$5,C41=2,$H$5,C41=3,$I$5,C41=4,$J$5,C41=5,$K$5)</f>
        <v>198827444.68767697</v>
      </c>
      <c r="J41" s="205">
        <f t="shared" si="4"/>
        <v>1.02318</v>
      </c>
      <c r="K41" s="206" cm="1">
        <f t="array" aca="1" ref="K41" ca="1">D41*_xlfn.IFS(C41=1,$G$6,C41=2,$H$6,C41=3,$I$6,C41=4,$J$6,C41=5,$K$6)</f>
        <v>22091938.298630774</v>
      </c>
      <c r="L41" s="207">
        <f t="shared" ca="1" si="5"/>
        <v>-0.58070427343612419</v>
      </c>
      <c r="M41" s="207">
        <f t="shared" ca="1" si="6"/>
        <v>0.93613762026863589</v>
      </c>
      <c r="N41" s="208" cm="1">
        <f t="array" aca="1" ref="N41" ca="1">D41*_xlfn.IFS(C41=1,$G$7,C41=2,$H$7,C41=3,$I$7,C41=4,$J$7,C41=5,$K$7)</f>
        <v>22091938.298630774</v>
      </c>
      <c r="O41" s="209">
        <f t="shared" ca="1" si="7"/>
        <v>-1.8677288263757075</v>
      </c>
      <c r="P41" s="209">
        <f t="shared" ca="1" si="8"/>
        <v>1.0371397240606783</v>
      </c>
      <c r="Q41" s="200">
        <f t="shared" ca="1" si="9"/>
        <v>455197088.76534772</v>
      </c>
      <c r="R41" s="200">
        <f>'14.3. More funds to invest'!G24</f>
        <v>25016943.134410352</v>
      </c>
      <c r="U41" s="211">
        <v>23</v>
      </c>
      <c r="V41" s="178">
        <v>4302577712.0552893</v>
      </c>
    </row>
    <row r="42" spans="1:22" x14ac:dyDescent="0.25">
      <c r="A42" s="198">
        <v>24</v>
      </c>
      <c r="B42" s="199">
        <v>2047</v>
      </c>
      <c r="C42" s="199" cm="1">
        <f t="array" ref="C42">_xlfn.IFS(AND(B42&gt;=2024,B42&lt;=2034),1,AND(B42&gt;=2035,B42&lt;=2044),2,AND(B42&gt;=2045,B42&lt;=2055),3,AND(B42&gt;=2056,B42&lt;=2062),4,B42&gt;=2063,5)</f>
        <v>3</v>
      </c>
      <c r="D42" s="200">
        <f t="shared" ca="1" si="1"/>
        <v>480214031.8997581</v>
      </c>
      <c r="E42" s="201" cm="1">
        <f t="array" aca="1" ref="E42" ca="1">D42*_xlfn.IFS(C42=1,$G$3,C42=2,$H$3,C42=3,$I$3,C42=4,$J$3,C42=5,$K$3)</f>
        <v>72032104.784963712</v>
      </c>
      <c r="F42" s="202" cm="1">
        <f t="array" aca="1" ref="F42" ca="1">D42*_xlfn.IFS(C42=1,$G$4,C42=2,$H$4,C42=3,$I$4,C42=4,$J$4,C42=5,$K$4)</f>
        <v>144064209.56992742</v>
      </c>
      <c r="G42" s="203">
        <f t="shared" ca="1" si="2"/>
        <v>-0.46791298470855341</v>
      </c>
      <c r="H42" s="203">
        <f t="shared" ca="1" si="3"/>
        <v>1.058651887227638</v>
      </c>
      <c r="I42" s="204" cm="1">
        <f t="array" aca="1" ref="I42" ca="1">D42*_xlfn.IFS(C42=1,$G$5,C42=2,$H$5,C42=3,$I$5,C42=4,$J$5,C42=5,$K$5)</f>
        <v>216096314.35489115</v>
      </c>
      <c r="J42" s="205">
        <f t="shared" si="4"/>
        <v>1.02318</v>
      </c>
      <c r="K42" s="206" cm="1">
        <f t="array" aca="1" ref="K42" ca="1">D42*_xlfn.IFS(C42=1,$G$6,C42=2,$H$6,C42=3,$I$6,C42=4,$J$6,C42=5,$K$6)</f>
        <v>24010701.594987907</v>
      </c>
      <c r="L42" s="207">
        <f t="shared" ca="1" si="5"/>
        <v>-2.1984664516445416</v>
      </c>
      <c r="M42" s="207">
        <f t="shared" ca="1" si="6"/>
        <v>0.42122615167542499</v>
      </c>
      <c r="N42" s="208" cm="1">
        <f t="array" aca="1" ref="N42" ca="1">D42*_xlfn.IFS(C42=1,$G$7,C42=2,$H$7,C42=3,$I$7,C42=4,$J$7,C42=5,$K$7)</f>
        <v>24010701.594987907</v>
      </c>
      <c r="O42" s="209">
        <f t="shared" ca="1" si="7"/>
        <v>-0.80278167717163351</v>
      </c>
      <c r="P42" s="209">
        <f t="shared" ca="1" si="8"/>
        <v>1.0574618389407855</v>
      </c>
      <c r="Q42" s="200">
        <f t="shared" ca="1" si="9"/>
        <v>481155715.14454097</v>
      </c>
      <c r="R42" s="200">
        <f>'14.3. More funds to invest'!G25</f>
        <v>25821881.773765996</v>
      </c>
      <c r="U42" s="211">
        <v>24</v>
      </c>
      <c r="V42" s="178">
        <v>3362137680.3600068</v>
      </c>
    </row>
    <row r="43" spans="1:22" x14ac:dyDescent="0.25">
      <c r="A43" s="198">
        <v>25</v>
      </c>
      <c r="B43" s="199">
        <v>2048</v>
      </c>
      <c r="C43" s="199" cm="1">
        <f t="array" ref="C43">_xlfn.IFS(AND(B43&gt;=2024,B43&lt;=2034),1,AND(B43&gt;=2035,B43&lt;=2044),2,AND(B43&gt;=2045,B43&lt;=2055),3,AND(B43&gt;=2056,B43&lt;=2062),4,B43&gt;=2063,5)</f>
        <v>3</v>
      </c>
      <c r="D43" s="200">
        <f t="shared" ca="1" si="1"/>
        <v>506977596.91830695</v>
      </c>
      <c r="E43" s="201" cm="1">
        <f t="array" aca="1" ref="E43" ca="1">D43*_xlfn.IFS(C43=1,$G$3,C43=2,$H$3,C43=3,$I$3,C43=4,$J$3,C43=5,$K$3)</f>
        <v>76046639.537746042</v>
      </c>
      <c r="F43" s="202" cm="1">
        <f t="array" aca="1" ref="F43" ca="1">D43*_xlfn.IFS(C43=1,$G$4,C43=2,$H$4,C43=3,$I$4,C43=4,$J$4,C43=5,$K$4)</f>
        <v>152093279.07549208</v>
      </c>
      <c r="G43" s="203">
        <f t="shared" ca="1" si="2"/>
        <v>0.52136648851308587</v>
      </c>
      <c r="H43" s="203">
        <f t="shared" ca="1" si="3"/>
        <v>1.0657305949104181</v>
      </c>
      <c r="I43" s="204" cm="1">
        <f t="array" aca="1" ref="I43" ca="1">D43*_xlfn.IFS(C43=1,$G$5,C43=2,$H$5,C43=3,$I$5,C43=4,$J$5,C43=5,$K$5)</f>
        <v>228139918.61323813</v>
      </c>
      <c r="J43" s="205">
        <f t="shared" si="4"/>
        <v>1.02318</v>
      </c>
      <c r="K43" s="206" cm="1">
        <f t="array" aca="1" ref="K43" ca="1">D43*_xlfn.IFS(C43=1,$G$6,C43=2,$H$6,C43=3,$I$6,C43=4,$J$6,C43=5,$K$6)</f>
        <v>25348879.845915347</v>
      </c>
      <c r="L43" s="207">
        <f t="shared" ca="1" si="5"/>
        <v>-0.49183204239058625</v>
      </c>
      <c r="M43" s="207">
        <f t="shared" ca="1" si="6"/>
        <v>0.96442443004897771</v>
      </c>
      <c r="N43" s="208" cm="1">
        <f t="array" aca="1" ref="N43" ca="1">D43*_xlfn.IFS(C43=1,$G$7,C43=2,$H$7,C43=3,$I$7,C43=4,$J$7,C43=5,$K$7)</f>
        <v>25348879.845915347</v>
      </c>
      <c r="O43" s="209">
        <f t="shared" ca="1" si="7"/>
        <v>-1.1601456882864472</v>
      </c>
      <c r="P43" s="209">
        <f t="shared" ca="1" si="8"/>
        <v>1.0506423526467297</v>
      </c>
      <c r="Q43" s="200">
        <f t="shared" ca="1" si="9"/>
        <v>522644988.01148814</v>
      </c>
      <c r="R43" s="200">
        <f>'14.3. More funds to invest'!G26</f>
        <v>26889228.067786604</v>
      </c>
      <c r="U43" s="211">
        <v>25</v>
      </c>
      <c r="V43" s="178">
        <v>3549015693.9666677</v>
      </c>
    </row>
    <row r="44" spans="1:22" x14ac:dyDescent="0.25">
      <c r="A44" s="198">
        <v>26</v>
      </c>
      <c r="B44" s="199">
        <v>2049</v>
      </c>
      <c r="C44" s="199" cm="1">
        <f t="array" ref="C44">_xlfn.IFS(AND(B44&gt;=2024,B44&lt;=2034),1,AND(B44&gt;=2035,B44&lt;=2044),2,AND(B44&gt;=2045,B44&lt;=2055),3,AND(B44&gt;=2056,B44&lt;=2062),4,B44&gt;=2063,5)</f>
        <v>3</v>
      </c>
      <c r="D44" s="200">
        <f t="shared" ca="1" si="1"/>
        <v>549534216.07927477</v>
      </c>
      <c r="E44" s="201" cm="1">
        <f t="array" aca="1" ref="E44" ca="1">D44*_xlfn.IFS(C44=1,$G$3,C44=2,$H$3,C44=3,$I$3,C44=4,$J$3,C44=5,$K$3)</f>
        <v>82430132.411891207</v>
      </c>
      <c r="F44" s="202" cm="1">
        <f t="array" aca="1" ref="F44" ca="1">D44*_xlfn.IFS(C44=1,$G$4,C44=2,$H$4,C44=3,$I$4,C44=4,$J$4,C44=5,$K$4)</f>
        <v>164860264.82378241</v>
      </c>
      <c r="G44" s="203">
        <f t="shared" ca="1" si="2"/>
        <v>0.92214575527040887</v>
      </c>
      <c r="H44" s="203">
        <f t="shared" ca="1" si="3"/>
        <v>1.0685983379006321</v>
      </c>
      <c r="I44" s="204" cm="1">
        <f t="array" aca="1" ref="I44" ca="1">D44*_xlfn.IFS(C44=1,$G$5,C44=2,$H$5,C44=3,$I$5,C44=4,$J$5,C44=5,$K$5)</f>
        <v>247290397.23567367</v>
      </c>
      <c r="J44" s="205">
        <f t="shared" si="4"/>
        <v>1.02318</v>
      </c>
      <c r="K44" s="206" cm="1">
        <f t="array" aca="1" ref="K44" ca="1">D44*_xlfn.IFS(C44=1,$G$6,C44=2,$H$6,C44=3,$I$6,C44=4,$J$6,C44=5,$K$6)</f>
        <v>27476710.803963739</v>
      </c>
      <c r="L44" s="207">
        <f t="shared" ca="1" si="5"/>
        <v>-1.1018329122483392</v>
      </c>
      <c r="M44" s="207">
        <f t="shared" ca="1" si="6"/>
        <v>0.77026953634919049</v>
      </c>
      <c r="N44" s="208" cm="1">
        <f t="array" aca="1" ref="N44" ca="1">D44*_xlfn.IFS(C44=1,$G$7,C44=2,$H$7,C44=3,$I$7,C44=4,$J$7,C44=5,$K$7)</f>
        <v>27476710.803963739</v>
      </c>
      <c r="O44" s="209">
        <f t="shared" ca="1" si="7"/>
        <v>-1.1831140551452106</v>
      </c>
      <c r="P44" s="209">
        <f t="shared" ca="1" si="8"/>
        <v>1.0502040531590404</v>
      </c>
      <c r="Q44" s="200">
        <f t="shared" ca="1" si="9"/>
        <v>561642752.37721109</v>
      </c>
      <c r="R44" s="200">
        <f>'14.3. More funds to invest'!G27</f>
        <v>27768080.993336037</v>
      </c>
      <c r="U44" s="211">
        <v>26</v>
      </c>
      <c r="V44" s="178">
        <v>3581825573.4874973</v>
      </c>
    </row>
    <row r="45" spans="1:22" x14ac:dyDescent="0.25">
      <c r="A45" s="198">
        <v>27</v>
      </c>
      <c r="B45" s="199">
        <v>2050</v>
      </c>
      <c r="C45" s="199" cm="1">
        <f t="array" ref="C45">_xlfn.IFS(AND(B45&gt;=2024,B45&lt;=2034),1,AND(B45&gt;=2035,B45&lt;=2044),2,AND(B45&gt;=2045,B45&lt;=2055),3,AND(B45&gt;=2056,B45&lt;=2062),4,B45&gt;=2063,5)</f>
        <v>3</v>
      </c>
      <c r="D45" s="200">
        <f t="shared" ca="1" si="1"/>
        <v>589410833.37054718</v>
      </c>
      <c r="E45" s="201" cm="1">
        <f t="array" aca="1" ref="E45" ca="1">D45*_xlfn.IFS(C45=1,$G$3,C45=2,$H$3,C45=3,$I$3,C45=4,$J$3,C45=5,$K$3)</f>
        <v>88411625.005582079</v>
      </c>
      <c r="F45" s="202" cm="1">
        <f t="array" aca="1" ref="F45" ca="1">D45*_xlfn.IFS(C45=1,$G$4,C45=2,$H$4,C45=3,$I$4,C45=4,$J$4,C45=5,$K$4)</f>
        <v>176823250.01116416</v>
      </c>
      <c r="G45" s="203">
        <f t="shared" ca="1" si="2"/>
        <v>-1.2219863768015968</v>
      </c>
      <c r="H45" s="203">
        <f t="shared" ca="1" si="3"/>
        <v>1.0532561772604574</v>
      </c>
      <c r="I45" s="204" cm="1">
        <f t="array" aca="1" ref="I45" ca="1">D45*_xlfn.IFS(C45=1,$G$5,C45=2,$H$5,C45=3,$I$5,C45=4,$J$5,C45=5,$K$5)</f>
        <v>265234875.01674622</v>
      </c>
      <c r="J45" s="205">
        <f t="shared" si="4"/>
        <v>1.02318</v>
      </c>
      <c r="K45" s="206" cm="1">
        <f t="array" aca="1" ref="K45" ca="1">D45*_xlfn.IFS(C45=1,$G$6,C45=2,$H$6,C45=3,$I$6,C45=4,$J$6,C45=5,$K$6)</f>
        <v>29470541.668527361</v>
      </c>
      <c r="L45" s="207">
        <f t="shared" ca="1" si="5"/>
        <v>1.4334162898161269</v>
      </c>
      <c r="M45" s="207">
        <f t="shared" ca="1" si="6"/>
        <v>1.5772045157109102</v>
      </c>
      <c r="N45" s="208" cm="1">
        <f t="array" aca="1" ref="N45" ca="1">D45*_xlfn.IFS(C45=1,$G$7,C45=2,$H$7,C45=3,$I$7,C45=4,$J$7,C45=5,$K$7)</f>
        <v>29470541.668527361</v>
      </c>
      <c r="O45" s="209">
        <f t="shared" ca="1" si="7"/>
        <v>1.1418533037102874</v>
      </c>
      <c r="P45" s="209">
        <f t="shared" ca="1" si="8"/>
        <v>1.0945708123869264</v>
      </c>
      <c r="Q45" s="200">
        <f t="shared" ca="1" si="9"/>
        <v>624773490.918396</v>
      </c>
      <c r="R45" s="200">
        <f>'14.3. More funds to invest'!G28</f>
        <v>28681595.597216591</v>
      </c>
      <c r="U45" s="211">
        <v>27</v>
      </c>
      <c r="V45" s="178">
        <v>3456216613.0724821</v>
      </c>
    </row>
    <row r="46" spans="1:22" x14ac:dyDescent="0.25">
      <c r="A46" s="198">
        <v>28</v>
      </c>
      <c r="B46" s="199">
        <v>2051</v>
      </c>
      <c r="C46" s="199" cm="1">
        <f t="array" ref="C46">_xlfn.IFS(AND(B46&gt;=2024,B46&lt;=2034),1,AND(B46&gt;=2035,B46&lt;=2044),2,AND(B46&gt;=2045,B46&lt;=2055),3,AND(B46&gt;=2056,B46&lt;=2062),4,B46&gt;=2063,5)</f>
        <v>3</v>
      </c>
      <c r="D46" s="200">
        <f t="shared" ca="1" si="1"/>
        <v>653455086.5156126</v>
      </c>
      <c r="E46" s="201" cm="1">
        <f t="array" aca="1" ref="E46" ca="1">D46*_xlfn.IFS(C46=1,$G$3,C46=2,$H$3,C46=3,$I$3,C46=4,$J$3,C46=5,$K$3)</f>
        <v>98018262.97734189</v>
      </c>
      <c r="F46" s="202" cm="1">
        <f t="array" aca="1" ref="F46" ca="1">D46*_xlfn.IFS(C46=1,$G$4,C46=2,$H$4,C46=3,$I$4,C46=4,$J$4,C46=5,$K$4)</f>
        <v>196036525.95468378</v>
      </c>
      <c r="G46" s="203">
        <f t="shared" ca="1" si="2"/>
        <v>-0.49665593593915358</v>
      </c>
      <c r="H46" s="203">
        <f t="shared" ca="1" si="3"/>
        <v>1.0584462194105961</v>
      </c>
      <c r="I46" s="204" cm="1">
        <f t="array" aca="1" ref="I46" ca="1">D46*_xlfn.IFS(C46=1,$G$5,C46=2,$H$5,C46=3,$I$5,C46=4,$J$5,C46=5,$K$5)</f>
        <v>294054788.93202567</v>
      </c>
      <c r="J46" s="205">
        <f t="shared" si="4"/>
        <v>1.02318</v>
      </c>
      <c r="K46" s="206" cm="1">
        <f t="array" aca="1" ref="K46" ca="1">D46*_xlfn.IFS(C46=1,$G$6,C46=2,$H$6,C46=3,$I$6,C46=4,$J$6,C46=5,$K$6)</f>
        <v>32672754.32578063</v>
      </c>
      <c r="L46" s="207">
        <f t="shared" ca="1" si="5"/>
        <v>6.8735393131108977E-2</v>
      </c>
      <c r="M46" s="207">
        <f t="shared" ca="1" si="6"/>
        <v>1.142845340957936</v>
      </c>
      <c r="N46" s="208" cm="1">
        <f t="array" aca="1" ref="N46" ca="1">D46*_xlfn.IFS(C46=1,$G$7,C46=2,$H$7,C46=3,$I$7,C46=4,$J$7,C46=5,$K$7)</f>
        <v>32672754.32578063</v>
      </c>
      <c r="O46" s="209">
        <f t="shared" ca="1" si="7"/>
        <v>-0.29666671316729099</v>
      </c>
      <c r="P46" s="209">
        <f t="shared" ca="1" si="8"/>
        <v>1.0671199017364132</v>
      </c>
      <c r="Q46" s="200">
        <f t="shared" ca="1" si="9"/>
        <v>678589013.12300074</v>
      </c>
      <c r="R46" s="200">
        <f>'14.3. More funds to invest'!G29</f>
        <v>27381405.739533156</v>
      </c>
      <c r="U46" s="211">
        <v>28</v>
      </c>
      <c r="V46" s="178">
        <v>3109451993.1929903</v>
      </c>
    </row>
    <row r="47" spans="1:22" x14ac:dyDescent="0.25">
      <c r="A47" s="198">
        <v>29</v>
      </c>
      <c r="B47" s="199">
        <v>2052</v>
      </c>
      <c r="C47" s="199" cm="1">
        <f t="array" ref="C47">_xlfn.IFS(AND(B47&gt;=2024,B47&lt;=2034),1,AND(B47&gt;=2035,B47&lt;=2044),2,AND(B47&gt;=2045,B47&lt;=2055),3,AND(B47&gt;=2056,B47&lt;=2062),4,B47&gt;=2063,5)</f>
        <v>3</v>
      </c>
      <c r="D47" s="200">
        <f t="shared" ca="1" si="1"/>
        <v>705970418.86253393</v>
      </c>
      <c r="E47" s="201" cm="1">
        <f t="array" aca="1" ref="E47" ca="1">D47*_xlfn.IFS(C47=1,$G$3,C47=2,$H$3,C47=3,$I$3,C47=4,$J$3,C47=5,$K$3)</f>
        <v>105895562.82938008</v>
      </c>
      <c r="F47" s="202" cm="1">
        <f t="array" aca="1" ref="F47" ca="1">D47*_xlfn.IFS(C47=1,$G$4,C47=2,$H$4,C47=3,$I$4,C47=4,$J$4,C47=5,$K$4)</f>
        <v>211791125.65876016</v>
      </c>
      <c r="G47" s="203">
        <f t="shared" ca="1" si="2"/>
        <v>-0.12347692705731875</v>
      </c>
      <c r="H47" s="203">
        <f t="shared" ca="1" si="3"/>
        <v>1.0611164710318306</v>
      </c>
      <c r="I47" s="204" cm="1">
        <f t="array" aca="1" ref="I47" ca="1">D47*_xlfn.IFS(C47=1,$G$5,C47=2,$H$5,C47=3,$I$5,C47=4,$J$5,C47=5,$K$5)</f>
        <v>317686688.48814029</v>
      </c>
      <c r="J47" s="205">
        <f t="shared" si="4"/>
        <v>1.02318</v>
      </c>
      <c r="K47" s="206" cm="1">
        <f t="array" aca="1" ref="K47" ca="1">D47*_xlfn.IFS(C47=1,$G$6,C47=2,$H$6,C47=3,$I$6,C47=4,$J$6,C47=5,$K$6)</f>
        <v>35298520.943126701</v>
      </c>
      <c r="L47" s="207">
        <f t="shared" ca="1" si="5"/>
        <v>1.1307974485972105</v>
      </c>
      <c r="M47" s="207">
        <f t="shared" ca="1" si="6"/>
        <v>1.4808850974089123</v>
      </c>
      <c r="N47" s="208" cm="1">
        <f t="array" aca="1" ref="N47" ca="1">D47*_xlfn.IFS(C47=1,$G$7,C47=2,$H$7,C47=3,$I$7,C47=4,$J$7,C47=5,$K$7)</f>
        <v>35298520.943126701</v>
      </c>
      <c r="O47" s="209">
        <f t="shared" ca="1" si="7"/>
        <v>0.99138966192650102</v>
      </c>
      <c r="P47" s="209">
        <f t="shared" ca="1" si="8"/>
        <v>1.0916995530799318</v>
      </c>
      <c r="Q47" s="200">
        <f t="shared" ca="1" si="9"/>
        <v>746489713.77480471</v>
      </c>
      <c r="R47" s="200">
        <f>'14.3. More funds to invest'!G30</f>
        <v>28368450.620992884</v>
      </c>
      <c r="U47" s="211">
        <v>29</v>
      </c>
      <c r="V47" s="178">
        <v>3559504592.1629777</v>
      </c>
    </row>
    <row r="48" spans="1:22" x14ac:dyDescent="0.25">
      <c r="A48" s="198">
        <v>30</v>
      </c>
      <c r="B48" s="199">
        <v>2053</v>
      </c>
      <c r="C48" s="199" cm="1">
        <f t="array" ref="C48">_xlfn.IFS(AND(B48&gt;=2024,B48&lt;=2034),1,AND(B48&gt;=2035,B48&lt;=2044),2,AND(B48&gt;=2045,B48&lt;=2055),3,AND(B48&gt;=2056,B48&lt;=2062),4,B48&gt;=2063,5)</f>
        <v>3</v>
      </c>
      <c r="D48" s="200">
        <f t="shared" ca="1" si="1"/>
        <v>774858164.39579761</v>
      </c>
      <c r="E48" s="201" cm="1">
        <f t="array" aca="1" ref="E48" ca="1">D48*_xlfn.IFS(C48=1,$G$3,C48=2,$H$3,C48=3,$I$3,C48=4,$J$3,C48=5,$K$3)</f>
        <v>116228724.65936963</v>
      </c>
      <c r="F48" s="202" cm="1">
        <f t="array" aca="1" ref="F48" ca="1">D48*_xlfn.IFS(C48=1,$G$4,C48=2,$H$4,C48=3,$I$4,C48=4,$J$4,C48=5,$K$4)</f>
        <v>232457449.31873927</v>
      </c>
      <c r="G48" s="203">
        <f t="shared" ca="1" si="2"/>
        <v>2.1437704280711349</v>
      </c>
      <c r="H48" s="203">
        <f t="shared" ca="1" si="3"/>
        <v>1.0773395724970267</v>
      </c>
      <c r="I48" s="204" cm="1">
        <f t="array" aca="1" ref="I48" ca="1">D48*_xlfn.IFS(C48=1,$G$5,C48=2,$H$5,C48=3,$I$5,C48=4,$J$5,C48=5,$K$5)</f>
        <v>348686173.97810894</v>
      </c>
      <c r="J48" s="205">
        <f t="shared" si="4"/>
        <v>1.02318</v>
      </c>
      <c r="K48" s="206" cm="1">
        <f t="array" aca="1" ref="K48" ca="1">D48*_xlfn.IFS(C48=1,$G$6,C48=2,$H$6,C48=3,$I$6,C48=4,$J$6,C48=5,$K$6)</f>
        <v>38742908.219789885</v>
      </c>
      <c r="L48" s="207">
        <f t="shared" ca="1" si="5"/>
        <v>-1.0008086711772746</v>
      </c>
      <c r="M48" s="207">
        <f t="shared" ca="1" si="6"/>
        <v>0.80242416391689897</v>
      </c>
      <c r="N48" s="208" cm="1">
        <f t="array" aca="1" ref="N48" ca="1">D48*_xlfn.IFS(C48=1,$G$7,C48=2,$H$7,C48=3,$I$7,C48=4,$J$7,C48=5,$K$7)</f>
        <v>38742908.219789885</v>
      </c>
      <c r="O48" s="209">
        <f t="shared" ca="1" si="7"/>
        <v>-0.80049339118872676</v>
      </c>
      <c r="P48" s="209">
        <f t="shared" ca="1" si="8"/>
        <v>1.0575055057186702</v>
      </c>
      <c r="Q48" s="200">
        <f t="shared" ca="1" si="9"/>
        <v>795492137.70904589</v>
      </c>
      <c r="R48" s="200">
        <f>'14.3. More funds to invest'!G31</f>
        <v>29394476.996456236</v>
      </c>
      <c r="U48" s="211">
        <v>30</v>
      </c>
      <c r="V48" s="178">
        <v>3740910351.3623509</v>
      </c>
    </row>
    <row r="49" spans="1:22" x14ac:dyDescent="0.25">
      <c r="A49" s="198">
        <v>31</v>
      </c>
      <c r="B49" s="199">
        <v>2054</v>
      </c>
      <c r="C49" s="199" cm="1">
        <f t="array" ref="C49">_xlfn.IFS(AND(B49&gt;=2024,B49&lt;=2034),1,AND(B49&gt;=2035,B49&lt;=2044),2,AND(B49&gt;=2045,B49&lt;=2055),3,AND(B49&gt;=2056,B49&lt;=2062),4,B49&gt;=2063,5)</f>
        <v>3</v>
      </c>
      <c r="D49" s="200">
        <f t="shared" ca="1" si="1"/>
        <v>824886614.70550215</v>
      </c>
      <c r="E49" s="201" cm="1">
        <f t="array" aca="1" ref="E49" ca="1">D49*_xlfn.IFS(C49=1,$G$3,C49=2,$H$3,C49=3,$I$3,C49=4,$J$3,C49=5,$K$3)</f>
        <v>123732992.20582531</v>
      </c>
      <c r="F49" s="202" cm="1">
        <f t="array" aca="1" ref="F49" ca="1">D49*_xlfn.IFS(C49=1,$G$4,C49=2,$H$4,C49=3,$I$4,C49=4,$J$4,C49=5,$K$4)</f>
        <v>247465984.41165063</v>
      </c>
      <c r="G49" s="203">
        <f t="shared" ca="1" si="2"/>
        <v>1.0759134590386414</v>
      </c>
      <c r="H49" s="203">
        <f t="shared" ca="1" si="3"/>
        <v>1.0696986100234154</v>
      </c>
      <c r="I49" s="204" cm="1">
        <f t="array" aca="1" ref="I49" ca="1">D49*_xlfn.IFS(C49=1,$G$5,C49=2,$H$5,C49=3,$I$5,C49=4,$J$5,C49=5,$K$5)</f>
        <v>371198976.61747599</v>
      </c>
      <c r="J49" s="205">
        <f t="shared" si="4"/>
        <v>1.02318</v>
      </c>
      <c r="K49" s="206" cm="1">
        <f t="array" aca="1" ref="K49" ca="1">D49*_xlfn.IFS(C49=1,$G$6,C49=2,$H$6,C49=3,$I$6,C49=4,$J$6,C49=5,$K$6)</f>
        <v>41244330.735275112</v>
      </c>
      <c r="L49" s="207">
        <f t="shared" ca="1" si="5"/>
        <v>0.86671993207644393</v>
      </c>
      <c r="M49" s="207">
        <f t="shared" ca="1" si="6"/>
        <v>1.3968328530890814</v>
      </c>
      <c r="N49" s="208" cm="1">
        <f t="array" aca="1" ref="N49" ca="1">D49*_xlfn.IFS(C49=1,$G$7,C49=2,$H$7,C49=3,$I$7,C49=4,$J$7,C49=5,$K$7)</f>
        <v>41244330.735275112</v>
      </c>
      <c r="O49" s="209">
        <f t="shared" ca="1" si="7"/>
        <v>-0.17434123565263579</v>
      </c>
      <c r="P49" s="209">
        <f t="shared" ca="1" si="8"/>
        <v>1.0694542076300668</v>
      </c>
      <c r="Q49" s="200">
        <f t="shared" ca="1" si="9"/>
        <v>869970739.87494338</v>
      </c>
      <c r="R49" s="200">
        <f>'14.3. More funds to invest'!G32</f>
        <v>26119997.164671049</v>
      </c>
      <c r="U49" s="211">
        <v>31</v>
      </c>
      <c r="V49" s="178">
        <v>3384514786.0414968</v>
      </c>
    </row>
    <row r="50" spans="1:22" x14ac:dyDescent="0.25">
      <c r="A50" s="198">
        <v>32</v>
      </c>
      <c r="B50" s="199">
        <v>2055</v>
      </c>
      <c r="C50" s="199" cm="1">
        <f t="array" ref="C50">_xlfn.IFS(AND(B50&gt;=2024,B50&lt;=2034),1,AND(B50&gt;=2035,B50&lt;=2044),2,AND(B50&gt;=2045,B50&lt;=2055),3,AND(B50&gt;=2056,B50&lt;=2062),4,B50&gt;=2063,5)</f>
        <v>3</v>
      </c>
      <c r="D50" s="200">
        <f t="shared" ca="1" si="1"/>
        <v>896090737.03961444</v>
      </c>
      <c r="E50" s="201" cm="1">
        <f t="array" aca="1" ref="E50" ca="1">D50*_xlfn.IFS(C50=1,$G$3,C50=2,$H$3,C50=3,$I$3,C50=4,$J$3,C50=5,$K$3)</f>
        <v>134413610.55594215</v>
      </c>
      <c r="F50" s="202" cm="1">
        <f t="array" aca="1" ref="F50" ca="1">D50*_xlfn.IFS(C50=1,$G$4,C50=2,$H$4,C50=3,$I$4,C50=4,$J$4,C50=5,$K$4)</f>
        <v>268827221.1118843</v>
      </c>
      <c r="G50" s="203">
        <f t="shared" ca="1" si="2"/>
        <v>0.6536706619452477</v>
      </c>
      <c r="H50" s="203">
        <f t="shared" ca="1" si="3"/>
        <v>1.066677286512022</v>
      </c>
      <c r="I50" s="204" cm="1">
        <f t="array" aca="1" ref="I50" ca="1">D50*_xlfn.IFS(C50=1,$G$5,C50=2,$H$5,C50=3,$I$5,C50=4,$J$5,C50=5,$K$5)</f>
        <v>403240831.66782653</v>
      </c>
      <c r="J50" s="205">
        <f t="shared" si="4"/>
        <v>1.02318</v>
      </c>
      <c r="K50" s="206" cm="1">
        <f t="array" aca="1" ref="K50" ca="1">D50*_xlfn.IFS(C50=1,$G$6,C50=2,$H$6,C50=3,$I$6,C50=4,$J$6,C50=5,$K$6)</f>
        <v>44804536.851980723</v>
      </c>
      <c r="L50" s="207">
        <f t="shared" ca="1" si="5"/>
        <v>-1.3918820785320141</v>
      </c>
      <c r="M50" s="207">
        <f t="shared" ca="1" si="6"/>
        <v>0.67795087283539757</v>
      </c>
      <c r="N50" s="208" cm="1">
        <f t="array" aca="1" ref="N50" ca="1">D50*_xlfn.IFS(C50=1,$G$7,C50=2,$H$7,C50=3,$I$7,C50=4,$J$7,C50=5,$K$7)</f>
        <v>44804536.851980723</v>
      </c>
      <c r="O50" s="209">
        <f t="shared" ca="1" si="7"/>
        <v>1.0702757008611608</v>
      </c>
      <c r="P50" s="209">
        <f t="shared" ca="1" si="8"/>
        <v>1.0932049152444909</v>
      </c>
      <c r="Q50" s="200">
        <f t="shared" ca="1" si="9"/>
        <v>913109270.23564529</v>
      </c>
      <c r="R50" s="200">
        <f>'14.3. More funds to invest'!G33</f>
        <v>23357400.246415064</v>
      </c>
      <c r="U50" s="211">
        <v>32</v>
      </c>
      <c r="V50" s="178">
        <v>2946910354.6206903</v>
      </c>
    </row>
    <row r="51" spans="1:22" x14ac:dyDescent="0.25">
      <c r="A51" s="198">
        <v>33</v>
      </c>
      <c r="B51" s="199">
        <v>2056</v>
      </c>
      <c r="C51" s="199" cm="1">
        <f t="array" ref="C51">_xlfn.IFS(AND(B51&gt;=2024,B51&lt;=2034),1,AND(B51&gt;=2035,B51&lt;=2044),2,AND(B51&gt;=2045,B51&lt;=2055),3,AND(B51&gt;=2056,B51&lt;=2062),4,B51&gt;=2063,5)</f>
        <v>4</v>
      </c>
      <c r="D51" s="200">
        <f t="shared" ca="1" si="1"/>
        <v>936466670.48206031</v>
      </c>
      <c r="E51" s="201" cm="1">
        <f t="array" aca="1" ref="E51" ca="1">D51*_xlfn.IFS(C51=1,$G$3,C51=2,$H$3,C51=3,$I$3,C51=4,$J$3,C51=5,$K$3)</f>
        <v>140470000.57230905</v>
      </c>
      <c r="F51" s="202" cm="1">
        <f t="array" aca="1" ref="F51" ca="1">D51*_xlfn.IFS(C51=1,$G$4,C51=2,$H$4,C51=3,$I$4,C51=4,$J$4,C51=5,$K$4)</f>
        <v>46823333.524103016</v>
      </c>
      <c r="G51" s="203">
        <f t="shared" ca="1" si="2"/>
        <v>-0.23842574166381397</v>
      </c>
      <c r="H51" s="203">
        <f t="shared" ca="1" si="3"/>
        <v>1.0602939642689726</v>
      </c>
      <c r="I51" s="204" cm="1">
        <f t="array" aca="1" ref="I51" ca="1">D51*_xlfn.IFS(C51=1,$G$5,C51=2,$H$5,C51=3,$I$5,C51=4,$J$5,C51=5,$K$5)</f>
        <v>655526669.33744216</v>
      </c>
      <c r="J51" s="205">
        <f t="shared" si="4"/>
        <v>1.02318</v>
      </c>
      <c r="K51" s="206" cm="1">
        <f t="array" aca="1" ref="K51" ca="1">D51*_xlfn.IFS(C51=1,$G$6,C51=2,$H$6,C51=3,$I$6,C51=4,$J$6,C51=5,$K$6)</f>
        <v>46823333.524103016</v>
      </c>
      <c r="L51" s="207">
        <f t="shared" ca="1" si="5"/>
        <v>-0.41319485717192328</v>
      </c>
      <c r="M51" s="207">
        <f t="shared" ca="1" si="6"/>
        <v>0.98945356540175244</v>
      </c>
      <c r="N51" s="208" cm="1">
        <f t="array" aca="1" ref="N51" ca="1">D51*_xlfn.IFS(C51=1,$G$7,C51=2,$H$7,C51=3,$I$7,C51=4,$J$7,C51=5,$K$7)</f>
        <v>46823333.524103016</v>
      </c>
      <c r="O51" s="209">
        <f t="shared" ca="1" si="7"/>
        <v>0.16130877434359953</v>
      </c>
      <c r="P51" s="209">
        <f t="shared" ca="1" si="8"/>
        <v>1.0758593311779825</v>
      </c>
      <c r="Q51" s="200">
        <f t="shared" ca="1" si="9"/>
        <v>957543110.61573684</v>
      </c>
      <c r="R51" s="200">
        <f>'14.3. More funds to invest'!G34</f>
        <v>24279410.959539026</v>
      </c>
      <c r="U51" s="211">
        <v>33</v>
      </c>
      <c r="V51" s="178">
        <v>4094053951.50493</v>
      </c>
    </row>
    <row r="52" spans="1:22" x14ac:dyDescent="0.25">
      <c r="A52" s="198">
        <v>34</v>
      </c>
      <c r="B52" s="199">
        <v>2057</v>
      </c>
      <c r="C52" s="199" cm="1">
        <f t="array" ref="C52">_xlfn.IFS(AND(B52&gt;=2024,B52&lt;=2034),1,AND(B52&gt;=2035,B52&lt;=2044),2,AND(B52&gt;=2045,B52&lt;=2055),3,AND(B52&gt;=2056,B52&lt;=2062),4,B52&gt;=2063,5)</f>
        <v>4</v>
      </c>
      <c r="D52" s="200">
        <f t="shared" ca="1" si="1"/>
        <v>981822521.5752759</v>
      </c>
      <c r="E52" s="201" cm="1">
        <f t="array" aca="1" ref="E52" ca="1">D52*_xlfn.IFS(C52=1,$G$3,C52=2,$H$3,C52=3,$I$3,C52=4,$J$3,C52=5,$K$3)</f>
        <v>147273378.23629138</v>
      </c>
      <c r="F52" s="202" cm="1">
        <f t="array" aca="1" ref="F52" ca="1">D52*_xlfn.IFS(C52=1,$G$4,C52=2,$H$4,C52=3,$I$4,C52=4,$J$4,C52=5,$K$4)</f>
        <v>49091126.078763798</v>
      </c>
      <c r="G52" s="203">
        <f t="shared" ca="1" si="2"/>
        <v>0.12328123572516915</v>
      </c>
      <c r="H52" s="203">
        <f t="shared" ca="1" si="3"/>
        <v>1.0628821287149812</v>
      </c>
      <c r="I52" s="204" cm="1">
        <f t="array" aca="1" ref="I52" ca="1">D52*_xlfn.IFS(C52=1,$G$5,C52=2,$H$5,C52=3,$I$5,C52=4,$J$5,C52=5,$K$5)</f>
        <v>687275765.10269308</v>
      </c>
      <c r="J52" s="205">
        <f t="shared" si="4"/>
        <v>1.02318</v>
      </c>
      <c r="K52" s="206" cm="1">
        <f t="array" aca="1" ref="K52" ca="1">D52*_xlfn.IFS(C52=1,$G$6,C52=2,$H$6,C52=3,$I$6,C52=4,$J$6,C52=5,$K$6)</f>
        <v>49091126.078763798</v>
      </c>
      <c r="L52" s="207">
        <f t="shared" ca="1" si="5"/>
        <v>0.47586529902245939</v>
      </c>
      <c r="M52" s="207">
        <f t="shared" ca="1" si="6"/>
        <v>1.2724291948609188</v>
      </c>
      <c r="N52" s="208" cm="1">
        <f t="array" aca="1" ref="N52" ca="1">D52*_xlfn.IFS(C52=1,$G$7,C52=2,$H$7,C52=3,$I$7,C52=4,$J$7,C52=5,$K$7)</f>
        <v>49091126.078763798</v>
      </c>
      <c r="O52" s="209">
        <f t="shared" ca="1" si="7"/>
        <v>-0.293053986756595</v>
      </c>
      <c r="P52" s="209">
        <f t="shared" ca="1" si="8"/>
        <v>1.0671888424732408</v>
      </c>
      <c r="Q52" s="200">
        <f t="shared" ca="1" si="9"/>
        <v>1017512760.2085979</v>
      </c>
      <c r="R52" s="200">
        <f>'14.3. More funds to invest'!G35</f>
        <v>28863418.762153283</v>
      </c>
      <c r="U52" s="211">
        <v>34</v>
      </c>
      <c r="V52" s="178">
        <v>3449785803.2070804</v>
      </c>
    </row>
    <row r="53" spans="1:22" x14ac:dyDescent="0.25">
      <c r="A53" s="198">
        <v>35</v>
      </c>
      <c r="B53" s="199">
        <v>2058</v>
      </c>
      <c r="C53" s="199" cm="1">
        <f t="array" ref="C53">_xlfn.IFS(AND(B53&gt;=2024,B53&lt;=2034),1,AND(B53&gt;=2035,B53&lt;=2044),2,AND(B53&gt;=2045,B53&lt;=2055),3,AND(B53&gt;=2056,B53&lt;=2062),4,B53&gt;=2063,5)</f>
        <v>4</v>
      </c>
      <c r="D53" s="200">
        <f t="shared" ca="1" si="1"/>
        <v>1046376178.9707512</v>
      </c>
      <c r="E53" s="201" cm="1">
        <f t="array" aca="1" ref="E53" ca="1">D53*_xlfn.IFS(C53=1,$G$3,C53=2,$H$3,C53=3,$I$3,C53=4,$J$3,C53=5,$K$3)</f>
        <v>156956426.84561267</v>
      </c>
      <c r="F53" s="202" cm="1">
        <f t="array" aca="1" ref="F53" ca="1">D53*_xlfn.IFS(C53=1,$G$4,C53=2,$H$4,C53=3,$I$4,C53=4,$J$4,C53=5,$K$4)</f>
        <v>52318808.948537558</v>
      </c>
      <c r="G53" s="203">
        <f t="shared" ca="1" si="2"/>
        <v>0.21607397119395899</v>
      </c>
      <c r="H53" s="203">
        <f t="shared" ca="1" si="3"/>
        <v>1.0635460994808257</v>
      </c>
      <c r="I53" s="204" cm="1">
        <f t="array" aca="1" ref="I53" ca="1">D53*_xlfn.IFS(C53=1,$G$5,C53=2,$H$5,C53=3,$I$5,C53=4,$J$5,C53=5,$K$5)</f>
        <v>732463325.27952576</v>
      </c>
      <c r="J53" s="205">
        <f t="shared" si="4"/>
        <v>1.02318</v>
      </c>
      <c r="K53" s="206" cm="1">
        <f t="array" aca="1" ref="K53" ca="1">D53*_xlfn.IFS(C53=1,$G$6,C53=2,$H$6,C53=3,$I$6,C53=4,$J$6,C53=5,$K$6)</f>
        <v>52318808.948537558</v>
      </c>
      <c r="L53" s="207">
        <f t="shared" ca="1" si="5"/>
        <v>1.2721999395950765</v>
      </c>
      <c r="M53" s="207">
        <f t="shared" ca="1" si="6"/>
        <v>1.5258915670144029</v>
      </c>
      <c r="N53" s="208" cm="1">
        <f t="array" aca="1" ref="N53" ca="1">D53*_xlfn.IFS(C53=1,$G$7,C53=2,$H$7,C53=3,$I$7,C53=4,$J$7,C53=5,$K$7)</f>
        <v>52318808.948537558</v>
      </c>
      <c r="O53" s="209">
        <f t="shared" ca="1" si="7"/>
        <v>-0.67482681612905959</v>
      </c>
      <c r="P53" s="209">
        <f t="shared" ca="1" si="8"/>
        <v>1.0599035689247747</v>
      </c>
      <c r="Q53" s="200">
        <f t="shared" ca="1" si="9"/>
        <v>1097327438.8890769</v>
      </c>
      <c r="R53" s="200">
        <f>'14.3. More funds to invest'!G36</f>
        <v>25316803.064393163</v>
      </c>
      <c r="U53" s="211">
        <v>35</v>
      </c>
      <c r="V53" s="178">
        <v>3428760296.7223477</v>
      </c>
    </row>
    <row r="54" spans="1:22" x14ac:dyDescent="0.25">
      <c r="A54" s="198">
        <v>36</v>
      </c>
      <c r="B54" s="199">
        <v>2059</v>
      </c>
      <c r="C54" s="199" cm="1">
        <f t="array" ref="C54">_xlfn.IFS(AND(B54&gt;=2024,B54&lt;=2034),1,AND(B54&gt;=2035,B54&lt;=2044),2,AND(B54&gt;=2045,B54&lt;=2055),3,AND(B54&gt;=2056,B54&lt;=2062),4,B54&gt;=2063,5)</f>
        <v>4</v>
      </c>
      <c r="D54" s="200">
        <f t="shared" ca="1" si="1"/>
        <v>1122644241.9534702</v>
      </c>
      <c r="E54" s="201" cm="1">
        <f t="array" aca="1" ref="E54" ca="1">D54*_xlfn.IFS(C54=1,$G$3,C54=2,$H$3,C54=3,$I$3,C54=4,$J$3,C54=5,$K$3)</f>
        <v>168396636.29302052</v>
      </c>
      <c r="F54" s="202" cm="1">
        <f t="array" aca="1" ref="F54" ca="1">D54*_xlfn.IFS(C54=1,$G$4,C54=2,$H$4,C54=3,$I$4,C54=4,$J$4,C54=5,$K$4)</f>
        <v>56132212.097673513</v>
      </c>
      <c r="G54" s="203">
        <f t="shared" ca="1" si="2"/>
        <v>0.57713474320392544</v>
      </c>
      <c r="H54" s="203">
        <f t="shared" ca="1" si="3"/>
        <v>1.0661296400575389</v>
      </c>
      <c r="I54" s="204" cm="1">
        <f t="array" aca="1" ref="I54" ca="1">D54*_xlfn.IFS(C54=1,$G$5,C54=2,$H$5,C54=3,$I$5,C54=4,$J$5,C54=5,$K$5)</f>
        <v>785850969.36742914</v>
      </c>
      <c r="J54" s="205">
        <f t="shared" si="4"/>
        <v>1.02318</v>
      </c>
      <c r="K54" s="206" cm="1">
        <f t="array" aca="1" ref="K54" ca="1">D54*_xlfn.IFS(C54=1,$G$6,C54=2,$H$6,C54=3,$I$6,C54=4,$J$6,C54=5,$K$6)</f>
        <v>56132212.097673513</v>
      </c>
      <c r="L54" s="207">
        <f t="shared" ca="1" si="5"/>
        <v>1.1708853427599764</v>
      </c>
      <c r="M54" s="207">
        <f t="shared" ca="1" si="6"/>
        <v>1.4936445231973299</v>
      </c>
      <c r="N54" s="208" cm="1">
        <f t="array" aca="1" ref="N54" ca="1">D54*_xlfn.IFS(C54=1,$G$7,C54=2,$H$7,C54=3,$I$7,C54=4,$J$7,C54=5,$K$7)</f>
        <v>56132212.097673513</v>
      </c>
      <c r="O54" s="209">
        <f t="shared" ca="1" si="7"/>
        <v>0.78365229637581146</v>
      </c>
      <c r="P54" s="209">
        <f t="shared" ca="1" si="8"/>
        <v>1.0877353539074499</v>
      </c>
      <c r="Q54" s="200">
        <f t="shared" ca="1" si="9"/>
        <v>1177206408.9760246</v>
      </c>
      <c r="R54" s="200">
        <f>'14.3. More funds to invest'!G37</f>
        <v>26032034.83700189</v>
      </c>
      <c r="U54" s="211">
        <v>36</v>
      </c>
      <c r="V54" s="178">
        <v>3880011294.7778068</v>
      </c>
    </row>
    <row r="55" spans="1:22" x14ac:dyDescent="0.25">
      <c r="A55" s="198">
        <v>37</v>
      </c>
      <c r="B55" s="199">
        <v>2060</v>
      </c>
      <c r="C55" s="199" cm="1">
        <f t="array" ref="C55">_xlfn.IFS(AND(B55&gt;=2024,B55&lt;=2034),1,AND(B55&gt;=2035,B55&lt;=2044),2,AND(B55&gt;=2045,B55&lt;=2055),3,AND(B55&gt;=2056,B55&lt;=2062),4,B55&gt;=2063,5)</f>
        <v>4</v>
      </c>
      <c r="D55" s="200">
        <f t="shared" ca="1" si="1"/>
        <v>1203238443.8130264</v>
      </c>
      <c r="E55" s="201" cm="1">
        <f t="array" aca="1" ref="E55" ca="1">D55*_xlfn.IFS(C55=1,$G$3,C55=2,$H$3,C55=3,$I$3,C55=4,$J$3,C55=5,$K$3)</f>
        <v>180485766.57195395</v>
      </c>
      <c r="F55" s="202" cm="1">
        <f t="array" aca="1" ref="F55" ca="1">D55*_xlfn.IFS(C55=1,$G$4,C55=2,$H$4,C55=3,$I$4,C55=4,$J$4,C55=5,$K$4)</f>
        <v>60161922.190651327</v>
      </c>
      <c r="G55" s="203">
        <f t="shared" ca="1" si="2"/>
        <v>0.26092192402519876</v>
      </c>
      <c r="H55" s="203">
        <f t="shared" ca="1" si="3"/>
        <v>1.0638670053086092</v>
      </c>
      <c r="I55" s="204" cm="1">
        <f t="array" aca="1" ref="I55" ca="1">D55*_xlfn.IFS(C55=1,$G$5,C55=2,$H$5,C55=3,$I$5,C55=4,$J$5,C55=5,$K$5)</f>
        <v>842266910.6691184</v>
      </c>
      <c r="J55" s="205">
        <f t="shared" si="4"/>
        <v>1.02318</v>
      </c>
      <c r="K55" s="206" cm="1">
        <f t="array" aca="1" ref="K55" ca="1">D55*_xlfn.IFS(C55=1,$G$6,C55=2,$H$6,C55=3,$I$6,C55=4,$J$6,C55=5,$K$6)</f>
        <v>60161922.190651327</v>
      </c>
      <c r="L55" s="207">
        <f t="shared" ca="1" si="5"/>
        <v>-0.29762366577885674</v>
      </c>
      <c r="M55" s="207">
        <f t="shared" ca="1" si="6"/>
        <v>1.0262382873397902</v>
      </c>
      <c r="N55" s="208" cm="1">
        <f t="array" aca="1" ref="N55" ca="1">D55*_xlfn.IFS(C55=1,$G$7,C55=2,$H$7,C55=3,$I$7,C55=4,$J$7,C55=5,$K$7)</f>
        <v>60161922.190651327</v>
      </c>
      <c r="O55" s="209">
        <f t="shared" ca="1" si="7"/>
        <v>2.7550172507276146E-2</v>
      </c>
      <c r="P55" s="209">
        <f t="shared" ca="1" si="8"/>
        <v>1.0733068498884162</v>
      </c>
      <c r="Q55" s="200">
        <f t="shared" ca="1" si="9"/>
        <v>1232593379.4066439</v>
      </c>
      <c r="R55" s="200">
        <f>'14.3. More funds to invest'!G38</f>
        <v>19504236.773472235</v>
      </c>
      <c r="U55" s="211">
        <v>37</v>
      </c>
      <c r="V55" s="178">
        <v>4155097174.5830336</v>
      </c>
    </row>
    <row r="56" spans="1:22" x14ac:dyDescent="0.25">
      <c r="A56" s="198">
        <v>38</v>
      </c>
      <c r="B56" s="199">
        <v>2061</v>
      </c>
      <c r="C56" s="199" cm="1">
        <f t="array" ref="C56">_xlfn.IFS(AND(B56&gt;=2024,B56&lt;=2034),1,AND(B56&gt;=2035,B56&lt;=2044),2,AND(B56&gt;=2045,B56&lt;=2055),3,AND(B56&gt;=2056,B56&lt;=2062),4,B56&gt;=2063,5)</f>
        <v>4</v>
      </c>
      <c r="D56" s="200">
        <f t="shared" ca="1" si="1"/>
        <v>1252097616.1801162</v>
      </c>
      <c r="E56" s="201" cm="1">
        <f t="array" aca="1" ref="E56" ca="1">D56*_xlfn.IFS(C56=1,$G$3,C56=2,$H$3,C56=3,$I$3,C56=4,$J$3,C56=5,$K$3)</f>
        <v>187814642.42701742</v>
      </c>
      <c r="F56" s="202" cm="1">
        <f t="array" aca="1" ref="F56" ca="1">D56*_xlfn.IFS(C56=1,$G$4,C56=2,$H$4,C56=3,$I$4,C56=4,$J$4,C56=5,$K$4)</f>
        <v>62604880.809005812</v>
      </c>
      <c r="G56" s="203">
        <f t="shared" ca="1" si="2"/>
        <v>-0.24661364547154743</v>
      </c>
      <c r="H56" s="203">
        <f t="shared" ca="1" si="3"/>
        <v>1.060235376398549</v>
      </c>
      <c r="I56" s="204" cm="1">
        <f t="array" aca="1" ref="I56" ca="1">D56*_xlfn.IFS(C56=1,$G$5,C56=2,$H$5,C56=3,$I$5,C56=4,$J$5,C56=5,$K$5)</f>
        <v>876468331.32608128</v>
      </c>
      <c r="J56" s="205">
        <f t="shared" si="4"/>
        <v>1.02318</v>
      </c>
      <c r="K56" s="206" cm="1">
        <f t="array" aca="1" ref="K56" ca="1">D56*_xlfn.IFS(C56=1,$G$6,C56=2,$H$6,C56=3,$I$6,C56=4,$J$6,C56=5,$K$6)</f>
        <v>62604880.809005812</v>
      </c>
      <c r="L56" s="207">
        <f t="shared" ca="1" si="5"/>
        <v>-0.47285362699461431</v>
      </c>
      <c r="M56" s="207">
        <f t="shared" ca="1" si="6"/>
        <v>0.97046499885120685</v>
      </c>
      <c r="N56" s="208" cm="1">
        <f t="array" aca="1" ref="N56" ca="1">D56*_xlfn.IFS(C56=1,$G$7,C56=2,$H$7,C56=3,$I$7,C56=4,$J$7,C56=5,$K$7)</f>
        <v>62604880.809005812</v>
      </c>
      <c r="O56" s="209">
        <f t="shared" ca="1" si="7"/>
        <v>-0.6304972333392822</v>
      </c>
      <c r="P56" s="209">
        <f t="shared" ca="1" si="8"/>
        <v>1.0607494990488324</v>
      </c>
      <c r="Q56" s="200">
        <f t="shared" ca="1" si="9"/>
        <v>1278139360.5807164</v>
      </c>
      <c r="R56" s="200">
        <f>'14.3. More funds to invest'!G39</f>
        <v>20161879.716824517</v>
      </c>
      <c r="U56" s="211">
        <v>38</v>
      </c>
      <c r="V56" s="178">
        <v>3593938280.4256396</v>
      </c>
    </row>
    <row r="57" spans="1:22" x14ac:dyDescent="0.25">
      <c r="A57" s="198">
        <v>39</v>
      </c>
      <c r="B57" s="199">
        <v>2062</v>
      </c>
      <c r="C57" s="199" cm="1">
        <f t="array" ref="C57">_xlfn.IFS(AND(B57&gt;=2024,B57&lt;=2034),1,AND(B57&gt;=2035,B57&lt;=2044),2,AND(B57&gt;=2045,B57&lt;=2055),3,AND(B57&gt;=2056,B57&lt;=2062),4,B57&gt;=2063,5)</f>
        <v>4</v>
      </c>
      <c r="D57" s="200">
        <f t="shared" ca="1" si="1"/>
        <v>1298301240.2975409</v>
      </c>
      <c r="E57" s="201" cm="1">
        <f t="array" aca="1" ref="E57" ca="1">D57*_xlfn.IFS(C57=1,$G$3,C57=2,$H$3,C57=3,$I$3,C57=4,$J$3,C57=5,$K$3)</f>
        <v>194745186.04463112</v>
      </c>
      <c r="F57" s="202" cm="1">
        <f t="array" aca="1" ref="F57" ca="1">D57*_xlfn.IFS(C57=1,$G$4,C57=2,$H$4,C57=3,$I$4,C57=4,$J$4,C57=5,$K$4)</f>
        <v>64915062.014877051</v>
      </c>
      <c r="G57" s="203">
        <f t="shared" ca="1" si="2"/>
        <v>0.92179374037201722</v>
      </c>
      <c r="H57" s="203">
        <f t="shared" ca="1" si="3"/>
        <v>1.0685958190870579</v>
      </c>
      <c r="I57" s="204" cm="1">
        <f t="array" aca="1" ref="I57" ca="1">D57*_xlfn.IFS(C57=1,$G$5,C57=2,$H$5,C57=3,$I$5,C57=4,$J$5,C57=5,$K$5)</f>
        <v>908810868.20827854</v>
      </c>
      <c r="J57" s="205">
        <f t="shared" si="4"/>
        <v>1.02318</v>
      </c>
      <c r="K57" s="206" cm="1">
        <f t="array" aca="1" ref="K57" ca="1">D57*_xlfn.IFS(C57=1,$G$6,C57=2,$H$6,C57=3,$I$6,C57=4,$J$6,C57=5,$K$6)</f>
        <v>64915062.014877051</v>
      </c>
      <c r="L57" s="207">
        <f t="shared" ca="1" si="5"/>
        <v>-8.1822675124098354E-2</v>
      </c>
      <c r="M57" s="207">
        <f t="shared" ca="1" si="6"/>
        <v>1.0949247769355408</v>
      </c>
      <c r="N57" s="208" cm="1">
        <f t="array" aca="1" ref="N57" ca="1">D57*_xlfn.IFS(C57=1,$G$7,C57=2,$H$7,C57=3,$I$7,C57=4,$J$7,C57=5,$K$7)</f>
        <v>64915062.014877051</v>
      </c>
      <c r="O57" s="209">
        <f t="shared" ca="1" si="7"/>
        <v>0.18941192138605273</v>
      </c>
      <c r="P57" s="209">
        <f t="shared" ca="1" si="8"/>
        <v>1.076395616366516</v>
      </c>
      <c r="Q57" s="200">
        <f t="shared" ca="1" si="9"/>
        <v>1334941652.0282226</v>
      </c>
      <c r="R57" s="200">
        <f>'14.3. More funds to invest'!G40</f>
        <v>20865124.223586813</v>
      </c>
      <c r="U57" s="211">
        <v>39</v>
      </c>
      <c r="V57" s="178">
        <v>3856391823.7863741</v>
      </c>
    </row>
    <row r="58" spans="1:22" x14ac:dyDescent="0.25">
      <c r="A58" s="198">
        <v>40</v>
      </c>
      <c r="B58" s="199">
        <v>2063</v>
      </c>
      <c r="C58" s="199" cm="1">
        <f t="array" ref="C58">_xlfn.IFS(AND(B58&gt;=2024,B58&lt;=2034),1,AND(B58&gt;=2035,B58&lt;=2044),2,AND(B58&gt;=2045,B58&lt;=2055),3,AND(B58&gt;=2056,B58&lt;=2062),4,B58&gt;=2063,5)</f>
        <v>5</v>
      </c>
      <c r="D58" s="200">
        <f t="shared" ca="1" si="1"/>
        <v>1355806776.2518094</v>
      </c>
      <c r="E58" s="201" cm="1">
        <f t="array" aca="1" ref="E58" ca="1">D58*_xlfn.IFS(C58=1,$G$3,C58=2,$H$3,C58=3,$I$3,C58=4,$J$3,C58=5,$K$3)</f>
        <v>542322710.50072372</v>
      </c>
      <c r="F58" s="202" cm="1">
        <f t="array" aca="1" ref="F58" ca="1">D58*_xlfn.IFS(C58=1,$G$4,C58=2,$H$4,C58=3,$I$4,C58=4,$J$4,C58=5,$K$4)</f>
        <v>135580677.62518093</v>
      </c>
      <c r="G58" s="203">
        <f t="shared" ca="1" si="2"/>
        <v>-7.2223925594745594E-2</v>
      </c>
      <c r="H58" s="203">
        <f t="shared" ca="1" si="3"/>
        <v>1.0614832076568583</v>
      </c>
      <c r="I58" s="204" cm="1">
        <f t="array" aca="1" ref="I58" ca="1">D58*_xlfn.IFS(C58=1,$G$5,C58=2,$H$5,C58=3,$I$5,C58=4,$J$5,C58=5,$K$5)</f>
        <v>542322710.50072372</v>
      </c>
      <c r="J58" s="205">
        <f t="shared" si="4"/>
        <v>1.02318</v>
      </c>
      <c r="K58" s="206" cm="1">
        <f t="array" aca="1" ref="K58" ca="1">D58*_xlfn.IFS(C58=1,$G$6,C58=2,$H$6,C58=3,$I$6,C58=4,$J$6,C58=5,$K$6)</f>
        <v>67790338.812590465</v>
      </c>
      <c r="L58" s="207">
        <f t="shared" ca="1" si="5"/>
        <v>-8.823078230342743E-2</v>
      </c>
      <c r="M58" s="207">
        <f t="shared" ca="1" si="6"/>
        <v>1.0928851644862838</v>
      </c>
      <c r="N58" s="208" cm="1">
        <f t="array" aca="1" ref="N58" ca="1">D58*_xlfn.IFS(C58=1,$G$7,C58=2,$H$7,C58=3,$I$7,C58=4,$J$7,C58=5,$K$7)</f>
        <v>67790338.812590465</v>
      </c>
      <c r="O58" s="209">
        <f t="shared" ca="1" si="7"/>
        <v>0.39466044932592564</v>
      </c>
      <c r="P58" s="209">
        <f t="shared" ca="1" si="8"/>
        <v>1.0803123216855401</v>
      </c>
      <c r="Q58" s="200">
        <f t="shared" ca="1" si="9"/>
        <v>1388454867.9069793</v>
      </c>
      <c r="R58" s="200">
        <f>'14.3. More funds to invest'!G41</f>
        <v>21342083.911461189</v>
      </c>
      <c r="U58" s="211">
        <v>40</v>
      </c>
      <c r="V58" s="178">
        <v>3913143993.2598696</v>
      </c>
    </row>
    <row r="59" spans="1:22" x14ac:dyDescent="0.25">
      <c r="A59" s="198">
        <v>41</v>
      </c>
      <c r="B59" s="199">
        <v>2064</v>
      </c>
      <c r="C59" s="199" cm="1">
        <f t="array" ref="C59">_xlfn.IFS(AND(B59&gt;=2024,B59&lt;=2034),1,AND(B59&gt;=2035,B59&lt;=2044),2,AND(B59&gt;=2045,B59&lt;=2055),3,AND(B59&gt;=2056,B59&lt;=2062),4,B59&gt;=2063,5)</f>
        <v>5</v>
      </c>
      <c r="D59" s="200">
        <f t="shared" ca="1" si="1"/>
        <v>1409796951.8184404</v>
      </c>
      <c r="E59" s="201" cm="1">
        <f t="array" aca="1" ref="E59" ca="1">D59*_xlfn.IFS(C59=1,$G$3,C59=2,$H$3,C59=3,$I$3,C59=4,$J$3,C59=5,$K$3)</f>
        <v>563918780.72737622</v>
      </c>
      <c r="F59" s="202" cm="1">
        <f t="array" aca="1" ref="F59" ca="1">D59*_xlfn.IFS(C59=1,$G$4,C59=2,$H$4,C59=3,$I$4,C59=4,$J$4,C59=5,$K$4)</f>
        <v>140979695.18184406</v>
      </c>
      <c r="G59" s="203">
        <f t="shared" ca="1" si="2"/>
        <v>-0.16636251910376612</v>
      </c>
      <c r="H59" s="203">
        <f t="shared" ca="1" si="3"/>
        <v>1.0608096067148027</v>
      </c>
      <c r="I59" s="204" cm="1">
        <f t="array" aca="1" ref="I59" ca="1">D59*_xlfn.IFS(C59=1,$G$5,C59=2,$H$5,C59=3,$I$5,C59=4,$J$5,C59=5,$K$5)</f>
        <v>563918780.72737622</v>
      </c>
      <c r="J59" s="205">
        <f t="shared" si="4"/>
        <v>1.02318</v>
      </c>
      <c r="K59" s="206" cm="1">
        <f t="array" aca="1" ref="K59" ca="1">D59*_xlfn.IFS(C59=1,$G$6,C59=2,$H$6,C59=3,$I$6,C59=4,$J$6,C59=5,$K$6)</f>
        <v>70489847.590922028</v>
      </c>
      <c r="L59" s="207">
        <f t="shared" ca="1" si="5"/>
        <v>-2.3657649575235387</v>
      </c>
      <c r="M59" s="207">
        <f t="shared" ca="1" si="6"/>
        <v>0.36797733641940022</v>
      </c>
      <c r="N59" s="208" cm="1">
        <f t="array" aca="1" ref="N59" ca="1">D59*_xlfn.IFS(C59=1,$G$7,C59=2,$H$7,C59=3,$I$7,C59=4,$J$7,C59=5,$K$7)</f>
        <v>70489847.590922028</v>
      </c>
      <c r="O59" s="209">
        <f t="shared" ca="1" si="7"/>
        <v>-0.41585863617025021</v>
      </c>
      <c r="P59" s="209">
        <f t="shared" ca="1" si="8"/>
        <v>1.0648453926644301</v>
      </c>
      <c r="Q59" s="200">
        <f t="shared" ca="1" si="9"/>
        <v>1391461269.5905659</v>
      </c>
      <c r="R59" s="200">
        <f>'14.3. More funds to invest'!G42</f>
        <v>22075767.26791963</v>
      </c>
      <c r="U59" s="211">
        <v>41</v>
      </c>
      <c r="V59" s="178">
        <v>2958869202.0137076</v>
      </c>
    </row>
    <row r="60" spans="1:22" x14ac:dyDescent="0.25">
      <c r="A60" s="198">
        <v>42</v>
      </c>
      <c r="B60" s="199">
        <v>2065</v>
      </c>
      <c r="C60" s="199" cm="1">
        <f t="array" ref="C60">_xlfn.IFS(AND(B60&gt;=2024,B60&lt;=2034),1,AND(B60&gt;=2035,B60&lt;=2044),2,AND(B60&gt;=2045,B60&lt;=2055),3,AND(B60&gt;=2056,B60&lt;=2062),4,B60&gt;=2063,5)</f>
        <v>5</v>
      </c>
      <c r="D60" s="200">
        <f t="shared" ca="1" si="1"/>
        <v>1413537036.8584855</v>
      </c>
      <c r="E60" s="201" cm="1">
        <f t="array" aca="1" ref="E60" ca="1">D60*_xlfn.IFS(C60=1,$G$3,C60=2,$H$3,C60=3,$I$3,C60=4,$J$3,C60=5,$K$3)</f>
        <v>565414814.74339426</v>
      </c>
      <c r="F60" s="202" cm="1">
        <f t="array" aca="1" ref="F60" ca="1">D60*_xlfn.IFS(C60=1,$G$4,C60=2,$H$4,C60=3,$I$4,C60=4,$J$4,C60=5,$K$4)</f>
        <v>141353703.68584856</v>
      </c>
      <c r="G60" s="203">
        <f t="shared" ca="1" si="2"/>
        <v>-0.8519020196793573</v>
      </c>
      <c r="H60" s="203">
        <f t="shared" ca="1" si="3"/>
        <v>1.0559042853562484</v>
      </c>
      <c r="I60" s="204" cm="1">
        <f t="array" aca="1" ref="I60" ca="1">D60*_xlfn.IFS(C60=1,$G$5,C60=2,$H$5,C60=3,$I$5,C60=4,$J$5,C60=5,$K$5)</f>
        <v>565414814.74339426</v>
      </c>
      <c r="J60" s="205">
        <f t="shared" si="4"/>
        <v>1.02318</v>
      </c>
      <c r="K60" s="206" cm="1">
        <f t="array" aca="1" ref="K60" ca="1">D60*_xlfn.IFS(C60=1,$G$6,C60=2,$H$6,C60=3,$I$6,C60=4,$J$6,C60=5,$K$6)</f>
        <v>70676851.842924282</v>
      </c>
      <c r="L60" s="207">
        <f t="shared" ca="1" si="5"/>
        <v>0.57892901582461886</v>
      </c>
      <c r="M60" s="207">
        <f t="shared" ca="1" si="6"/>
        <v>1.3052329595255405</v>
      </c>
      <c r="N60" s="208" cm="1">
        <f t="array" aca="1" ref="N60" ca="1">D60*_xlfn.IFS(C60=1,$G$7,C60=2,$H$7,C60=3,$I$7,C60=4,$J$7,C60=5,$K$7)</f>
        <v>70676851.842924282</v>
      </c>
      <c r="O60" s="209">
        <f t="shared" ca="1" si="7"/>
        <v>-0.25205434877745225</v>
      </c>
      <c r="P60" s="209">
        <f t="shared" ca="1" si="8"/>
        <v>1.0679712281096336</v>
      </c>
      <c r="Q60" s="200">
        <f t="shared" ca="1" si="9"/>
        <v>1460922527.1279037</v>
      </c>
      <c r="R60" s="200">
        <f>'14.3. More funds to invest'!G43</f>
        <v>22838797.958636418</v>
      </c>
      <c r="U60" s="211">
        <v>42</v>
      </c>
      <c r="V60" s="178">
        <v>3585253175.6487794</v>
      </c>
    </row>
    <row r="61" spans="1:22" x14ac:dyDescent="0.25">
      <c r="A61" s="198">
        <v>43</v>
      </c>
      <c r="B61" s="199">
        <v>2066</v>
      </c>
      <c r="C61" s="199" cm="1">
        <f t="array" ref="C61">_xlfn.IFS(AND(B61&gt;=2024,B61&lt;=2034),1,AND(B61&gt;=2035,B61&lt;=2044),2,AND(B61&gt;=2045,B61&lt;=2055),3,AND(B61&gt;=2056,B61&lt;=2062),4,B61&gt;=2063,5)</f>
        <v>5</v>
      </c>
      <c r="D61" s="200">
        <f t="shared" ca="1" si="1"/>
        <v>1483761325.0865402</v>
      </c>
      <c r="E61" s="201" cm="1">
        <f t="array" aca="1" ref="E61" ca="1">D61*_xlfn.IFS(C61=1,$G$3,C61=2,$H$3,C61=3,$I$3,C61=4,$J$3,C61=5,$K$3)</f>
        <v>593504530.03461611</v>
      </c>
      <c r="F61" s="202" cm="1">
        <f t="array" aca="1" ref="F61" ca="1">D61*_xlfn.IFS(C61=1,$G$4,C61=2,$H$4,C61=3,$I$4,C61=4,$J$4,C61=5,$K$4)</f>
        <v>148376132.50865403</v>
      </c>
      <c r="G61" s="203">
        <f t="shared" ca="1" si="2"/>
        <v>9.1219432534510564E-2</v>
      </c>
      <c r="H61" s="203">
        <f t="shared" ca="1" si="3"/>
        <v>1.0626527131264516</v>
      </c>
      <c r="I61" s="204" cm="1">
        <f t="array" aca="1" ref="I61" ca="1">D61*_xlfn.IFS(C61=1,$G$5,C61=2,$H$5,C61=3,$I$5,C61=4,$J$5,C61=5,$K$5)</f>
        <v>593504530.03461611</v>
      </c>
      <c r="J61" s="205">
        <f t="shared" si="4"/>
        <v>1.02318</v>
      </c>
      <c r="K61" s="206" cm="1">
        <f t="array" aca="1" ref="K61" ca="1">D61*_xlfn.IFS(C61=1,$G$6,C61=2,$H$6,C61=3,$I$6,C61=4,$J$6,C61=5,$K$6)</f>
        <v>74188066.254327014</v>
      </c>
      <c r="L61" s="207">
        <f t="shared" ca="1" si="5"/>
        <v>0.91370415173995467</v>
      </c>
      <c r="M61" s="207">
        <f t="shared" ca="1" si="6"/>
        <v>1.411787284508931</v>
      </c>
      <c r="N61" s="208" cm="1">
        <f t="array" aca="1" ref="N61" ca="1">D61*_xlfn.IFS(C61=1,$G$7,C61=2,$H$7,C61=3,$I$7,C61=4,$J$7,C61=5,$K$7)</f>
        <v>74188066.254327014</v>
      </c>
      <c r="O61" s="209">
        <f t="shared" ca="1" si="7"/>
        <v>-2.3105207642468175E-2</v>
      </c>
      <c r="P61" s="209">
        <f t="shared" ca="1" si="8"/>
        <v>1.072340206186456</v>
      </c>
      <c r="Q61" s="200">
        <f t="shared" ca="1" si="9"/>
        <v>1542731409.7128701</v>
      </c>
      <c r="R61" s="200">
        <f>'14.3. More funds to invest'!G44</f>
        <v>23632349.876981869</v>
      </c>
      <c r="U61" s="211">
        <v>43</v>
      </c>
      <c r="V61" s="178">
        <v>3417854911.0392847</v>
      </c>
    </row>
    <row r="62" spans="1:22" x14ac:dyDescent="0.25">
      <c r="A62" s="198">
        <v>44</v>
      </c>
      <c r="B62" s="199">
        <v>2067</v>
      </c>
      <c r="C62" s="199" cm="1">
        <f t="array" ref="C62">_xlfn.IFS(AND(B62&gt;=2024,B62&lt;=2034),1,AND(B62&gt;=2035,B62&lt;=2044),2,AND(B62&gt;=2045,B62&lt;=2055),3,AND(B62&gt;=2056,B62&lt;=2062),4,B62&gt;=2063,5)</f>
        <v>5</v>
      </c>
      <c r="D62" s="200">
        <f t="shared" ca="1" si="1"/>
        <v>1566363759.5898521</v>
      </c>
      <c r="E62" s="201" cm="1">
        <f t="array" aca="1" ref="E62" ca="1">D62*_xlfn.IFS(C62=1,$G$3,C62=2,$H$3,C62=3,$I$3,C62=4,$J$3,C62=5,$K$3)</f>
        <v>626545503.83594084</v>
      </c>
      <c r="F62" s="202" cm="1">
        <f t="array" aca="1" ref="F62" ca="1">D62*_xlfn.IFS(C62=1,$G$4,C62=2,$H$4,C62=3,$I$4,C62=4,$J$4,C62=5,$K$4)</f>
        <v>156636375.95898521</v>
      </c>
      <c r="G62" s="203">
        <f t="shared" ca="1" si="2"/>
        <v>-1.997273915056033</v>
      </c>
      <c r="H62" s="203">
        <f t="shared" ca="1" si="3"/>
        <v>1.0477086712199921</v>
      </c>
      <c r="I62" s="204" cm="1">
        <f t="array" aca="1" ref="I62" ca="1">D62*_xlfn.IFS(C62=1,$G$5,C62=2,$H$5,C62=3,$I$5,C62=4,$J$5,C62=5,$K$5)</f>
        <v>626545503.83594084</v>
      </c>
      <c r="J62" s="205">
        <f t="shared" si="4"/>
        <v>1.02318</v>
      </c>
      <c r="K62" s="206" cm="1">
        <f t="array" aca="1" ref="K62" ca="1">D62*_xlfn.IFS(C62=1,$G$6,C62=2,$H$6,C62=3,$I$6,C62=4,$J$6,C62=5,$K$6)</f>
        <v>78318187.979492605</v>
      </c>
      <c r="L62" s="207">
        <f t="shared" ca="1" si="5"/>
        <v>-0.30502667358697183</v>
      </c>
      <c r="M62" s="207">
        <f t="shared" ca="1" si="6"/>
        <v>1.0238820116932024</v>
      </c>
      <c r="N62" s="208" cm="1">
        <f t="array" aca="1" ref="N62" ca="1">D62*_xlfn.IFS(C62=1,$G$7,C62=2,$H$7,C62=3,$I$7,C62=4,$J$7,C62=5,$K$7)</f>
        <v>78318187.979492605</v>
      </c>
      <c r="O62" s="209">
        <f t="shared" ca="1" si="7"/>
        <v>1.1750585075858264</v>
      </c>
      <c r="P62" s="209">
        <f t="shared" ca="1" si="8"/>
        <v>1.0952044588249494</v>
      </c>
      <c r="Q62" s="200">
        <f t="shared" ca="1" si="9"/>
        <v>1597686634.3143425</v>
      </c>
      <c r="R62" s="200">
        <f>'14.3. More funds to invest'!G45</f>
        <v>24457643.872061163</v>
      </c>
      <c r="U62" s="211">
        <v>44</v>
      </c>
      <c r="V62" s="178">
        <v>3224081524.2556911</v>
      </c>
    </row>
    <row r="63" spans="1:22" x14ac:dyDescent="0.25">
      <c r="A63" s="198">
        <v>45</v>
      </c>
      <c r="B63" s="199">
        <v>2068</v>
      </c>
      <c r="C63" s="199" cm="1">
        <f t="array" ref="C63">_xlfn.IFS(AND(B63&gt;=2024,B63&lt;=2034),1,AND(B63&gt;=2035,B63&lt;=2044),2,AND(B63&gt;=2045,B63&lt;=2055),3,AND(B63&gt;=2056,B63&lt;=2062),4,B63&gt;=2063,5)</f>
        <v>5</v>
      </c>
      <c r="D63" s="200">
        <f t="shared" ca="1" si="1"/>
        <v>1622144278.1864038</v>
      </c>
      <c r="E63" s="201" cm="1">
        <f t="array" aca="1" ref="E63" ca="1">D63*_xlfn.IFS(C63=1,$G$3,C63=2,$H$3,C63=3,$I$3,C63=4,$J$3,C63=5,$K$3)</f>
        <v>648857711.27456152</v>
      </c>
      <c r="F63" s="202" cm="1">
        <f t="array" aca="1" ref="F63" ca="1">D63*_xlfn.IFS(C63=1,$G$4,C63=2,$H$4,C63=3,$I$4,C63=4,$J$4,C63=5,$K$4)</f>
        <v>162214427.81864038</v>
      </c>
      <c r="G63" s="203">
        <f t="shared" ca="1" si="2"/>
        <v>-1.3869155440044538</v>
      </c>
      <c r="H63" s="203">
        <f t="shared" ca="1" si="3"/>
        <v>1.0520760402065759</v>
      </c>
      <c r="I63" s="204" cm="1">
        <f t="array" aca="1" ref="I63" ca="1">D63*_xlfn.IFS(C63=1,$G$5,C63=2,$H$5,C63=3,$I$5,C63=4,$J$5,C63=5,$K$5)</f>
        <v>648857711.27456152</v>
      </c>
      <c r="J63" s="205">
        <f t="shared" si="4"/>
        <v>1.02318</v>
      </c>
      <c r="K63" s="206" cm="1">
        <f t="array" aca="1" ref="K63" ca="1">D63*_xlfn.IFS(C63=1,$G$6,C63=2,$H$6,C63=3,$I$6,C63=4,$J$6,C63=5,$K$6)</f>
        <v>81107213.909320191</v>
      </c>
      <c r="L63" s="207">
        <f t="shared" ca="1" si="5"/>
        <v>-0.89899691529081449</v>
      </c>
      <c r="M63" s="207">
        <f t="shared" ca="1" si="6"/>
        <v>0.83482944662761693</v>
      </c>
      <c r="N63" s="208" cm="1">
        <f t="array" aca="1" ref="N63" ca="1">D63*_xlfn.IFS(C63=1,$G$7,C63=2,$H$7,C63=3,$I$7,C63=4,$J$7,C63=5,$K$7)</f>
        <v>81107213.909320191</v>
      </c>
      <c r="O63" s="209">
        <f t="shared" ca="1" si="7"/>
        <v>0.45401166857742875</v>
      </c>
      <c r="P63" s="209">
        <f t="shared" ca="1" si="8"/>
        <v>1.0814449058675861</v>
      </c>
      <c r="Q63" s="200">
        <f t="shared" ca="1" si="9"/>
        <v>1638841530.9970505</v>
      </c>
      <c r="R63" s="200">
        <f>'14.3. More funds to invest'!G46</f>
        <v>25315949.626943603</v>
      </c>
      <c r="U63" s="211">
        <v>45</v>
      </c>
      <c r="V63" s="178">
        <v>3381108266.4815307</v>
      </c>
    </row>
    <row r="64" spans="1:22" x14ac:dyDescent="0.25">
      <c r="A64" s="198">
        <v>46</v>
      </c>
      <c r="B64" s="199">
        <v>2069</v>
      </c>
      <c r="C64" s="199" cm="1">
        <f t="array" ref="C64">_xlfn.IFS(AND(B64&gt;=2024,B64&lt;=2034),1,AND(B64&gt;=2035,B64&lt;=2044),2,AND(B64&gt;=2045,B64&lt;=2055),3,AND(B64&gt;=2056,B64&lt;=2062),4,B64&gt;=2063,5)</f>
        <v>5</v>
      </c>
      <c r="D64" s="200">
        <f t="shared" ca="1" si="1"/>
        <v>1664157480.6239941</v>
      </c>
      <c r="E64" s="201" cm="1">
        <f t="array" aca="1" ref="E64" ca="1">D64*_xlfn.IFS(C64=1,$G$3,C64=2,$H$3,C64=3,$I$3,C64=4,$J$3,C64=5,$K$3)</f>
        <v>665662992.24959767</v>
      </c>
      <c r="F64" s="202" cm="1">
        <f t="array" aca="1" ref="F64" ca="1">D64*_xlfn.IFS(C64=1,$G$4,C64=2,$H$4,C64=3,$I$4,C64=4,$J$4,C64=5,$K$4)</f>
        <v>166415748.06239942</v>
      </c>
      <c r="G64" s="203">
        <f t="shared" ca="1" si="2"/>
        <v>0.3182614072677683</v>
      </c>
      <c r="H64" s="203">
        <f t="shared" ca="1" si="3"/>
        <v>1.0642772932520494</v>
      </c>
      <c r="I64" s="204" cm="1">
        <f t="array" aca="1" ref="I64" ca="1">D64*_xlfn.IFS(C64=1,$G$5,C64=2,$H$5,C64=3,$I$5,C64=4,$J$5,C64=5,$K$5)</f>
        <v>665662992.24959767</v>
      </c>
      <c r="J64" s="205">
        <f t="shared" si="4"/>
        <v>1.02318</v>
      </c>
      <c r="K64" s="206" cm="1">
        <f t="array" aca="1" ref="K64" ca="1">D64*_xlfn.IFS(C64=1,$G$6,C64=2,$H$6,C64=3,$I$6,C64=4,$J$6,C64=5,$K$6)</f>
        <v>83207874.031199709</v>
      </c>
      <c r="L64" s="207">
        <f t="shared" ca="1" si="5"/>
        <v>-1.9081823361257062</v>
      </c>
      <c r="M64" s="207">
        <f t="shared" ca="1" si="6"/>
        <v>0.51361959630188758</v>
      </c>
      <c r="N64" s="208" cm="1">
        <f t="array" aca="1" ref="N64" ca="1">D64*_xlfn.IFS(C64=1,$G$7,C64=2,$H$7,C64=3,$I$7,C64=4,$J$7,C64=5,$K$7)</f>
        <v>83207874.031199709</v>
      </c>
      <c r="O64" s="209">
        <f t="shared" ca="1" si="7"/>
        <v>0.58276937587284983</v>
      </c>
      <c r="P64" s="209">
        <f t="shared" ca="1" si="8"/>
        <v>1.0839019563618875</v>
      </c>
      <c r="Q64" s="200">
        <f t="shared" ca="1" si="9"/>
        <v>1656794926.6780803</v>
      </c>
      <c r="R64" s="200">
        <f>'14.3. More funds to invest'!G47</f>
        <v>26208587.612021357</v>
      </c>
      <c r="U64" s="211">
        <v>46</v>
      </c>
      <c r="V64" s="178">
        <v>3572757206.6453867</v>
      </c>
    </row>
    <row r="65" spans="1:22" x14ac:dyDescent="0.25">
      <c r="A65" s="198">
        <v>47</v>
      </c>
      <c r="B65" s="199">
        <v>2070</v>
      </c>
      <c r="C65" s="199" cm="1">
        <f t="array" ref="C65">_xlfn.IFS(AND(B65&gt;=2024,B65&lt;=2034),1,AND(B65&gt;=2035,B65&lt;=2044),2,AND(B65&gt;=2045,B65&lt;=2055),3,AND(B65&gt;=2056,B65&lt;=2062),4,B65&gt;=2063,5)</f>
        <v>5</v>
      </c>
      <c r="D65" s="200">
        <f t="shared" ca="1" si="1"/>
        <v>1683003514.2901018</v>
      </c>
      <c r="E65" s="201" cm="1">
        <f t="array" aca="1" ref="E65" ca="1">D65*_xlfn.IFS(C65=1,$G$3,C65=2,$H$3,C65=3,$I$3,C65=4,$J$3,C65=5,$K$3)</f>
        <v>673201405.71604073</v>
      </c>
      <c r="F65" s="202" cm="1">
        <f t="array" aca="1" ref="F65" ca="1">D65*_xlfn.IFS(C65=1,$G$4,C65=2,$H$4,C65=3,$I$4,C65=4,$J$4,C65=5,$K$4)</f>
        <v>168300351.42901018</v>
      </c>
      <c r="G65" s="203">
        <f t="shared" ca="1" si="2"/>
        <v>4.5010866772349806E-2</v>
      </c>
      <c r="H65" s="203">
        <f t="shared" ca="1" si="3"/>
        <v>1.0623220715450532</v>
      </c>
      <c r="I65" s="204" cm="1">
        <f t="array" aca="1" ref="I65" ca="1">D65*_xlfn.IFS(C65=1,$G$5,C65=2,$H$5,C65=3,$I$5,C65=4,$J$5,C65=5,$K$5)</f>
        <v>673201405.71604073</v>
      </c>
      <c r="J65" s="205">
        <f t="shared" si="4"/>
        <v>1.02318</v>
      </c>
      <c r="K65" s="206" cm="1">
        <f t="array" aca="1" ref="K65" ca="1">D65*_xlfn.IFS(C65=1,$G$6,C65=2,$H$6,C65=3,$I$6,C65=4,$J$6,C65=5,$K$6)</f>
        <v>84150175.714505091</v>
      </c>
      <c r="L65" s="207">
        <f t="shared" ca="1" si="5"/>
        <v>-0.45349607758347793</v>
      </c>
      <c r="M65" s="207">
        <f t="shared" ca="1" si="6"/>
        <v>0.97662624080006499</v>
      </c>
      <c r="N65" s="208" cm="1">
        <f t="array" aca="1" ref="N65" ca="1">D65*_xlfn.IFS(C65=1,$G$7,C65=2,$H$7,C65=3,$I$7,C65=4,$J$7,C65=5,$K$7)</f>
        <v>84150175.714505091</v>
      </c>
      <c r="O65" s="209">
        <f t="shared" ca="1" si="7"/>
        <v>-0.79694504633408081</v>
      </c>
      <c r="P65" s="209">
        <f t="shared" ca="1" si="8"/>
        <v>1.0575732178786814</v>
      </c>
      <c r="Q65" s="200">
        <f t="shared" ca="1" si="9"/>
        <v>1711975039.8745732</v>
      </c>
      <c r="R65" s="200">
        <f>'14.3. More funds to invest'!G48</f>
        <v>27136931.116502196</v>
      </c>
      <c r="U65" s="211">
        <v>47</v>
      </c>
      <c r="V65" s="178">
        <v>3766197432.3872638</v>
      </c>
    </row>
    <row r="66" spans="1:22" x14ac:dyDescent="0.25">
      <c r="A66" s="198">
        <v>48</v>
      </c>
      <c r="B66" s="199">
        <v>2071</v>
      </c>
      <c r="C66" s="199" cm="1">
        <f t="array" ref="C66">_xlfn.IFS(AND(B66&gt;=2024,B66&lt;=2034),1,AND(B66&gt;=2035,B66&lt;=2044),2,AND(B66&gt;=2045,B66&lt;=2055),3,AND(B66&gt;=2056,B66&lt;=2062),4,B66&gt;=2063,5)</f>
        <v>5</v>
      </c>
      <c r="D66" s="200">
        <f t="shared" ca="1" si="1"/>
        <v>1739111970.9910755</v>
      </c>
      <c r="E66" s="201" cm="1">
        <f t="array" aca="1" ref="E66" ca="1">D66*_xlfn.IFS(C66=1,$G$3,C66=2,$H$3,C66=3,$I$3,C66=4,$J$3,C66=5,$K$3)</f>
        <v>695644788.39643025</v>
      </c>
      <c r="F66" s="202" cm="1">
        <f t="array" aca="1" ref="F66" ca="1">D66*_xlfn.IFS(C66=1,$G$4,C66=2,$H$4,C66=3,$I$4,C66=4,$J$4,C66=5,$K$4)</f>
        <v>173911197.09910756</v>
      </c>
      <c r="G66" s="203">
        <f t="shared" ca="1" si="2"/>
        <v>0.79940370185295895</v>
      </c>
      <c r="H66" s="203">
        <f t="shared" ca="1" si="3"/>
        <v>1.0677200672601863</v>
      </c>
      <c r="I66" s="204" cm="1">
        <f t="array" aca="1" ref="I66" ca="1">D66*_xlfn.IFS(C66=1,$G$5,C66=2,$H$5,C66=3,$I$5,C66=4,$J$5,C66=5,$K$5)</f>
        <v>695644788.39643025</v>
      </c>
      <c r="J66" s="205">
        <f t="shared" si="4"/>
        <v>1.02318</v>
      </c>
      <c r="K66" s="206" cm="1">
        <f t="array" aca="1" ref="K66" ca="1">D66*_xlfn.IFS(C66=1,$G$6,C66=2,$H$6,C66=3,$I$6,C66=4,$J$6,C66=5,$K$6)</f>
        <v>86955598.549553782</v>
      </c>
      <c r="L66" s="207">
        <f t="shared" ca="1" si="5"/>
        <v>0.82597106823366029</v>
      </c>
      <c r="M66" s="207">
        <f t="shared" ca="1" si="6"/>
        <v>1.383863049735149</v>
      </c>
      <c r="N66" s="208" cm="1">
        <f t="array" aca="1" ref="N66" ca="1">D66*_xlfn.IFS(C66=1,$G$7,C66=2,$H$7,C66=3,$I$7,C66=4,$J$7,C66=5,$K$7)</f>
        <v>86955598.549553782</v>
      </c>
      <c r="O66" s="209">
        <f t="shared" ca="1" si="7"/>
        <v>2.4029636765844284E-2</v>
      </c>
      <c r="P66" s="209">
        <f t="shared" ca="1" si="8"/>
        <v>1.0732396684026211</v>
      </c>
      <c r="Q66" s="200">
        <f t="shared" ca="1" si="9"/>
        <v>1806761935.6052539</v>
      </c>
      <c r="R66" s="200">
        <f>'14.3. More funds to invest'!G49</f>
        <v>28102408.36116229</v>
      </c>
      <c r="U66" s="211">
        <v>48</v>
      </c>
      <c r="V66" s="178">
        <v>3648738081.1758142</v>
      </c>
    </row>
    <row r="67" spans="1:22" x14ac:dyDescent="0.25">
      <c r="A67" s="198">
        <v>49</v>
      </c>
      <c r="B67" s="199">
        <v>2072</v>
      </c>
      <c r="C67" s="199" cm="1">
        <f t="array" ref="C67">_xlfn.IFS(AND(B67&gt;=2024,B67&lt;=2034),1,AND(B67&gt;=2035,B67&lt;=2044),2,AND(B67&gt;=2045,B67&lt;=2055),3,AND(B67&gt;=2056,B67&lt;=2062),4,B67&gt;=2063,5)</f>
        <v>5</v>
      </c>
      <c r="D67" s="200">
        <f t="shared" ca="1" si="1"/>
        <v>1834864343.9664161</v>
      </c>
      <c r="E67" s="201" cm="1">
        <f t="array" aca="1" ref="E67" ca="1">D67*_xlfn.IFS(C67=1,$G$3,C67=2,$H$3,C67=3,$I$3,C67=4,$J$3,C67=5,$K$3)</f>
        <v>733945737.58656645</v>
      </c>
      <c r="F67" s="202" cm="1">
        <f t="array" aca="1" ref="F67" ca="1">D67*_xlfn.IFS(C67=1,$G$4,C67=2,$H$4,C67=3,$I$4,C67=4,$J$4,C67=5,$K$4)</f>
        <v>183486434.39664161</v>
      </c>
      <c r="G67" s="203">
        <f t="shared" ca="1" si="2"/>
        <v>-0.3839740794979169</v>
      </c>
      <c r="H67" s="203">
        <f t="shared" ca="1" si="3"/>
        <v>1.0592525051412631</v>
      </c>
      <c r="I67" s="204" cm="1">
        <f t="array" aca="1" ref="I67" ca="1">D67*_xlfn.IFS(C67=1,$G$5,C67=2,$H$5,C67=3,$I$5,C67=4,$J$5,C67=5,$K$5)</f>
        <v>733945737.58656645</v>
      </c>
      <c r="J67" s="205">
        <f t="shared" si="4"/>
        <v>1.02318</v>
      </c>
      <c r="K67" s="206" cm="1">
        <f t="array" aca="1" ref="K67" ca="1">D67*_xlfn.IFS(C67=1,$G$6,C67=2,$H$6,C67=3,$I$6,C67=4,$J$6,C67=5,$K$6)</f>
        <v>91743217.198320806</v>
      </c>
      <c r="L67" s="207">
        <f t="shared" ca="1" si="5"/>
        <v>0.15107099679555444</v>
      </c>
      <c r="M67" s="207">
        <f t="shared" ca="1" si="6"/>
        <v>1.1690516320750388</v>
      </c>
      <c r="N67" s="208" cm="1">
        <f t="array" aca="1" ref="N67" ca="1">D67*_xlfn.IFS(C67=1,$G$7,C67=2,$H$7,C67=3,$I$7,C67=4,$J$7,C67=5,$K$7)</f>
        <v>91743217.198320806</v>
      </c>
      <c r="O67" s="209">
        <f t="shared" ca="1" si="7"/>
        <v>1.8878661920949216</v>
      </c>
      <c r="P67" s="209">
        <f t="shared" ca="1" si="8"/>
        <v>1.1088067860980386</v>
      </c>
      <c r="Q67" s="200">
        <f t="shared" ca="1" si="9"/>
        <v>1888240862.2699463</v>
      </c>
      <c r="R67" s="200">
        <f>'14.3. More funds to invest'!G50</f>
        <v>29106504.695608795</v>
      </c>
      <c r="U67" s="211">
        <v>49</v>
      </c>
      <c r="V67" s="178">
        <v>3598747820.4432783</v>
      </c>
    </row>
    <row r="68" spans="1:22" x14ac:dyDescent="0.25">
      <c r="A68" s="198">
        <v>50</v>
      </c>
      <c r="B68" s="199">
        <v>2073</v>
      </c>
      <c r="C68" s="199" cm="1">
        <f t="array" ref="C68">_xlfn.IFS(AND(B68&gt;=2024,B68&lt;=2034),1,AND(B68&gt;=2035,B68&lt;=2044),2,AND(B68&gt;=2045,B68&lt;=2055),3,AND(B68&gt;=2056,B68&lt;=2062),4,B68&gt;=2063,5)</f>
        <v>5</v>
      </c>
      <c r="D68" s="200">
        <f t="shared" ca="1" si="1"/>
        <v>1917347366.9655552</v>
      </c>
      <c r="E68" s="201" cm="1">
        <f t="array" aca="1" ref="E68" ca="1">D68*_xlfn.IFS(C68=1,$G$3,C68=2,$H$3,C68=3,$I$3,C68=4,$J$3,C68=5,$K$3)</f>
        <v>766938946.7862221</v>
      </c>
      <c r="F68" s="202" cm="1">
        <f t="array" aca="1" ref="F68" ca="1">D68*_xlfn.IFS(C68=1,$G$4,C68=2,$H$4,C68=3,$I$4,C68=4,$J$4,C68=5,$K$4)</f>
        <v>191734736.69655553</v>
      </c>
      <c r="G68" s="203">
        <f t="shared" ca="1" si="2"/>
        <v>1.9922268337963667</v>
      </c>
      <c r="H68" s="203">
        <f t="shared" ca="1" si="3"/>
        <v>1.0762552148062972</v>
      </c>
      <c r="I68" s="204" cm="1">
        <f t="array" aca="1" ref="I68" ca="1">D68*_xlfn.IFS(C68=1,$G$5,C68=2,$H$5,C68=3,$I$5,C68=4,$J$5,C68=5,$K$5)</f>
        <v>766938946.7862221</v>
      </c>
      <c r="J68" s="205">
        <f t="shared" si="4"/>
        <v>1.02318</v>
      </c>
      <c r="K68" s="206" cm="1">
        <f t="array" aca="1" ref="K68" ca="1">D68*_xlfn.IFS(C68=1,$G$6,C68=2,$H$6,C68=3,$I$6,C68=4,$J$6,C68=5,$K$6)</f>
        <v>95867368.348277763</v>
      </c>
      <c r="L68" s="207">
        <f t="shared" ca="1" si="5"/>
        <v>0.48070934945488442</v>
      </c>
      <c r="M68" s="207">
        <f t="shared" ca="1" si="6"/>
        <v>1.2739709895422988</v>
      </c>
      <c r="N68" s="208" cm="1">
        <f t="array" aca="1" ref="N68" ca="1">D68*_xlfn.IFS(C68=1,$G$7,C68=2,$H$7,C68=3,$I$7,C68=4,$J$7,C68=5,$K$7)</f>
        <v>95867368.348277763</v>
      </c>
      <c r="O68" s="209">
        <f t="shared" ca="1" si="7"/>
        <v>3.4224517908894726E-2</v>
      </c>
      <c r="P68" s="209">
        <f t="shared" ca="1" si="8"/>
        <v>1.0734342147197158</v>
      </c>
      <c r="Q68" s="200">
        <f t="shared" ca="1" si="9"/>
        <v>1983050607.9677799</v>
      </c>
      <c r="R68" s="200">
        <f>'14.3. More funds to invest'!G51</f>
        <v>30150764.883433133</v>
      </c>
      <c r="U68" s="211">
        <v>50</v>
      </c>
      <c r="V68" s="178">
        <v>3769845787.5120001</v>
      </c>
    </row>
    <row r="69" spans="1:22" x14ac:dyDescent="0.25">
      <c r="A69" s="198">
        <v>51</v>
      </c>
      <c r="B69" s="199">
        <v>2074</v>
      </c>
      <c r="C69" s="199" cm="1">
        <f t="array" ref="C69">_xlfn.IFS(AND(B69&gt;=2024,B69&lt;=2034),1,AND(B69&gt;=2035,B69&lt;=2044),2,AND(B69&gt;=2045,B69&lt;=2055),3,AND(B69&gt;=2056,B69&lt;=2062),4,B69&gt;=2063,5)</f>
        <v>5</v>
      </c>
      <c r="D69" s="200">
        <f t="shared" ca="1" si="1"/>
        <v>2013201372.851213</v>
      </c>
      <c r="E69" s="201" cm="1">
        <f t="array" aca="1" ref="E69" ca="1">D69*_xlfn.IFS(C69=1,$G$3,C69=2,$H$3,C69=3,$I$3,C69=4,$J$3,C69=5,$K$3)</f>
        <v>805280549.14048529</v>
      </c>
      <c r="F69" s="202" cm="1">
        <f t="array" aca="1" ref="F69" ca="1">D69*_xlfn.IFS(C69=1,$G$4,C69=2,$H$4,C69=3,$I$4,C69=4,$J$4,C69=5,$K$4)</f>
        <v>201320137.28512132</v>
      </c>
      <c r="G69" s="203">
        <f t="shared" ca="1" si="2"/>
        <v>-1.1612032103074867</v>
      </c>
      <c r="H69" s="203">
        <f t="shared" ca="1" si="3"/>
        <v>1.0536911061953966</v>
      </c>
      <c r="I69" s="204" cm="1">
        <f t="array" aca="1" ref="I69" ca="1">D69*_xlfn.IFS(C69=1,$G$5,C69=2,$H$5,C69=3,$I$5,C69=4,$J$5,C69=5,$K$5)</f>
        <v>805280549.14048529</v>
      </c>
      <c r="J69" s="205">
        <f t="shared" si="4"/>
        <v>1.02318</v>
      </c>
      <c r="K69" s="206" cm="1">
        <f t="array" aca="1" ref="K69" ca="1">D69*_xlfn.IFS(C69=1,$G$6,C69=2,$H$6,C69=3,$I$6,C69=4,$J$6,C69=5,$K$6)</f>
        <v>100660068.64256066</v>
      </c>
      <c r="L69" s="207">
        <f t="shared" ca="1" si="5"/>
        <v>1.1650417716013648</v>
      </c>
      <c r="M69" s="207">
        <f t="shared" ca="1" si="6"/>
        <v>1.4917845948051098</v>
      </c>
      <c r="N69" s="208" cm="1">
        <f t="array" aca="1" ref="N69" ca="1">D69*_xlfn.IFS(C69=1,$G$7,C69=2,$H$7,C69=3,$I$7,C69=4,$J$7,C69=5,$K$7)</f>
        <v>100660068.64256066</v>
      </c>
      <c r="O69" s="209">
        <f t="shared" ca="1" si="7"/>
        <v>-3.4099585566840132E-2</v>
      </c>
      <c r="P69" s="209">
        <f t="shared" ca="1" si="8"/>
        <v>1.07213040327616</v>
      </c>
      <c r="Q69" s="200">
        <f t="shared" ca="1" si="9"/>
        <v>2099440599.2659671</v>
      </c>
      <c r="R69" s="200">
        <f>'14.3. More funds to invest'!G52</f>
        <v>31236795.478770465</v>
      </c>
      <c r="U69" s="211">
        <v>51</v>
      </c>
      <c r="V69" s="178">
        <v>3390470215.8308525</v>
      </c>
    </row>
    <row r="70" spans="1:22" x14ac:dyDescent="0.25">
      <c r="A70" s="198">
        <v>52</v>
      </c>
      <c r="B70" s="199">
        <v>2075</v>
      </c>
      <c r="C70" s="199" cm="1">
        <f t="array" ref="C70">_xlfn.IFS(AND(B70&gt;=2024,B70&lt;=2034),1,AND(B70&gt;=2035,B70&lt;=2044),2,AND(B70&gt;=2045,B70&lt;=2055),3,AND(B70&gt;=2056,B70&lt;=2062),4,B70&gt;=2063,5)</f>
        <v>5</v>
      </c>
      <c r="D70" s="200">
        <f t="shared" ca="1" si="1"/>
        <v>2130677394.7447376</v>
      </c>
      <c r="E70" s="201" cm="1">
        <f t="array" aca="1" ref="E70" ca="1">D70*_xlfn.IFS(C70=1,$G$3,C70=2,$H$3,C70=3,$I$3,C70=4,$J$3,C70=5,$K$3)</f>
        <v>852270957.8978951</v>
      </c>
      <c r="F70" s="202" cm="1">
        <f t="array" aca="1" ref="F70" ca="1">D70*_xlfn.IFS(C70=1,$G$4,C70=2,$H$4,C70=3,$I$4,C70=4,$J$4,C70=5,$K$4)</f>
        <v>213067739.47447377</v>
      </c>
      <c r="G70" s="203">
        <f t="shared" ca="1" si="2"/>
        <v>-2.2202042088674996</v>
      </c>
      <c r="H70" s="203">
        <f t="shared" ca="1" si="3"/>
        <v>1.0461135118881315</v>
      </c>
      <c r="I70" s="204" cm="1">
        <f t="array" aca="1" ref="I70" ca="1">D70*_xlfn.IFS(C70=1,$G$5,C70=2,$H$5,C70=3,$I$5,C70=4,$J$5,C70=5,$K$5)</f>
        <v>852270957.8978951</v>
      </c>
      <c r="J70" s="205">
        <f t="shared" si="4"/>
        <v>1.02318</v>
      </c>
      <c r="K70" s="206" cm="1">
        <f t="array" aca="1" ref="K70" ca="1">D70*_xlfn.IFS(C70=1,$G$6,C70=2,$H$6,C70=3,$I$6,C70=4,$J$6,C70=5,$K$6)</f>
        <v>106533869.73723689</v>
      </c>
      <c r="L70" s="207">
        <f t="shared" ca="1" si="5"/>
        <v>-1.2871707282247522</v>
      </c>
      <c r="M70" s="207">
        <f t="shared" ca="1" si="6"/>
        <v>0.71127905660144441</v>
      </c>
      <c r="N70" s="208" cm="1">
        <f t="array" aca="1" ref="N70" ca="1">D70*_xlfn.IFS(C70=1,$G$7,C70=2,$H$7,C70=3,$I$7,C70=4,$J$7,C70=5,$K$7)</f>
        <v>106533869.73723689</v>
      </c>
      <c r="O70" s="209">
        <f t="shared" ca="1" si="7"/>
        <v>0.40508391455456538</v>
      </c>
      <c r="P70" s="209">
        <f t="shared" ca="1" si="8"/>
        <v>1.0805112300144497</v>
      </c>
      <c r="Q70" s="200">
        <f t="shared" ca="1" si="9"/>
        <v>2138076950.8023546</v>
      </c>
      <c r="R70" s="200">
        <f>'14.3. More funds to invest'!G53</f>
        <v>32366267.29792127</v>
      </c>
      <c r="U70" s="211">
        <v>52</v>
      </c>
      <c r="V70" s="178">
        <v>4165815896.3549132</v>
      </c>
    </row>
    <row r="71" spans="1:22" x14ac:dyDescent="0.25">
      <c r="A71" s="198">
        <v>53</v>
      </c>
      <c r="B71" s="199">
        <v>2076</v>
      </c>
      <c r="C71" s="199" cm="1">
        <f t="array" ref="C71">_xlfn.IFS(AND(B71&gt;=2024,B71&lt;=2034),1,AND(B71&gt;=2035,B71&lt;=2044),2,AND(B71&gt;=2045,B71&lt;=2055),3,AND(B71&gt;=2056,B71&lt;=2062),4,B71&gt;=2063,5)</f>
        <v>5</v>
      </c>
      <c r="D71" s="200">
        <f t="shared" ca="1" si="1"/>
        <v>2170443218.100276</v>
      </c>
      <c r="E71" s="201" cm="1">
        <f t="array" aca="1" ref="E71" ca="1">D71*_xlfn.IFS(C71=1,$G$3,C71=2,$H$3,C71=3,$I$3,C71=4,$J$3,C71=5,$K$3)</f>
        <v>868177287.2401104</v>
      </c>
      <c r="F71" s="202" cm="1">
        <f t="array" aca="1" ref="F71" ca="1">D71*_xlfn.IFS(C71=1,$G$4,C71=2,$H$4,C71=3,$I$4,C71=4,$J$4,C71=5,$K$4)</f>
        <v>217044321.8100276</v>
      </c>
      <c r="G71" s="203">
        <f t="shared" ca="1" si="2"/>
        <v>0.10156704240042466</v>
      </c>
      <c r="H71" s="203">
        <f t="shared" ca="1" si="3"/>
        <v>1.0627267545954591</v>
      </c>
      <c r="I71" s="204" cm="1">
        <f t="array" aca="1" ref="I71" ca="1">D71*_xlfn.IFS(C71=1,$G$5,C71=2,$H$5,C71=3,$I$5,C71=4,$J$5,C71=5,$K$5)</f>
        <v>868177287.2401104</v>
      </c>
      <c r="J71" s="205">
        <f t="shared" si="4"/>
        <v>1.02318</v>
      </c>
      <c r="K71" s="206" cm="1">
        <f t="array" aca="1" ref="K71" ca="1">D71*_xlfn.IFS(C71=1,$G$6,C71=2,$H$6,C71=3,$I$6,C71=4,$J$6,C71=5,$K$6)</f>
        <v>108522160.9050138</v>
      </c>
      <c r="L71" s="207">
        <f t="shared" ca="1" si="5"/>
        <v>-0.61565334518358528</v>
      </c>
      <c r="M71" s="207">
        <f t="shared" ca="1" si="6"/>
        <v>0.9250138110327295</v>
      </c>
      <c r="N71" s="208" cm="1">
        <f t="array" aca="1" ref="N71" ca="1">D71*_xlfn.IFS(C71=1,$G$7,C71=2,$H$7,C71=3,$I$7,C71=4,$J$7,C71=5,$K$7)</f>
        <v>108522160.9050138</v>
      </c>
      <c r="O71" s="209">
        <f t="shared" ca="1" si="7"/>
        <v>-0.64227971437079101</v>
      </c>
      <c r="P71" s="209">
        <f t="shared" ca="1" si="8"/>
        <v>1.0605246569679141</v>
      </c>
      <c r="Q71" s="200">
        <f t="shared" ca="1" si="9"/>
        <v>2202612656.8264503</v>
      </c>
      <c r="R71" s="200">
        <f>'14.3. More funds to invest'!G54</f>
        <v>33540917.989838138</v>
      </c>
      <c r="U71" s="211">
        <v>53</v>
      </c>
      <c r="V71" s="178">
        <v>3564055954.3849864</v>
      </c>
    </row>
    <row r="72" spans="1:22" x14ac:dyDescent="0.25">
      <c r="A72" s="198">
        <v>54</v>
      </c>
      <c r="B72" s="199">
        <v>2077</v>
      </c>
      <c r="C72" s="199" cm="1">
        <f t="array" ref="C72">_xlfn.IFS(AND(B72&gt;=2024,B72&lt;=2034),1,AND(B72&gt;=2035,B72&lt;=2044),2,AND(B72&gt;=2045,B72&lt;=2055),3,AND(B72&gt;=2056,B72&lt;=2062),4,B72&gt;=2063,5)</f>
        <v>5</v>
      </c>
      <c r="D72" s="200">
        <f t="shared" ca="1" si="1"/>
        <v>2236153574.8162885</v>
      </c>
      <c r="E72" s="201" cm="1">
        <f t="array" aca="1" ref="E72" ca="1">D72*_xlfn.IFS(C72=1,$G$3,C72=2,$H$3,C72=3,$I$3,C72=4,$J$3,C72=5,$K$3)</f>
        <v>894461429.92651546</v>
      </c>
      <c r="F72" s="202" cm="1">
        <f t="array" aca="1" ref="F72" ca="1">D72*_xlfn.IFS(C72=1,$G$4,C72=2,$H$4,C72=3,$I$4,C72=4,$J$4,C72=5,$K$4)</f>
        <v>223615357.48162887</v>
      </c>
      <c r="G72" s="203">
        <f t="shared" ca="1" si="2"/>
        <v>-2.8135671955993719E-2</v>
      </c>
      <c r="H72" s="203">
        <f t="shared" ca="1" si="3"/>
        <v>1.0617986775197241</v>
      </c>
      <c r="I72" s="204" cm="1">
        <f t="array" aca="1" ref="I72" ca="1">D72*_xlfn.IFS(C72=1,$G$5,C72=2,$H$5,C72=3,$I$5,C72=4,$J$5,C72=5,$K$5)</f>
        <v>894461429.92651546</v>
      </c>
      <c r="J72" s="205">
        <f t="shared" si="4"/>
        <v>1.02318</v>
      </c>
      <c r="K72" s="206" cm="1">
        <f t="array" aca="1" ref="K72" ca="1">D72*_xlfn.IFS(C72=1,$G$6,C72=2,$H$6,C72=3,$I$6,C72=4,$J$6,C72=5,$K$6)</f>
        <v>111807678.74081443</v>
      </c>
      <c r="L72" s="207">
        <f t="shared" ca="1" si="5"/>
        <v>-0.41874721794881248</v>
      </c>
      <c r="M72" s="207">
        <f t="shared" ca="1" si="6"/>
        <v>0.98768632527196187</v>
      </c>
      <c r="N72" s="208" cm="1">
        <f t="array" aca="1" ref="N72" ca="1">D72*_xlfn.IFS(C72=1,$G$7,C72=2,$H$7,C72=3,$I$7,C72=4,$J$7,C72=5,$K$7)</f>
        <v>111807678.74081443</v>
      </c>
      <c r="O72" s="209">
        <f t="shared" ca="1" si="7"/>
        <v>-0.20484161853958871</v>
      </c>
      <c r="P72" s="209">
        <f t="shared" ca="1" si="8"/>
        <v>1.0688721766012228</v>
      </c>
      <c r="Q72" s="200">
        <f t="shared" ca="1" si="9"/>
        <v>2277029998.9349494</v>
      </c>
      <c r="R72" s="200">
        <f>'14.3. More funds to invest'!G55</f>
        <v>34762554.709431678</v>
      </c>
      <c r="U72" s="211">
        <v>54</v>
      </c>
      <c r="V72" s="178">
        <v>3601020125.6201968</v>
      </c>
    </row>
    <row r="73" spans="1:22" x14ac:dyDescent="0.25">
      <c r="A73" s="198">
        <v>55</v>
      </c>
      <c r="B73" s="199">
        <v>2078</v>
      </c>
      <c r="C73" s="199" cm="1">
        <f t="array" ref="C73">_xlfn.IFS(AND(B73&gt;=2024,B73&lt;=2034),1,AND(B73&gt;=2035,B73&lt;=2044),2,AND(B73&gt;=2045,B73&lt;=2055),3,AND(B73&gt;=2056,B73&lt;=2062),4,B73&gt;=2063,5)</f>
        <v>5</v>
      </c>
      <c r="D73" s="200">
        <f t="shared" ca="1" si="1"/>
        <v>2311792553.644381</v>
      </c>
      <c r="E73" s="201" cm="1">
        <f t="array" aca="1" ref="E73" ca="1">D73*_xlfn.IFS(C73=1,$G$3,C73=2,$H$3,C73=3,$I$3,C73=4,$J$3,C73=5,$K$3)</f>
        <v>924717021.45775247</v>
      </c>
      <c r="F73" s="202" cm="1">
        <f t="array" aca="1" ref="F73" ca="1">D73*_xlfn.IFS(C73=1,$G$4,C73=2,$H$4,C73=3,$I$4,C73=4,$J$4,C73=5,$K$4)</f>
        <v>231179255.36443812</v>
      </c>
      <c r="G73" s="203">
        <f t="shared" ca="1" si="2"/>
        <v>0.64267555404694099</v>
      </c>
      <c r="H73" s="203">
        <f t="shared" ca="1" si="3"/>
        <v>1.0665986119242441</v>
      </c>
      <c r="I73" s="204" cm="1">
        <f t="array" aca="1" ref="I73" ca="1">D73*_xlfn.IFS(C73=1,$G$5,C73=2,$H$5,C73=3,$I$5,C73=4,$J$5,C73=5,$K$5)</f>
        <v>924717021.45775247</v>
      </c>
      <c r="J73" s="205">
        <f t="shared" si="4"/>
        <v>1.02318</v>
      </c>
      <c r="K73" s="206" cm="1">
        <f t="array" aca="1" ref="K73" ca="1">D73*_xlfn.IFS(C73=1,$G$6,C73=2,$H$6,C73=3,$I$6,C73=4,$J$6,C73=5,$K$6)</f>
        <v>115589627.68221906</v>
      </c>
      <c r="L73" s="207">
        <f t="shared" ca="1" si="5"/>
        <v>-0.91011076784391787</v>
      </c>
      <c r="M73" s="207">
        <f t="shared" ca="1" si="6"/>
        <v>0.83129206009643686</v>
      </c>
      <c r="N73" s="208" cm="1">
        <f t="array" aca="1" ref="N73" ca="1">D73*_xlfn.IFS(C73=1,$G$7,C73=2,$H$7,C73=3,$I$7,C73=4,$J$7,C73=5,$K$7)</f>
        <v>115589627.68221906</v>
      </c>
      <c r="O73" s="209">
        <f t="shared" ca="1" si="7"/>
        <v>-2.3440304057910253</v>
      </c>
      <c r="P73" s="209">
        <f t="shared" ca="1" si="8"/>
        <v>1.0280505824805644</v>
      </c>
      <c r="Q73" s="200">
        <f t="shared" ca="1" si="9"/>
        <v>2332365180.1394343</v>
      </c>
      <c r="R73" s="200">
        <f>'14.3. More funds to invest'!G56</f>
        <v>36033056.897808939</v>
      </c>
      <c r="U73" s="211">
        <v>55</v>
      </c>
      <c r="V73" s="178">
        <v>3815693807.9018068</v>
      </c>
    </row>
    <row r="74" spans="1:22" x14ac:dyDescent="0.25">
      <c r="A74" s="198">
        <v>56</v>
      </c>
      <c r="B74" s="199">
        <v>2079</v>
      </c>
      <c r="C74" s="199" cm="1">
        <f t="array" ref="C74">_xlfn.IFS(AND(B74&gt;=2024,B74&lt;=2034),1,AND(B74&gt;=2035,B74&lt;=2044),2,AND(B74&gt;=2045,B74&lt;=2055),3,AND(B74&gt;=2056,B74&lt;=2062),4,B74&gt;=2063,5)</f>
        <v>5</v>
      </c>
      <c r="D74" s="200">
        <f t="shared" ca="1" si="1"/>
        <v>2368398237.0372434</v>
      </c>
      <c r="E74" s="201" cm="1">
        <f t="array" aca="1" ref="E74" ca="1">D74*_xlfn.IFS(C74=1,$G$3,C74=2,$H$3,C74=3,$I$3,C74=4,$J$3,C74=5,$K$3)</f>
        <v>947359294.81489742</v>
      </c>
      <c r="F74" s="202" cm="1">
        <f t="array" aca="1" ref="F74" ca="1">D74*_xlfn.IFS(C74=1,$G$4,C74=2,$H$4,C74=3,$I$4,C74=4,$J$4,C74=5,$K$4)</f>
        <v>236839823.70372435</v>
      </c>
      <c r="G74" s="203">
        <f t="shared" ca="1" si="2"/>
        <v>0.36842993876482744</v>
      </c>
      <c r="H74" s="203">
        <f t="shared" ca="1" si="3"/>
        <v>1.0646362700416776</v>
      </c>
      <c r="I74" s="204" cm="1">
        <f t="array" aca="1" ref="I74" ca="1">D74*_xlfn.IFS(C74=1,$G$5,C74=2,$H$5,C74=3,$I$5,C74=4,$J$5,C74=5,$K$5)</f>
        <v>947359294.81489742</v>
      </c>
      <c r="J74" s="205">
        <f t="shared" si="4"/>
        <v>1.02318</v>
      </c>
      <c r="K74" s="206" cm="1">
        <f t="array" aca="1" ref="K74" ca="1">D74*_xlfn.IFS(C74=1,$G$6,C74=2,$H$6,C74=3,$I$6,C74=4,$J$6,C74=5,$K$6)</f>
        <v>118419911.85186218</v>
      </c>
      <c r="L74" s="207">
        <f t="shared" ca="1" si="5"/>
        <v>-7.3246287231988477E-2</v>
      </c>
      <c r="M74" s="207">
        <f t="shared" ca="1" si="6"/>
        <v>1.0976545233372288</v>
      </c>
      <c r="N74" s="208" cm="1">
        <f t="array" aca="1" ref="N74" ca="1">D74*_xlfn.IFS(C74=1,$G$7,C74=2,$H$7,C74=3,$I$7,C74=4,$J$7,C74=5,$K$7)</f>
        <v>118419911.85186218</v>
      </c>
      <c r="O74" s="209">
        <f t="shared" ca="1" si="7"/>
        <v>0.82811546471784281</v>
      </c>
      <c r="P74" s="209">
        <f t="shared" ca="1" si="8"/>
        <v>1.088583833210536</v>
      </c>
      <c r="Q74" s="200">
        <f t="shared" ca="1" si="9"/>
        <v>2427720798.0584121</v>
      </c>
      <c r="R74" s="200">
        <f>'14.3. More funds to invest'!G57</f>
        <v>37354379.173721284</v>
      </c>
      <c r="U74" s="211">
        <v>56</v>
      </c>
      <c r="V74" s="178">
        <v>3094988291.0167246</v>
      </c>
    </row>
    <row r="75" spans="1:22" x14ac:dyDescent="0.25">
      <c r="A75" s="198">
        <v>57</v>
      </c>
      <c r="B75" s="199">
        <v>2080</v>
      </c>
      <c r="C75" s="199" cm="1">
        <f t="array" ref="C75">_xlfn.IFS(AND(B75&gt;=2024,B75&lt;=2034),1,AND(B75&gt;=2035,B75&lt;=2044),2,AND(B75&gt;=2045,B75&lt;=2055),3,AND(B75&gt;=2056,B75&lt;=2062),4,B75&gt;=2063,5)</f>
        <v>5</v>
      </c>
      <c r="D75" s="200">
        <f t="shared" ca="1" si="1"/>
        <v>2465075177.2321334</v>
      </c>
      <c r="E75" s="201" cm="1">
        <f t="array" aca="1" ref="E75" ca="1">D75*_xlfn.IFS(C75=1,$G$3,C75=2,$H$3,C75=3,$I$3,C75=4,$J$3,C75=5,$K$3)</f>
        <v>986030070.89285338</v>
      </c>
      <c r="F75" s="202" cm="1">
        <f t="array" aca="1" ref="F75" ca="1">D75*_xlfn.IFS(C75=1,$G$4,C75=2,$H$4,C75=3,$I$4,C75=4,$J$4,C75=5,$K$4)</f>
        <v>246507517.72321334</v>
      </c>
      <c r="G75" s="203">
        <f t="shared" ca="1" si="2"/>
        <v>8.5542404627254306E-2</v>
      </c>
      <c r="H75" s="203">
        <f t="shared" ca="1" si="3"/>
        <v>1.062612091621457</v>
      </c>
      <c r="I75" s="204" cm="1">
        <f t="array" aca="1" ref="I75" ca="1">D75*_xlfn.IFS(C75=1,$G$5,C75=2,$H$5,C75=3,$I$5,C75=4,$J$5,C75=5,$K$5)</f>
        <v>986030070.89285338</v>
      </c>
      <c r="J75" s="205">
        <f t="shared" si="4"/>
        <v>1.02318</v>
      </c>
      <c r="K75" s="206" cm="1">
        <f t="array" aca="1" ref="K75" ca="1">D75*_xlfn.IFS(C75=1,$G$6,C75=2,$H$6,C75=3,$I$6,C75=4,$J$6,C75=5,$K$6)</f>
        <v>123253758.86160667</v>
      </c>
      <c r="L75" s="207">
        <f t="shared" ca="1" si="5"/>
        <v>0.10181535802638797</v>
      </c>
      <c r="M75" s="207">
        <f t="shared" ca="1" si="6"/>
        <v>1.1533742391697257</v>
      </c>
      <c r="N75" s="208" cm="1">
        <f t="array" aca="1" ref="N75" ca="1">D75*_xlfn.IFS(C75=1,$G$7,C75=2,$H$7,C75=3,$I$7,C75=4,$J$7,C75=5,$K$7)</f>
        <v>123253758.86160667</v>
      </c>
      <c r="O75" s="209">
        <f t="shared" ca="1" si="7"/>
        <v>0.56661264136888434</v>
      </c>
      <c r="P75" s="209">
        <f t="shared" ca="1" si="8"/>
        <v>1.0835936415174161</v>
      </c>
      <c r="Q75" s="200">
        <f t="shared" ca="1" si="9"/>
        <v>2532572887.5846524</v>
      </c>
      <c r="R75" s="200">
        <f>'14.3. More funds to invest'!G58</f>
        <v>38728554.340670139</v>
      </c>
      <c r="U75" s="211">
        <v>57</v>
      </c>
      <c r="V75" s="178">
        <v>3677458276.3948121</v>
      </c>
    </row>
    <row r="76" spans="1:22" x14ac:dyDescent="0.25">
      <c r="A76" s="198">
        <v>58</v>
      </c>
      <c r="B76" s="199">
        <v>2081</v>
      </c>
      <c r="C76" s="199" cm="1">
        <f t="array" ref="C76">_xlfn.IFS(AND(B76&gt;=2024,B76&lt;=2034),1,AND(B76&gt;=2035,B76&lt;=2044),2,AND(B76&gt;=2045,B76&lt;=2055),3,AND(B76&gt;=2056,B76&lt;=2062),4,B76&gt;=2063,5)</f>
        <v>5</v>
      </c>
      <c r="D76" s="200">
        <f t="shared" ca="1" si="1"/>
        <v>2571301441.9253225</v>
      </c>
      <c r="E76" s="201" cm="1">
        <f t="array" aca="1" ref="E76" ca="1">D76*_xlfn.IFS(C76=1,$G$3,C76=2,$H$3,C76=3,$I$3,C76=4,$J$3,C76=5,$K$3)</f>
        <v>1028520576.7701291</v>
      </c>
      <c r="F76" s="202" cm="1">
        <f t="array" aca="1" ref="F76" ca="1">D76*_xlfn.IFS(C76=1,$G$4,C76=2,$H$4,C76=3,$I$4,C76=4,$J$4,C76=5,$K$4)</f>
        <v>257130144.19253227</v>
      </c>
      <c r="G76" s="203">
        <f t="shared" ca="1" si="2"/>
        <v>0.36611815862656355</v>
      </c>
      <c r="H76" s="203">
        <f t="shared" ca="1" si="3"/>
        <v>1.0646197282895553</v>
      </c>
      <c r="I76" s="204" cm="1">
        <f t="array" aca="1" ref="I76" ca="1">D76*_xlfn.IFS(C76=1,$G$5,C76=2,$H$5,C76=3,$I$5,C76=4,$J$5,C76=5,$K$5)</f>
        <v>1028520576.7701291</v>
      </c>
      <c r="J76" s="205">
        <f t="shared" si="4"/>
        <v>1.02318</v>
      </c>
      <c r="K76" s="206" cm="1">
        <f t="array" aca="1" ref="K76" ca="1">D76*_xlfn.IFS(C76=1,$G$6,C76=2,$H$6,C76=3,$I$6,C76=4,$J$6,C76=5,$K$6)</f>
        <v>128565072.09626614</v>
      </c>
      <c r="L76" s="207">
        <f t="shared" ca="1" si="5"/>
        <v>0.54109460674964238</v>
      </c>
      <c r="M76" s="207">
        <f t="shared" ca="1" si="6"/>
        <v>1.2931907870711647</v>
      </c>
      <c r="N76" s="208" cm="1">
        <f t="array" aca="1" ref="N76" ca="1">D76*_xlfn.IFS(C76=1,$G$7,C76=2,$H$7,C76=3,$I$7,C76=4,$J$7,C76=5,$K$7)</f>
        <v>128565072.09626614</v>
      </c>
      <c r="O76" s="209">
        <f t="shared" ca="1" si="7"/>
        <v>-1.0698591564109676</v>
      </c>
      <c r="P76" s="209">
        <f t="shared" ca="1" si="8"/>
        <v>1.0523652675108814</v>
      </c>
      <c r="Q76" s="200">
        <f t="shared" ca="1" si="9"/>
        <v>2656184668.0182719</v>
      </c>
      <c r="R76" s="200">
        <f>'14.3. More funds to invest'!G59</f>
        <v>40157696.514296949</v>
      </c>
      <c r="U76" s="211">
        <v>58</v>
      </c>
      <c r="V76" s="178">
        <v>3461625669.8125358</v>
      </c>
    </row>
    <row r="77" spans="1:22" x14ac:dyDescent="0.25">
      <c r="A77" s="198">
        <v>59</v>
      </c>
      <c r="B77" s="199">
        <v>2082</v>
      </c>
      <c r="C77" s="199" cm="1">
        <f t="array" ref="C77">_xlfn.IFS(AND(B77&gt;=2024,B77&lt;=2034),1,AND(B77&gt;=2035,B77&lt;=2044),2,AND(B77&gt;=2045,B77&lt;=2055),3,AND(B77&gt;=2056,B77&lt;=2062),4,B77&gt;=2063,5)</f>
        <v>5</v>
      </c>
      <c r="D77" s="200">
        <f t="shared" ca="1" si="1"/>
        <v>2696342364.5325689</v>
      </c>
      <c r="E77" s="201" cm="1">
        <f t="array" aca="1" ref="E77" ca="1">D77*_xlfn.IFS(C77=1,$G$3,C77=2,$H$3,C77=3,$I$3,C77=4,$J$3,C77=5,$K$3)</f>
        <v>1078536945.8130276</v>
      </c>
      <c r="F77" s="202" cm="1">
        <f t="array" aca="1" ref="F77" ca="1">D77*_xlfn.IFS(C77=1,$G$4,C77=2,$H$4,C77=3,$I$4,C77=4,$J$4,C77=5,$K$4)</f>
        <v>269634236.45325691</v>
      </c>
      <c r="G77" s="203">
        <f t="shared" ca="1" si="2"/>
        <v>1.2250815824284806</v>
      </c>
      <c r="H77" s="203">
        <f t="shared" ca="1" si="3"/>
        <v>1.0707659702281378</v>
      </c>
      <c r="I77" s="204" cm="1">
        <f t="array" aca="1" ref="I77" ca="1">D77*_xlfn.IFS(C77=1,$G$5,C77=2,$H$5,C77=3,$I$5,C77=4,$J$5,C77=5,$K$5)</f>
        <v>1078536945.8130276</v>
      </c>
      <c r="J77" s="205">
        <f t="shared" si="4"/>
        <v>1.02318</v>
      </c>
      <c r="K77" s="206" cm="1">
        <f t="array" aca="1" ref="K77" ca="1">D77*_xlfn.IFS(C77=1,$G$6,C77=2,$H$6,C77=3,$I$6,C77=4,$J$6,C77=5,$K$6)</f>
        <v>134817118.22662845</v>
      </c>
      <c r="L77" s="207">
        <f t="shared" ca="1" si="5"/>
        <v>-0.3682521826067901</v>
      </c>
      <c r="M77" s="207">
        <f t="shared" ca="1" si="6"/>
        <v>1.0037582010735218</v>
      </c>
      <c r="N77" s="208" cm="1">
        <f t="array" aca="1" ref="N77" ca="1">D77*_xlfn.IFS(C77=1,$G$7,C77=2,$H$7,C77=3,$I$7,C77=4,$J$7,C77=5,$K$7)</f>
        <v>134817118.22662845</v>
      </c>
      <c r="O77" s="209">
        <f t="shared" ca="1" si="7"/>
        <v>0.16251956366157386</v>
      </c>
      <c r="P77" s="209">
        <f t="shared" ca="1" si="8"/>
        <v>1.0758824363617785</v>
      </c>
      <c r="Q77" s="200">
        <f t="shared" ca="1" si="9"/>
        <v>2751160700.5186114</v>
      </c>
      <c r="R77" s="200">
        <f>'14.3. More funds to invest'!G60</f>
        <v>41644004.37486884</v>
      </c>
      <c r="U77" s="211">
        <v>59</v>
      </c>
      <c r="V77" s="178">
        <v>4120416703.635685</v>
      </c>
    </row>
    <row r="78" spans="1:22" x14ac:dyDescent="0.25">
      <c r="A78" s="198">
        <v>60</v>
      </c>
      <c r="B78" s="199">
        <v>2083</v>
      </c>
      <c r="C78" s="199" cm="1">
        <f t="array" ref="C78">_xlfn.IFS(AND(B78&gt;=2024,B78&lt;=2034),1,AND(B78&gt;=2035,B78&lt;=2044),2,AND(B78&gt;=2045,B78&lt;=2055),3,AND(B78&gt;=2056,B78&lt;=2062),4,B78&gt;=2063,5)</f>
        <v>5</v>
      </c>
      <c r="D78" s="200">
        <f t="shared" ca="1" si="1"/>
        <v>2792804704.8934803</v>
      </c>
      <c r="E78" s="201" cm="1">
        <f t="array" aca="1" ref="E78" ca="1">D78*_xlfn.IFS(C78=1,$G$3,C78=2,$H$3,C78=3,$I$3,C78=4,$J$3,C78=5,$K$3)</f>
        <v>1117121881.9573922</v>
      </c>
      <c r="F78" s="202" cm="1">
        <f t="array" aca="1" ref="F78" ca="1">D78*_xlfn.IFS(C78=1,$G$4,C78=2,$H$4,C78=3,$I$4,C78=4,$J$4,C78=5,$K$4)</f>
        <v>279280470.48934805</v>
      </c>
      <c r="G78" s="203">
        <f t="shared" ca="1" si="2"/>
        <v>5.061972110924854E-2</v>
      </c>
      <c r="H78" s="203">
        <f t="shared" ca="1" si="3"/>
        <v>1.0623622052396875</v>
      </c>
      <c r="I78" s="204" cm="1">
        <f t="array" aca="1" ref="I78" ca="1">D78*_xlfn.IFS(C78=1,$G$5,C78=2,$H$5,C78=3,$I$5,C78=4,$J$5,C78=5,$K$5)</f>
        <v>1117121881.9573922</v>
      </c>
      <c r="J78" s="205">
        <f t="shared" si="4"/>
        <v>1.02318</v>
      </c>
      <c r="K78" s="206" cm="1">
        <f t="array" aca="1" ref="K78" ca="1">D78*_xlfn.IFS(C78=1,$G$6,C78=2,$H$6,C78=3,$I$6,C78=4,$J$6,C78=5,$K$6)</f>
        <v>139640235.24467403</v>
      </c>
      <c r="L78" s="207">
        <f t="shared" ca="1" si="5"/>
        <v>-0.12718505923844287</v>
      </c>
      <c r="M78" s="207">
        <f t="shared" ca="1" si="6"/>
        <v>1.0804865534822805</v>
      </c>
      <c r="N78" s="208" cm="1">
        <f t="array" aca="1" ref="N78" ca="1">D78*_xlfn.IFS(C78=1,$G$7,C78=2,$H$7,C78=3,$I$7,C78=4,$J$7,C78=5,$K$7)</f>
        <v>139640235.24467403</v>
      </c>
      <c r="O78" s="209">
        <f t="shared" ca="1" si="7"/>
        <v>-0.75398424890961668</v>
      </c>
      <c r="P78" s="209">
        <f t="shared" ca="1" si="8"/>
        <v>1.0583930278206615</v>
      </c>
      <c r="Q78" s="200">
        <f t="shared" ca="1" si="9"/>
        <v>2855509313.5411706</v>
      </c>
      <c r="R78" s="200">
        <f>'14.3. More funds to invest'!G61</f>
        <v>43189764.549863577</v>
      </c>
      <c r="U78" s="211">
        <v>60</v>
      </c>
      <c r="V78" s="178">
        <v>3688704728.1277633</v>
      </c>
    </row>
    <row r="79" spans="1:22" x14ac:dyDescent="0.25">
      <c r="A79" s="198">
        <v>61</v>
      </c>
      <c r="B79" s="199">
        <v>2084</v>
      </c>
      <c r="C79" s="199" cm="1">
        <f t="array" ref="C79">_xlfn.IFS(AND(B79&gt;=2024,B79&lt;=2034),1,AND(B79&gt;=2035,B79&lt;=2044),2,AND(B79&gt;=2045,B79&lt;=2055),3,AND(B79&gt;=2056,B79&lt;=2062),4,B79&gt;=2063,5)</f>
        <v>5</v>
      </c>
      <c r="D79" s="200">
        <f t="shared" ca="1" si="1"/>
        <v>2898699078.0910339</v>
      </c>
      <c r="E79" s="201" cm="1">
        <f t="array" aca="1" ref="E79" ca="1">D79*_xlfn.IFS(C79=1,$G$3,C79=2,$H$3,C79=3,$I$3,C79=4,$J$3,C79=5,$K$3)</f>
        <v>1159479631.2364137</v>
      </c>
      <c r="F79" s="202" cm="1">
        <f t="array" aca="1" ref="F79" ca="1">D79*_xlfn.IFS(C79=1,$G$4,C79=2,$H$4,C79=3,$I$4,C79=4,$J$4,C79=5,$K$4)</f>
        <v>289869907.80910343</v>
      </c>
      <c r="G79" s="203">
        <f t="shared" ca="1" si="2"/>
        <v>0.21796870230715859</v>
      </c>
      <c r="H79" s="203">
        <f t="shared" ca="1" si="3"/>
        <v>1.0635596570730439</v>
      </c>
      <c r="I79" s="204" cm="1">
        <f t="array" aca="1" ref="I79" ca="1">D79*_xlfn.IFS(C79=1,$G$5,C79=2,$H$5,C79=3,$I$5,C79=4,$J$5,C79=5,$K$5)</f>
        <v>1159479631.2364137</v>
      </c>
      <c r="J79" s="205">
        <f t="shared" si="4"/>
        <v>1.02318</v>
      </c>
      <c r="K79" s="206" cm="1">
        <f t="array" aca="1" ref="K79" ca="1">D79*_xlfn.IFS(C79=1,$G$6,C79=2,$H$6,C79=3,$I$6,C79=4,$J$6,C79=5,$K$6)</f>
        <v>144934953.90455171</v>
      </c>
      <c r="L79" s="207">
        <f t="shared" ca="1" si="5"/>
        <v>-1.646632381915283E-2</v>
      </c>
      <c r="M79" s="207">
        <f t="shared" ca="1" si="6"/>
        <v>1.1157268053706424</v>
      </c>
      <c r="N79" s="208" cm="1">
        <f t="array" aca="1" ref="N79" ca="1">D79*_xlfn.IFS(C79=1,$G$7,C79=2,$H$7,C79=3,$I$7,C79=4,$J$7,C79=5,$K$7)</f>
        <v>144934953.90455171</v>
      </c>
      <c r="O79" s="209">
        <f t="shared" ca="1" si="7"/>
        <v>-1.0767895483585144</v>
      </c>
      <c r="P79" s="209">
        <f t="shared" ca="1" si="8"/>
        <v>1.0522330166086395</v>
      </c>
      <c r="Q79" s="200">
        <f t="shared" ca="1" si="9"/>
        <v>2968343096.9356194</v>
      </c>
      <c r="R79" s="200">
        <f>'14.3. More funds to invest'!G62</f>
        <v>44797355.13185814</v>
      </c>
      <c r="U79" s="211">
        <v>61</v>
      </c>
      <c r="V79" s="178">
        <v>3515217735.1827555</v>
      </c>
    </row>
    <row r="80" spans="1:22" x14ac:dyDescent="0.25">
      <c r="A80" s="198">
        <v>62</v>
      </c>
      <c r="B80" s="199">
        <v>2085</v>
      </c>
      <c r="C80" s="199" cm="1">
        <f t="array" ref="C80">_xlfn.IFS(AND(B80&gt;=2024,B80&lt;=2034),1,AND(B80&gt;=2035,B80&lt;=2044),2,AND(B80&gt;=2045,B80&lt;=2055),3,AND(B80&gt;=2056,B80&lt;=2062),4,B80&gt;=2063,5)</f>
        <v>5</v>
      </c>
      <c r="D80" s="200">
        <f t="shared" ca="1" si="1"/>
        <v>3013140452.0674777</v>
      </c>
      <c r="E80" s="201" cm="1">
        <f t="array" aca="1" ref="E80" ca="1">D80*_xlfn.IFS(C80=1,$G$3,C80=2,$H$3,C80=3,$I$3,C80=4,$J$3,C80=5,$K$3)</f>
        <v>1205256180.8269911</v>
      </c>
      <c r="F80" s="202" cm="1">
        <f t="array" aca="1" ref="F80" ca="1">D80*_xlfn.IFS(C80=1,$G$4,C80=2,$H$4,C80=3,$I$4,C80=4,$J$4,C80=5,$K$4)</f>
        <v>301314045.20674777</v>
      </c>
      <c r="G80" s="203">
        <f t="shared" ca="1" si="2"/>
        <v>-0.40474973498389832</v>
      </c>
      <c r="H80" s="203">
        <f t="shared" ca="1" si="3"/>
        <v>1.0591038466518432</v>
      </c>
      <c r="I80" s="204" cm="1">
        <f t="array" aca="1" ref="I80" ca="1">D80*_xlfn.IFS(C80=1,$G$5,C80=2,$H$5,C80=3,$I$5,C80=4,$J$5,C80=5,$K$5)</f>
        <v>1205256180.8269911</v>
      </c>
      <c r="J80" s="205">
        <f t="shared" si="4"/>
        <v>1.02318</v>
      </c>
      <c r="K80" s="206" cm="1">
        <f t="array" aca="1" ref="K80" ca="1">D80*_xlfn.IFS(C80=1,$G$6,C80=2,$H$6,C80=3,$I$6,C80=4,$J$6,C80=5,$K$6)</f>
        <v>150657022.60337389</v>
      </c>
      <c r="L80" s="207">
        <f t="shared" ca="1" si="5"/>
        <v>-6.1020994621163262E-2</v>
      </c>
      <c r="M80" s="207">
        <f t="shared" ca="1" si="6"/>
        <v>1.1015456659643812</v>
      </c>
      <c r="N80" s="208" cm="1">
        <f t="array" aca="1" ref="N80" ca="1">D80*_xlfn.IFS(C80=1,$G$7,C80=2,$H$7,C80=3,$I$7,C80=4,$J$7,C80=5,$K$7)</f>
        <v>150657022.60337389</v>
      </c>
      <c r="O80" s="209">
        <f t="shared" ca="1" si="7"/>
        <v>-1.0515363479135527</v>
      </c>
      <c r="P80" s="209">
        <f t="shared" ca="1" si="8"/>
        <v>1.0527149169930075</v>
      </c>
      <c r="Q80" s="200">
        <f t="shared" ca="1" si="9"/>
        <v>3082127549.5944142</v>
      </c>
      <c r="R80" s="200">
        <f>'14.3. More funds to invest'!G63</f>
        <v>46469249.337132454</v>
      </c>
      <c r="U80" s="211">
        <v>62</v>
      </c>
      <c r="V80" s="178">
        <v>3736225223.880589</v>
      </c>
    </row>
    <row r="81" spans="1:22" x14ac:dyDescent="0.25">
      <c r="A81" s="217">
        <v>63</v>
      </c>
      <c r="B81" s="218">
        <v>2086</v>
      </c>
      <c r="C81" s="218" cm="1">
        <f t="array" ref="C81">_xlfn.IFS(AND(B81&gt;=2024,B81&lt;=2034),1,AND(B81&gt;=2035,B81&lt;=2044),2,AND(B81&gt;=2045,B81&lt;=2055),3,AND(B81&gt;=2056,B81&lt;=2062),4,B81&gt;=2063,5)</f>
        <v>5</v>
      </c>
      <c r="D81" s="219">
        <f t="shared" ca="1" si="1"/>
        <v>3128596798.9315467</v>
      </c>
      <c r="E81" s="220" cm="1">
        <f t="array" aca="1" ref="E81" ca="1">D81*_xlfn.IFS(C81=1,$G$3,C81=2,$H$3,C81=3,$I$3,C81=4,$J$3,C81=5,$K$3)</f>
        <v>1251438719.5726187</v>
      </c>
      <c r="F81" s="221" cm="1">
        <f t="array" aca="1" ref="F81" ca="1">D81*_xlfn.IFS(C81=1,$G$4,C81=2,$H$4,C81=3,$I$4,C81=4,$J$4,C81=5,$K$4)</f>
        <v>312859679.89315468</v>
      </c>
      <c r="G81" s="222">
        <f t="shared" ca="1" si="2"/>
        <v>-0.86984541333822307</v>
      </c>
      <c r="H81" s="222">
        <f t="shared" ca="1" si="3"/>
        <v>1.0557758928827499</v>
      </c>
      <c r="I81" s="223" cm="1">
        <f t="array" aca="1" ref="I81" ca="1">D81*_xlfn.IFS(C81=1,$G$5,C81=2,$H$5,C81=3,$I$5,C81=4,$J$5,C81=5,$K$5)</f>
        <v>1251438719.5726187</v>
      </c>
      <c r="J81" s="224">
        <f t="shared" si="4"/>
        <v>1.02318</v>
      </c>
      <c r="K81" s="225" cm="1">
        <f t="array" aca="1" ref="K81" ca="1">D81*_xlfn.IFS(C81=1,$G$6,C81=2,$H$6,C81=3,$I$6,C81=4,$J$6,C81=5,$K$6)</f>
        <v>156429839.94657734</v>
      </c>
      <c r="L81" s="226">
        <f t="shared" ca="1" si="5"/>
        <v>-1.5625378512170001</v>
      </c>
      <c r="M81" s="226">
        <f t="shared" ca="1" si="6"/>
        <v>0.6236334856935809</v>
      </c>
      <c r="N81" s="227" cm="1">
        <f t="array" aca="1" ref="N81" ca="1">D81*_xlfn.IFS(C81=1,$G$7,C81=2,$H$7,C81=3,$I$7,C81=4,$J$7,C81=5,$K$7)</f>
        <v>156429839.94657734</v>
      </c>
      <c r="O81" s="228">
        <f t="shared" ca="1" si="7"/>
        <v>1.5156944132643475</v>
      </c>
      <c r="P81" s="228">
        <f t="shared" ca="1" si="8"/>
        <v>1.1017047269487357</v>
      </c>
      <c r="Q81" s="219">
        <f t="shared" ca="1" si="9"/>
        <v>3132089877.0084891</v>
      </c>
      <c r="R81" s="219">
        <f>'14.3. More funds to invest'!G64</f>
        <v>48208019.310617775</v>
      </c>
      <c r="U81" s="211">
        <v>63</v>
      </c>
      <c r="V81" s="178">
        <v>3332023955.2588711</v>
      </c>
    </row>
    <row r="82" spans="1:22" x14ac:dyDescent="0.25">
      <c r="U82" s="211">
        <v>64</v>
      </c>
      <c r="V82" s="178">
        <v>3257663986.1089578</v>
      </c>
    </row>
    <row r="83" spans="1:22" x14ac:dyDescent="0.25">
      <c r="U83" s="211">
        <v>65</v>
      </c>
      <c r="V83" s="178">
        <v>3332417730.6869597</v>
      </c>
    </row>
    <row r="84" spans="1:22" x14ac:dyDescent="0.25">
      <c r="U84" s="211">
        <v>66</v>
      </c>
      <c r="V84" s="178">
        <v>3998830557.5139189</v>
      </c>
    </row>
    <row r="85" spans="1:22" x14ac:dyDescent="0.25">
      <c r="U85" s="211">
        <v>67</v>
      </c>
      <c r="V85" s="178">
        <v>4068087418.0923824</v>
      </c>
    </row>
    <row r="86" spans="1:22" x14ac:dyDescent="0.25">
      <c r="U86" s="211">
        <v>68</v>
      </c>
      <c r="V86" s="178">
        <v>3919414772.2314558</v>
      </c>
    </row>
    <row r="87" spans="1:22" x14ac:dyDescent="0.25">
      <c r="U87" s="211">
        <v>69</v>
      </c>
      <c r="V87" s="178">
        <v>3774159798.690413</v>
      </c>
    </row>
    <row r="88" spans="1:22" x14ac:dyDescent="0.25">
      <c r="U88" s="211">
        <v>70</v>
      </c>
      <c r="V88" s="178">
        <v>4311886640.7872458</v>
      </c>
    </row>
    <row r="89" spans="1:22" x14ac:dyDescent="0.25">
      <c r="U89" s="211">
        <v>71</v>
      </c>
      <c r="V89" s="178">
        <v>4033028473.1646175</v>
      </c>
    </row>
    <row r="90" spans="1:22" x14ac:dyDescent="0.25">
      <c r="U90" s="211">
        <v>72</v>
      </c>
      <c r="V90" s="178">
        <v>3952215403.5680118</v>
      </c>
    </row>
    <row r="91" spans="1:22" x14ac:dyDescent="0.25">
      <c r="U91" s="211">
        <v>73</v>
      </c>
      <c r="V91" s="178">
        <v>3601727612.2600632</v>
      </c>
    </row>
    <row r="92" spans="1:22" x14ac:dyDescent="0.25">
      <c r="U92" s="211">
        <v>74</v>
      </c>
      <c r="V92" s="178">
        <v>3314154325.9007797</v>
      </c>
    </row>
    <row r="93" spans="1:22" x14ac:dyDescent="0.25">
      <c r="U93" s="211">
        <v>75</v>
      </c>
      <c r="V93" s="178">
        <v>4166225683.8934689</v>
      </c>
    </row>
    <row r="94" spans="1:22" x14ac:dyDescent="0.25">
      <c r="U94" s="211">
        <v>76</v>
      </c>
      <c r="V94" s="178">
        <v>3700946471.0299349</v>
      </c>
    </row>
    <row r="95" spans="1:22" x14ac:dyDescent="0.25">
      <c r="U95" s="211">
        <v>77</v>
      </c>
      <c r="V95" s="178">
        <v>3331056458.0987659</v>
      </c>
    </row>
    <row r="96" spans="1:22" x14ac:dyDescent="0.25">
      <c r="U96" s="211">
        <v>78</v>
      </c>
      <c r="V96" s="178">
        <v>3330939109.3837404</v>
      </c>
    </row>
    <row r="97" spans="21:22" x14ac:dyDescent="0.25">
      <c r="U97" s="211">
        <v>79</v>
      </c>
      <c r="V97" s="178">
        <v>3571244932.6416869</v>
      </c>
    </row>
    <row r="98" spans="21:22" x14ac:dyDescent="0.25">
      <c r="U98" s="211">
        <v>80</v>
      </c>
      <c r="V98" s="178">
        <v>3832481315.1362128</v>
      </c>
    </row>
    <row r="99" spans="21:22" x14ac:dyDescent="0.25">
      <c r="U99" s="211">
        <v>81</v>
      </c>
      <c r="V99" s="178">
        <v>3457564018.5161157</v>
      </c>
    </row>
    <row r="100" spans="21:22" x14ac:dyDescent="0.25">
      <c r="U100" s="211">
        <v>82</v>
      </c>
      <c r="V100" s="178">
        <v>3408731552.8335943</v>
      </c>
    </row>
    <row r="101" spans="21:22" x14ac:dyDescent="0.25">
      <c r="U101" s="211">
        <v>83</v>
      </c>
      <c r="V101" s="178">
        <v>3050491396.4332147</v>
      </c>
    </row>
    <row r="102" spans="21:22" x14ac:dyDescent="0.25">
      <c r="U102" s="211">
        <v>84</v>
      </c>
      <c r="V102" s="178">
        <v>4396386933.0486021</v>
      </c>
    </row>
    <row r="103" spans="21:22" x14ac:dyDescent="0.25">
      <c r="U103" s="211">
        <v>85</v>
      </c>
      <c r="V103" s="178">
        <v>3803758245.0713711</v>
      </c>
    </row>
    <row r="104" spans="21:22" x14ac:dyDescent="0.25">
      <c r="U104" s="211">
        <v>86</v>
      </c>
      <c r="V104" s="178">
        <v>3793460229.6921067</v>
      </c>
    </row>
    <row r="105" spans="21:22" x14ac:dyDescent="0.25">
      <c r="U105" s="211">
        <v>87</v>
      </c>
      <c r="V105" s="178">
        <v>3563387985.4413252</v>
      </c>
    </row>
    <row r="106" spans="21:22" x14ac:dyDescent="0.25">
      <c r="U106" s="211">
        <v>88</v>
      </c>
      <c r="V106" s="178">
        <v>3533619988.7262878</v>
      </c>
    </row>
    <row r="107" spans="21:22" x14ac:dyDescent="0.25">
      <c r="U107" s="211">
        <v>89</v>
      </c>
      <c r="V107" s="178">
        <v>3854716927.2544527</v>
      </c>
    </row>
    <row r="108" spans="21:22" x14ac:dyDescent="0.25">
      <c r="U108" s="211">
        <v>90</v>
      </c>
      <c r="V108" s="178">
        <v>3259806134.514636</v>
      </c>
    </row>
    <row r="109" spans="21:22" x14ac:dyDescent="0.25">
      <c r="U109" s="211">
        <v>91</v>
      </c>
      <c r="V109" s="178">
        <v>3980084342.033793</v>
      </c>
    </row>
    <row r="110" spans="21:22" x14ac:dyDescent="0.25">
      <c r="U110" s="211">
        <v>92</v>
      </c>
      <c r="V110" s="178">
        <v>3586744397.1424336</v>
      </c>
    </row>
    <row r="111" spans="21:22" x14ac:dyDescent="0.25">
      <c r="U111" s="211">
        <v>93</v>
      </c>
      <c r="V111" s="178">
        <v>3840779148.173625</v>
      </c>
    </row>
    <row r="112" spans="21:22" x14ac:dyDescent="0.25">
      <c r="U112" s="211">
        <v>94</v>
      </c>
      <c r="V112" s="178">
        <v>3771925997.4710264</v>
      </c>
    </row>
    <row r="113" spans="21:22" x14ac:dyDescent="0.25">
      <c r="U113" s="211">
        <v>95</v>
      </c>
      <c r="V113" s="178">
        <v>3710413861.9453211</v>
      </c>
    </row>
    <row r="114" spans="21:22" x14ac:dyDescent="0.25">
      <c r="U114" s="211">
        <v>96</v>
      </c>
      <c r="V114" s="178">
        <v>3495014259.1284237</v>
      </c>
    </row>
    <row r="115" spans="21:22" x14ac:dyDescent="0.25">
      <c r="U115" s="211">
        <v>97</v>
      </c>
      <c r="V115" s="178">
        <v>3897087948.0460324</v>
      </c>
    </row>
    <row r="116" spans="21:22" x14ac:dyDescent="0.25">
      <c r="U116" s="211">
        <v>98</v>
      </c>
      <c r="V116" s="178">
        <v>3371025597.9860368</v>
      </c>
    </row>
    <row r="117" spans="21:22" x14ac:dyDescent="0.25">
      <c r="U117" s="211">
        <v>99</v>
      </c>
      <c r="V117" s="178">
        <v>3580034952.862637</v>
      </c>
    </row>
    <row r="118" spans="21:22" x14ac:dyDescent="0.25">
      <c r="U118" s="211">
        <v>100</v>
      </c>
      <c r="V118" s="178">
        <v>4039897064.0042787</v>
      </c>
    </row>
    <row r="119" spans="21:22" x14ac:dyDescent="0.25">
      <c r="U119" s="211">
        <v>101</v>
      </c>
      <c r="V119" s="178">
        <v>3737562817.649703</v>
      </c>
    </row>
    <row r="120" spans="21:22" x14ac:dyDescent="0.25">
      <c r="U120" s="211">
        <v>102</v>
      </c>
      <c r="V120" s="178">
        <v>3285064086.2952371</v>
      </c>
    </row>
    <row r="121" spans="21:22" x14ac:dyDescent="0.25">
      <c r="U121" s="211">
        <v>103</v>
      </c>
      <c r="V121" s="178">
        <v>3483052222.7269282</v>
      </c>
    </row>
    <row r="122" spans="21:22" x14ac:dyDescent="0.25">
      <c r="U122" s="211">
        <v>104</v>
      </c>
      <c r="V122" s="178">
        <v>3842171058.0225482</v>
      </c>
    </row>
    <row r="123" spans="21:22" x14ac:dyDescent="0.25">
      <c r="U123" s="211">
        <v>105</v>
      </c>
      <c r="V123" s="178">
        <v>3442644207.3928661</v>
      </c>
    </row>
    <row r="124" spans="21:22" x14ac:dyDescent="0.25">
      <c r="U124" s="211">
        <v>106</v>
      </c>
      <c r="V124" s="178">
        <v>3795534279.6935859</v>
      </c>
    </row>
    <row r="125" spans="21:22" x14ac:dyDescent="0.25">
      <c r="U125" s="211">
        <v>107</v>
      </c>
      <c r="V125" s="178">
        <v>3602504199.7005048</v>
      </c>
    </row>
    <row r="126" spans="21:22" x14ac:dyDescent="0.25">
      <c r="U126" s="211">
        <v>108</v>
      </c>
      <c r="V126" s="178">
        <v>4228327042.4736004</v>
      </c>
    </row>
    <row r="127" spans="21:22" x14ac:dyDescent="0.25">
      <c r="U127" s="211">
        <v>109</v>
      </c>
      <c r="V127" s="178">
        <v>3494342435.9754024</v>
      </c>
    </row>
    <row r="128" spans="21:22" x14ac:dyDescent="0.25">
      <c r="U128" s="211">
        <v>110</v>
      </c>
      <c r="V128" s="178">
        <v>3547415853.7938519</v>
      </c>
    </row>
    <row r="129" spans="21:22" x14ac:dyDescent="0.25">
      <c r="U129" s="211">
        <v>111</v>
      </c>
      <c r="V129" s="178">
        <v>3196832690.9083176</v>
      </c>
    </row>
    <row r="130" spans="21:22" x14ac:dyDescent="0.25">
      <c r="U130" s="211">
        <v>112</v>
      </c>
      <c r="V130" s="178">
        <v>3439014363.6489692</v>
      </c>
    </row>
    <row r="131" spans="21:22" x14ac:dyDescent="0.25">
      <c r="U131" s="211">
        <v>113</v>
      </c>
      <c r="V131" s="178">
        <v>3920478710.104681</v>
      </c>
    </row>
    <row r="132" spans="21:22" x14ac:dyDescent="0.25">
      <c r="U132" s="211">
        <v>114</v>
      </c>
      <c r="V132" s="178">
        <v>2853769792.6015296</v>
      </c>
    </row>
    <row r="133" spans="21:22" x14ac:dyDescent="0.25">
      <c r="U133" s="211">
        <v>115</v>
      </c>
      <c r="V133" s="178">
        <v>3546216970.3406291</v>
      </c>
    </row>
    <row r="134" spans="21:22" x14ac:dyDescent="0.25">
      <c r="U134" s="211">
        <v>116</v>
      </c>
      <c r="V134" s="178">
        <v>3806818071.4832182</v>
      </c>
    </row>
    <row r="135" spans="21:22" x14ac:dyDescent="0.25">
      <c r="U135" s="211">
        <v>117</v>
      </c>
      <c r="V135" s="178">
        <v>3631250845.3597388</v>
      </c>
    </row>
    <row r="136" spans="21:22" x14ac:dyDescent="0.25">
      <c r="U136" s="211">
        <v>118</v>
      </c>
      <c r="V136" s="178">
        <v>3232729454.8523641</v>
      </c>
    </row>
    <row r="137" spans="21:22" x14ac:dyDescent="0.25">
      <c r="U137" s="211">
        <v>119</v>
      </c>
      <c r="V137" s="178">
        <v>3807828869.0396686</v>
      </c>
    </row>
    <row r="138" spans="21:22" x14ac:dyDescent="0.25">
      <c r="U138" s="211">
        <v>120</v>
      </c>
      <c r="V138" s="178">
        <v>3762584703.2998648</v>
      </c>
    </row>
    <row r="139" spans="21:22" x14ac:dyDescent="0.25">
      <c r="U139" s="211">
        <v>121</v>
      </c>
      <c r="V139" s="178">
        <v>3916773576.1261182</v>
      </c>
    </row>
    <row r="140" spans="21:22" x14ac:dyDescent="0.25">
      <c r="U140" s="211">
        <v>122</v>
      </c>
      <c r="V140" s="178">
        <v>3862387041.7595453</v>
      </c>
    </row>
    <row r="141" spans="21:22" x14ac:dyDescent="0.25">
      <c r="U141" s="211">
        <v>123</v>
      </c>
      <c r="V141" s="178">
        <v>4052881012.8993154</v>
      </c>
    </row>
    <row r="142" spans="21:22" x14ac:dyDescent="0.25">
      <c r="U142" s="211">
        <v>124</v>
      </c>
      <c r="V142" s="178">
        <v>3562840291.8511786</v>
      </c>
    </row>
    <row r="143" spans="21:22" x14ac:dyDescent="0.25">
      <c r="U143" s="211">
        <v>125</v>
      </c>
      <c r="V143" s="178">
        <v>4212013735.44066</v>
      </c>
    </row>
    <row r="144" spans="21:22" x14ac:dyDescent="0.25">
      <c r="U144" s="211">
        <v>126</v>
      </c>
      <c r="V144" s="178">
        <v>3485694785.0933228</v>
      </c>
    </row>
    <row r="145" spans="21:22" x14ac:dyDescent="0.25">
      <c r="U145" s="211">
        <v>127</v>
      </c>
      <c r="V145" s="178">
        <v>3973600745.5272183</v>
      </c>
    </row>
    <row r="146" spans="21:22" x14ac:dyDescent="0.25">
      <c r="U146" s="211">
        <v>128</v>
      </c>
      <c r="V146" s="178">
        <v>3661477475.4235005</v>
      </c>
    </row>
    <row r="147" spans="21:22" x14ac:dyDescent="0.25">
      <c r="U147" s="211">
        <v>129</v>
      </c>
      <c r="V147" s="178">
        <v>3203188090.9696417</v>
      </c>
    </row>
    <row r="148" spans="21:22" x14ac:dyDescent="0.25">
      <c r="U148" s="211">
        <v>130</v>
      </c>
      <c r="V148" s="178">
        <v>3376225580.4099388</v>
      </c>
    </row>
    <row r="149" spans="21:22" x14ac:dyDescent="0.25">
      <c r="U149" s="211">
        <v>131</v>
      </c>
      <c r="V149" s="178">
        <v>3467762971.4855695</v>
      </c>
    </row>
    <row r="150" spans="21:22" x14ac:dyDescent="0.25">
      <c r="U150" s="211">
        <v>132</v>
      </c>
      <c r="V150" s="178">
        <v>3397109913.5870829</v>
      </c>
    </row>
    <row r="151" spans="21:22" x14ac:dyDescent="0.25">
      <c r="U151" s="211">
        <v>133</v>
      </c>
      <c r="V151" s="178">
        <v>3335429274.2016878</v>
      </c>
    </row>
    <row r="152" spans="21:22" x14ac:dyDescent="0.25">
      <c r="U152" s="211">
        <v>134</v>
      </c>
      <c r="V152" s="178">
        <v>3316044306.9541411</v>
      </c>
    </row>
    <row r="153" spans="21:22" x14ac:dyDescent="0.25">
      <c r="U153" s="211">
        <v>135</v>
      </c>
      <c r="V153" s="178">
        <v>4100871695.2050462</v>
      </c>
    </row>
    <row r="154" spans="21:22" x14ac:dyDescent="0.25">
      <c r="U154" s="211">
        <v>136</v>
      </c>
      <c r="V154" s="178">
        <v>3515597712.7480278</v>
      </c>
    </row>
    <row r="155" spans="21:22" x14ac:dyDescent="0.25">
      <c r="U155" s="211">
        <v>137</v>
      </c>
      <c r="V155" s="178">
        <v>3298672364.7183924</v>
      </c>
    </row>
    <row r="156" spans="21:22" x14ac:dyDescent="0.25">
      <c r="U156" s="211">
        <v>138</v>
      </c>
      <c r="V156" s="178">
        <v>3424899584.5050225</v>
      </c>
    </row>
    <row r="157" spans="21:22" x14ac:dyDescent="0.25">
      <c r="U157" s="211">
        <v>139</v>
      </c>
      <c r="V157" s="178">
        <v>3525356363.0548263</v>
      </c>
    </row>
    <row r="158" spans="21:22" x14ac:dyDescent="0.25">
      <c r="U158" s="211">
        <v>140</v>
      </c>
      <c r="V158" s="178">
        <v>3470728583.8853631</v>
      </c>
    </row>
    <row r="159" spans="21:22" x14ac:dyDescent="0.25">
      <c r="U159" s="211">
        <v>141</v>
      </c>
      <c r="V159" s="178">
        <v>3717385045.9364376</v>
      </c>
    </row>
    <row r="160" spans="21:22" x14ac:dyDescent="0.25">
      <c r="U160" s="211">
        <v>142</v>
      </c>
      <c r="V160" s="178">
        <v>3263450418.8641548</v>
      </c>
    </row>
    <row r="161" spans="21:22" x14ac:dyDescent="0.25">
      <c r="U161" s="211">
        <v>143</v>
      </c>
      <c r="V161" s="178">
        <v>3408175055.6490107</v>
      </c>
    </row>
    <row r="162" spans="21:22" x14ac:dyDescent="0.25">
      <c r="U162" s="211">
        <v>144</v>
      </c>
      <c r="V162" s="178">
        <v>3656481242.9612079</v>
      </c>
    </row>
    <row r="163" spans="21:22" x14ac:dyDescent="0.25">
      <c r="U163" s="211">
        <v>145</v>
      </c>
      <c r="V163" s="178">
        <v>3301209757.777029</v>
      </c>
    </row>
    <row r="164" spans="21:22" x14ac:dyDescent="0.25">
      <c r="U164" s="211">
        <v>146</v>
      </c>
      <c r="V164" s="178">
        <v>3193606186.5804186</v>
      </c>
    </row>
    <row r="165" spans="21:22" x14ac:dyDescent="0.25">
      <c r="U165" s="211">
        <v>147</v>
      </c>
      <c r="V165" s="178">
        <v>3557555789.3777342</v>
      </c>
    </row>
    <row r="166" spans="21:22" x14ac:dyDescent="0.25">
      <c r="U166" s="211">
        <v>148</v>
      </c>
      <c r="V166" s="178">
        <v>4008349925.9793191</v>
      </c>
    </row>
    <row r="167" spans="21:22" x14ac:dyDescent="0.25">
      <c r="U167" s="211">
        <v>149</v>
      </c>
      <c r="V167" s="178">
        <v>3905984377.8931355</v>
      </c>
    </row>
    <row r="168" spans="21:22" x14ac:dyDescent="0.25">
      <c r="U168" s="211">
        <v>150</v>
      </c>
      <c r="V168" s="178">
        <v>4280771323.4793797</v>
      </c>
    </row>
    <row r="169" spans="21:22" x14ac:dyDescent="0.25">
      <c r="U169" s="211">
        <v>151</v>
      </c>
      <c r="V169" s="178">
        <v>4062237271.2365408</v>
      </c>
    </row>
    <row r="170" spans="21:22" x14ac:dyDescent="0.25">
      <c r="U170" s="211">
        <v>152</v>
      </c>
      <c r="V170" s="178">
        <v>4245526838.4847522</v>
      </c>
    </row>
    <row r="171" spans="21:22" x14ac:dyDescent="0.25">
      <c r="U171" s="211">
        <v>153</v>
      </c>
      <c r="V171" s="178">
        <v>3641869806.0545177</v>
      </c>
    </row>
    <row r="172" spans="21:22" x14ac:dyDescent="0.25">
      <c r="U172" s="211">
        <v>154</v>
      </c>
      <c r="V172" s="178">
        <v>3341764512.7134995</v>
      </c>
    </row>
    <row r="173" spans="21:22" x14ac:dyDescent="0.25">
      <c r="U173" s="211">
        <v>155</v>
      </c>
      <c r="V173" s="178">
        <v>3356831290.5699916</v>
      </c>
    </row>
    <row r="174" spans="21:22" x14ac:dyDescent="0.25">
      <c r="U174" s="211">
        <v>156</v>
      </c>
      <c r="V174" s="178">
        <v>3124714704.9033489</v>
      </c>
    </row>
    <row r="175" spans="21:22" x14ac:dyDescent="0.25">
      <c r="U175" s="211">
        <v>157</v>
      </c>
      <c r="V175" s="178">
        <v>3297512462.9729691</v>
      </c>
    </row>
    <row r="176" spans="21:22" x14ac:dyDescent="0.25">
      <c r="U176" s="211">
        <v>158</v>
      </c>
      <c r="V176" s="178">
        <v>3925057759.9714847</v>
      </c>
    </row>
    <row r="177" spans="21:22" x14ac:dyDescent="0.25">
      <c r="U177" s="211">
        <v>159</v>
      </c>
      <c r="V177" s="178">
        <v>3896360810.0656142</v>
      </c>
    </row>
    <row r="178" spans="21:22" x14ac:dyDescent="0.25">
      <c r="U178" s="211">
        <v>160</v>
      </c>
      <c r="V178" s="178">
        <v>3383158270.5267363</v>
      </c>
    </row>
    <row r="179" spans="21:22" x14ac:dyDescent="0.25">
      <c r="U179" s="211">
        <v>161</v>
      </c>
      <c r="V179" s="178">
        <v>3438329240.9315829</v>
      </c>
    </row>
    <row r="180" spans="21:22" x14ac:dyDescent="0.25">
      <c r="U180" s="211">
        <v>162</v>
      </c>
      <c r="V180" s="178">
        <v>3635153912.2851534</v>
      </c>
    </row>
    <row r="181" spans="21:22" x14ac:dyDescent="0.25">
      <c r="U181" s="211">
        <v>163</v>
      </c>
      <c r="V181" s="178">
        <v>3386851445.7582312</v>
      </c>
    </row>
    <row r="182" spans="21:22" x14ac:dyDescent="0.25">
      <c r="U182" s="211">
        <v>164</v>
      </c>
      <c r="V182" s="178">
        <v>3437086606.7393026</v>
      </c>
    </row>
    <row r="183" spans="21:22" x14ac:dyDescent="0.25">
      <c r="U183" s="211">
        <v>165</v>
      </c>
      <c r="V183" s="178">
        <v>3498445143.7839427</v>
      </c>
    </row>
    <row r="184" spans="21:22" x14ac:dyDescent="0.25">
      <c r="U184" s="211">
        <v>166</v>
      </c>
      <c r="V184" s="178">
        <v>3786446738.683476</v>
      </c>
    </row>
    <row r="185" spans="21:22" x14ac:dyDescent="0.25">
      <c r="U185" s="211">
        <v>167</v>
      </c>
      <c r="V185" s="178">
        <v>3582360728.7578821</v>
      </c>
    </row>
    <row r="186" spans="21:22" x14ac:dyDescent="0.25">
      <c r="U186" s="211">
        <v>168</v>
      </c>
      <c r="V186" s="178">
        <v>3763746497.2107582</v>
      </c>
    </row>
    <row r="187" spans="21:22" x14ac:dyDescent="0.25">
      <c r="U187" s="211">
        <v>169</v>
      </c>
      <c r="V187" s="178">
        <v>3591521189.9467273</v>
      </c>
    </row>
    <row r="188" spans="21:22" x14ac:dyDescent="0.25">
      <c r="U188" s="211">
        <v>170</v>
      </c>
      <c r="V188" s="178">
        <v>3868723406.574791</v>
      </c>
    </row>
    <row r="189" spans="21:22" x14ac:dyDescent="0.25">
      <c r="U189" s="211">
        <v>171</v>
      </c>
      <c r="V189" s="178">
        <v>2941271137.5794191</v>
      </c>
    </row>
    <row r="190" spans="21:22" x14ac:dyDescent="0.25">
      <c r="U190" s="211">
        <v>172</v>
      </c>
      <c r="V190" s="178">
        <v>3905762904.8077812</v>
      </c>
    </row>
    <row r="191" spans="21:22" x14ac:dyDescent="0.25">
      <c r="U191" s="211">
        <v>173</v>
      </c>
      <c r="V191" s="178">
        <v>3406515763.4290619</v>
      </c>
    </row>
    <row r="192" spans="21:22" x14ac:dyDescent="0.25">
      <c r="U192" s="211">
        <v>174</v>
      </c>
      <c r="V192" s="178">
        <v>3686544125.1319866</v>
      </c>
    </row>
    <row r="193" spans="21:22" x14ac:dyDescent="0.25">
      <c r="U193" s="211">
        <v>175</v>
      </c>
      <c r="V193" s="178">
        <v>4286945282.0344548</v>
      </c>
    </row>
    <row r="194" spans="21:22" x14ac:dyDescent="0.25">
      <c r="U194" s="211">
        <v>176</v>
      </c>
      <c r="V194" s="178">
        <v>3944398160.909575</v>
      </c>
    </row>
    <row r="195" spans="21:22" x14ac:dyDescent="0.25">
      <c r="U195" s="211">
        <v>177</v>
      </c>
      <c r="V195" s="178">
        <v>3400238819.1000834</v>
      </c>
    </row>
    <row r="196" spans="21:22" x14ac:dyDescent="0.25">
      <c r="U196" s="211">
        <v>178</v>
      </c>
      <c r="V196" s="178">
        <v>4599032697.9284077</v>
      </c>
    </row>
    <row r="197" spans="21:22" x14ac:dyDescent="0.25">
      <c r="U197" s="211">
        <v>179</v>
      </c>
      <c r="V197" s="178">
        <v>3693686179.7685218</v>
      </c>
    </row>
    <row r="198" spans="21:22" x14ac:dyDescent="0.25">
      <c r="U198" s="211">
        <v>180</v>
      </c>
      <c r="V198" s="178">
        <v>3604436350.9864926</v>
      </c>
    </row>
    <row r="199" spans="21:22" x14ac:dyDescent="0.25">
      <c r="U199" s="211">
        <v>181</v>
      </c>
      <c r="V199" s="178">
        <v>3382472344.637465</v>
      </c>
    </row>
    <row r="200" spans="21:22" x14ac:dyDescent="0.25">
      <c r="U200" s="211">
        <v>182</v>
      </c>
      <c r="V200" s="178">
        <v>3862646682.7498102</v>
      </c>
    </row>
    <row r="201" spans="21:22" x14ac:dyDescent="0.25">
      <c r="U201" s="211">
        <v>183</v>
      </c>
      <c r="V201" s="178">
        <v>3316587199.1785312</v>
      </c>
    </row>
    <row r="202" spans="21:22" x14ac:dyDescent="0.25">
      <c r="U202" s="211">
        <v>184</v>
      </c>
      <c r="V202" s="178">
        <v>3365329825.4759746</v>
      </c>
    </row>
    <row r="203" spans="21:22" x14ac:dyDescent="0.25">
      <c r="U203" s="211">
        <v>185</v>
      </c>
      <c r="V203" s="178">
        <v>3775574281.2335143</v>
      </c>
    </row>
    <row r="204" spans="21:22" x14ac:dyDescent="0.25">
      <c r="U204" s="211">
        <v>186</v>
      </c>
      <c r="V204" s="178">
        <v>3602425468.9558768</v>
      </c>
    </row>
    <row r="205" spans="21:22" x14ac:dyDescent="0.25">
      <c r="U205" s="211">
        <v>187</v>
      </c>
      <c r="V205" s="178">
        <v>4252847984.4275599</v>
      </c>
    </row>
    <row r="206" spans="21:22" x14ac:dyDescent="0.25">
      <c r="U206" s="211">
        <v>188</v>
      </c>
      <c r="V206" s="178">
        <v>3803917879.3500738</v>
      </c>
    </row>
    <row r="207" spans="21:22" x14ac:dyDescent="0.25">
      <c r="U207" s="211">
        <v>189</v>
      </c>
      <c r="V207" s="178">
        <v>3604481209.7459311</v>
      </c>
    </row>
    <row r="208" spans="21:22" x14ac:dyDescent="0.25">
      <c r="U208" s="211">
        <v>190</v>
      </c>
      <c r="V208" s="178">
        <v>3538935136.0834084</v>
      </c>
    </row>
    <row r="209" spans="21:22" x14ac:dyDescent="0.25">
      <c r="U209" s="211">
        <v>191</v>
      </c>
      <c r="V209" s="178">
        <v>3424221275.4675055</v>
      </c>
    </row>
    <row r="210" spans="21:22" x14ac:dyDescent="0.25">
      <c r="U210" s="211">
        <v>192</v>
      </c>
      <c r="V210" s="178">
        <v>3383643759.3030372</v>
      </c>
    </row>
    <row r="211" spans="21:22" x14ac:dyDescent="0.25">
      <c r="U211" s="211">
        <v>193</v>
      </c>
      <c r="V211" s="178">
        <v>3143665135.9531264</v>
      </c>
    </row>
    <row r="212" spans="21:22" x14ac:dyDescent="0.25">
      <c r="U212" s="211">
        <v>194</v>
      </c>
      <c r="V212" s="178">
        <v>3563952254.9803796</v>
      </c>
    </row>
    <row r="213" spans="21:22" x14ac:dyDescent="0.25">
      <c r="U213" s="211">
        <v>195</v>
      </c>
      <c r="V213" s="178">
        <v>3764545739.1239915</v>
      </c>
    </row>
    <row r="214" spans="21:22" x14ac:dyDescent="0.25">
      <c r="U214" s="211">
        <v>196</v>
      </c>
      <c r="V214" s="178">
        <v>3653704054.9242353</v>
      </c>
    </row>
    <row r="215" spans="21:22" x14ac:dyDescent="0.25">
      <c r="U215" s="211">
        <v>197</v>
      </c>
      <c r="V215" s="178">
        <v>3083335341.1098876</v>
      </c>
    </row>
    <row r="216" spans="21:22" x14ac:dyDescent="0.25">
      <c r="U216" s="211">
        <v>198</v>
      </c>
      <c r="V216" s="178">
        <v>3558466583.3377347</v>
      </c>
    </row>
    <row r="217" spans="21:22" x14ac:dyDescent="0.25">
      <c r="U217" s="211">
        <v>199</v>
      </c>
      <c r="V217" s="178">
        <v>3837532960.3029251</v>
      </c>
    </row>
    <row r="218" spans="21:22" x14ac:dyDescent="0.25">
      <c r="U218" s="211">
        <v>200</v>
      </c>
      <c r="V218" s="178">
        <v>4104109815.3434272</v>
      </c>
    </row>
    <row r="219" spans="21:22" x14ac:dyDescent="0.25">
      <c r="U219" s="211">
        <v>201</v>
      </c>
      <c r="V219" s="178">
        <v>3529304011.8409619</v>
      </c>
    </row>
    <row r="220" spans="21:22" x14ac:dyDescent="0.25">
      <c r="U220" s="211">
        <v>202</v>
      </c>
      <c r="V220" s="178">
        <v>3601261086.0359693</v>
      </c>
    </row>
    <row r="221" spans="21:22" x14ac:dyDescent="0.25">
      <c r="U221" s="211">
        <v>203</v>
      </c>
      <c r="V221" s="178">
        <v>3219225850.2336607</v>
      </c>
    </row>
    <row r="222" spans="21:22" x14ac:dyDescent="0.25">
      <c r="U222" s="211">
        <v>204</v>
      </c>
      <c r="V222" s="178">
        <v>3413111252.7231479</v>
      </c>
    </row>
    <row r="223" spans="21:22" x14ac:dyDescent="0.25">
      <c r="U223" s="211">
        <v>205</v>
      </c>
      <c r="V223" s="178">
        <v>3954135090.5197029</v>
      </c>
    </row>
    <row r="224" spans="21:22" x14ac:dyDescent="0.25">
      <c r="U224" s="211">
        <v>206</v>
      </c>
      <c r="V224" s="178">
        <v>3682237033.4636898</v>
      </c>
    </row>
    <row r="225" spans="21:22" x14ac:dyDescent="0.25">
      <c r="U225" s="211">
        <v>207</v>
      </c>
      <c r="V225" s="178">
        <v>3566466095.2894373</v>
      </c>
    </row>
    <row r="226" spans="21:22" x14ac:dyDescent="0.25">
      <c r="U226" s="211">
        <v>208</v>
      </c>
      <c r="V226" s="178">
        <v>2987866145.5863347</v>
      </c>
    </row>
    <row r="227" spans="21:22" x14ac:dyDescent="0.25">
      <c r="U227" s="211">
        <v>209</v>
      </c>
      <c r="V227" s="178">
        <v>3863194081.6613288</v>
      </c>
    </row>
    <row r="228" spans="21:22" x14ac:dyDescent="0.25">
      <c r="U228" s="211">
        <v>210</v>
      </c>
      <c r="V228" s="178">
        <v>3984054126.4302893</v>
      </c>
    </row>
    <row r="229" spans="21:22" x14ac:dyDescent="0.25">
      <c r="U229" s="211">
        <v>211</v>
      </c>
      <c r="V229" s="178">
        <v>3475941457.0511498</v>
      </c>
    </row>
    <row r="230" spans="21:22" x14ac:dyDescent="0.25">
      <c r="U230" s="211">
        <v>212</v>
      </c>
      <c r="V230" s="178">
        <v>3477632605.1793141</v>
      </c>
    </row>
    <row r="231" spans="21:22" x14ac:dyDescent="0.25">
      <c r="U231" s="211">
        <v>213</v>
      </c>
      <c r="V231" s="178">
        <v>3607510334.9945765</v>
      </c>
    </row>
    <row r="232" spans="21:22" x14ac:dyDescent="0.25">
      <c r="U232" s="211">
        <v>214</v>
      </c>
      <c r="V232" s="178">
        <v>3624407802.0235281</v>
      </c>
    </row>
    <row r="233" spans="21:22" x14ac:dyDescent="0.25">
      <c r="U233" s="211">
        <v>215</v>
      </c>
      <c r="V233" s="178">
        <v>3594378711.9104781</v>
      </c>
    </row>
    <row r="234" spans="21:22" x14ac:dyDescent="0.25">
      <c r="U234" s="211">
        <v>216</v>
      </c>
      <c r="V234" s="178">
        <v>3300492365.2416463</v>
      </c>
    </row>
    <row r="235" spans="21:22" x14ac:dyDescent="0.25">
      <c r="U235" s="211">
        <v>217</v>
      </c>
      <c r="V235" s="178">
        <v>3733122291.750927</v>
      </c>
    </row>
    <row r="236" spans="21:22" x14ac:dyDescent="0.25">
      <c r="U236" s="211">
        <v>218</v>
      </c>
      <c r="V236" s="178">
        <v>3525452114.8940516</v>
      </c>
    </row>
    <row r="237" spans="21:22" x14ac:dyDescent="0.25">
      <c r="U237" s="211">
        <v>219</v>
      </c>
      <c r="V237" s="178">
        <v>3561720258.7994299</v>
      </c>
    </row>
    <row r="238" spans="21:22" x14ac:dyDescent="0.25">
      <c r="U238" s="211">
        <v>220</v>
      </c>
      <c r="V238" s="178">
        <v>4643118538.4078684</v>
      </c>
    </row>
    <row r="239" spans="21:22" x14ac:dyDescent="0.25">
      <c r="U239" s="211">
        <v>221</v>
      </c>
      <c r="V239" s="178">
        <v>3567729376.7496104</v>
      </c>
    </row>
    <row r="240" spans="21:22" x14ac:dyDescent="0.25">
      <c r="U240" s="211">
        <v>222</v>
      </c>
      <c r="V240" s="178">
        <v>3437339946.9191833</v>
      </c>
    </row>
    <row r="241" spans="21:22" x14ac:dyDescent="0.25">
      <c r="U241" s="211">
        <v>223</v>
      </c>
      <c r="V241" s="178">
        <v>4187531421.381144</v>
      </c>
    </row>
    <row r="242" spans="21:22" x14ac:dyDescent="0.25">
      <c r="U242" s="211">
        <v>224</v>
      </c>
      <c r="V242" s="178">
        <v>3519704527.1119051</v>
      </c>
    </row>
    <row r="243" spans="21:22" x14ac:dyDescent="0.25">
      <c r="U243" s="211">
        <v>225</v>
      </c>
      <c r="V243" s="178">
        <v>3853565189.2509527</v>
      </c>
    </row>
    <row r="244" spans="21:22" x14ac:dyDescent="0.25">
      <c r="U244" s="211">
        <v>226</v>
      </c>
      <c r="V244" s="178">
        <v>3157076838.1124544</v>
      </c>
    </row>
    <row r="245" spans="21:22" x14ac:dyDescent="0.25">
      <c r="U245" s="211">
        <v>227</v>
      </c>
      <c r="V245" s="178">
        <v>4117230997.9536581</v>
      </c>
    </row>
    <row r="246" spans="21:22" x14ac:dyDescent="0.25">
      <c r="U246" s="211">
        <v>228</v>
      </c>
      <c r="V246" s="178">
        <v>3627261861.6783147</v>
      </c>
    </row>
    <row r="247" spans="21:22" x14ac:dyDescent="0.25">
      <c r="U247" s="211">
        <v>229</v>
      </c>
      <c r="V247" s="178">
        <v>3371896816.5833406</v>
      </c>
    </row>
    <row r="248" spans="21:22" x14ac:dyDescent="0.25">
      <c r="U248" s="211">
        <v>230</v>
      </c>
      <c r="V248" s="178">
        <v>3578477189.607317</v>
      </c>
    </row>
    <row r="249" spans="21:22" x14ac:dyDescent="0.25">
      <c r="U249" s="211">
        <v>231</v>
      </c>
      <c r="V249" s="178">
        <v>3457714979.8909202</v>
      </c>
    </row>
    <row r="250" spans="21:22" x14ac:dyDescent="0.25">
      <c r="U250" s="211">
        <v>232</v>
      </c>
      <c r="V250" s="178">
        <v>3407310035.1816125</v>
      </c>
    </row>
    <row r="251" spans="21:22" x14ac:dyDescent="0.25">
      <c r="U251" s="211">
        <v>233</v>
      </c>
      <c r="V251" s="178">
        <v>3202607354.2975364</v>
      </c>
    </row>
    <row r="252" spans="21:22" x14ac:dyDescent="0.25">
      <c r="U252" s="211">
        <v>234</v>
      </c>
      <c r="V252" s="178">
        <v>3790663463.0542755</v>
      </c>
    </row>
    <row r="253" spans="21:22" x14ac:dyDescent="0.25">
      <c r="U253" s="211">
        <v>235</v>
      </c>
      <c r="V253" s="178">
        <v>3713032239.7754326</v>
      </c>
    </row>
    <row r="254" spans="21:22" x14ac:dyDescent="0.25">
      <c r="U254" s="211">
        <v>236</v>
      </c>
      <c r="V254" s="178">
        <v>3567965423.7636738</v>
      </c>
    </row>
    <row r="255" spans="21:22" x14ac:dyDescent="0.25">
      <c r="U255" s="211">
        <v>237</v>
      </c>
      <c r="V255" s="178">
        <v>3367690435.9038692</v>
      </c>
    </row>
    <row r="256" spans="21:22" x14ac:dyDescent="0.25">
      <c r="U256" s="211">
        <v>238</v>
      </c>
      <c r="V256" s="178">
        <v>4303093033.0198803</v>
      </c>
    </row>
    <row r="257" spans="21:22" x14ac:dyDescent="0.25">
      <c r="U257" s="211">
        <v>239</v>
      </c>
      <c r="V257" s="178">
        <v>3859135477.7174931</v>
      </c>
    </row>
    <row r="258" spans="21:22" x14ac:dyDescent="0.25">
      <c r="U258" s="211">
        <v>240</v>
      </c>
      <c r="V258" s="178">
        <v>3594333753.0003657</v>
      </c>
    </row>
    <row r="259" spans="21:22" x14ac:dyDescent="0.25">
      <c r="U259" s="211">
        <v>241</v>
      </c>
      <c r="V259" s="178">
        <v>3051663444.477963</v>
      </c>
    </row>
    <row r="260" spans="21:22" x14ac:dyDescent="0.25">
      <c r="U260" s="211">
        <v>242</v>
      </c>
      <c r="V260" s="178">
        <v>3776067589.3229532</v>
      </c>
    </row>
    <row r="261" spans="21:22" x14ac:dyDescent="0.25">
      <c r="U261" s="211">
        <v>243</v>
      </c>
      <c r="V261" s="178">
        <v>3303760724.2519898</v>
      </c>
    </row>
    <row r="262" spans="21:22" x14ac:dyDescent="0.25">
      <c r="U262" s="211">
        <v>244</v>
      </c>
      <c r="V262" s="178">
        <v>3565833403.7562647</v>
      </c>
    </row>
    <row r="263" spans="21:22" x14ac:dyDescent="0.25">
      <c r="U263" s="211">
        <v>245</v>
      </c>
      <c r="V263" s="178">
        <v>3544831784.8033285</v>
      </c>
    </row>
    <row r="264" spans="21:22" x14ac:dyDescent="0.25">
      <c r="U264" s="211">
        <v>246</v>
      </c>
      <c r="V264" s="178">
        <v>3522015499.1655636</v>
      </c>
    </row>
    <row r="265" spans="21:22" x14ac:dyDescent="0.25">
      <c r="U265" s="211">
        <v>247</v>
      </c>
      <c r="V265" s="178">
        <v>3462940057.3837504</v>
      </c>
    </row>
    <row r="266" spans="21:22" x14ac:dyDescent="0.25">
      <c r="U266" s="211">
        <v>248</v>
      </c>
      <c r="V266" s="178">
        <v>3395188177.0286069</v>
      </c>
    </row>
    <row r="267" spans="21:22" x14ac:dyDescent="0.25">
      <c r="U267" s="211">
        <v>249</v>
      </c>
      <c r="V267" s="178">
        <v>2981146040.5521293</v>
      </c>
    </row>
    <row r="268" spans="21:22" x14ac:dyDescent="0.25">
      <c r="U268" s="211">
        <v>250</v>
      </c>
      <c r="V268" s="178">
        <v>3684169814.0997863</v>
      </c>
    </row>
    <row r="269" spans="21:22" x14ac:dyDescent="0.25">
      <c r="U269" s="211">
        <v>251</v>
      </c>
      <c r="V269" s="178">
        <v>4020634392.0820103</v>
      </c>
    </row>
    <row r="270" spans="21:22" x14ac:dyDescent="0.25">
      <c r="U270" s="211">
        <v>252</v>
      </c>
      <c r="V270" s="178">
        <v>4400941182.5691547</v>
      </c>
    </row>
    <row r="271" spans="21:22" x14ac:dyDescent="0.25">
      <c r="U271" s="211">
        <v>253</v>
      </c>
      <c r="V271" s="178">
        <v>4367390669.4582767</v>
      </c>
    </row>
    <row r="272" spans="21:22" x14ac:dyDescent="0.25">
      <c r="U272" s="211">
        <v>254</v>
      </c>
      <c r="V272" s="178">
        <v>3154778375.3052611</v>
      </c>
    </row>
    <row r="273" spans="21:22" x14ac:dyDescent="0.25">
      <c r="U273" s="211">
        <v>255</v>
      </c>
      <c r="V273" s="178">
        <v>3791896699.0946932</v>
      </c>
    </row>
    <row r="274" spans="21:22" x14ac:dyDescent="0.25">
      <c r="U274" s="211">
        <v>256</v>
      </c>
      <c r="V274" s="178">
        <v>3661601565.5626621</v>
      </c>
    </row>
    <row r="275" spans="21:22" x14ac:dyDescent="0.25">
      <c r="U275" s="211">
        <v>257</v>
      </c>
      <c r="V275" s="178">
        <v>3699439832.8546367</v>
      </c>
    </row>
    <row r="276" spans="21:22" x14ac:dyDescent="0.25">
      <c r="U276" s="211">
        <v>258</v>
      </c>
      <c r="V276" s="178">
        <v>3899343942.4366593</v>
      </c>
    </row>
    <row r="277" spans="21:22" x14ac:dyDescent="0.25">
      <c r="U277" s="211">
        <v>259</v>
      </c>
      <c r="V277" s="178">
        <v>3894616323.1149154</v>
      </c>
    </row>
    <row r="278" spans="21:22" x14ac:dyDescent="0.25">
      <c r="U278" s="211">
        <v>260</v>
      </c>
      <c r="V278" s="178">
        <v>3981834049.992826</v>
      </c>
    </row>
    <row r="279" spans="21:22" x14ac:dyDescent="0.25">
      <c r="U279" s="211">
        <v>261</v>
      </c>
      <c r="V279" s="178">
        <v>3622135557.7306337</v>
      </c>
    </row>
    <row r="280" spans="21:22" x14ac:dyDescent="0.25">
      <c r="U280" s="211">
        <v>262</v>
      </c>
      <c r="V280" s="178">
        <v>3441989148.4789705</v>
      </c>
    </row>
    <row r="281" spans="21:22" x14ac:dyDescent="0.25">
      <c r="U281" s="211">
        <v>263</v>
      </c>
      <c r="V281" s="178">
        <v>3507214884.0723825</v>
      </c>
    </row>
    <row r="282" spans="21:22" x14ac:dyDescent="0.25">
      <c r="U282" s="211">
        <v>264</v>
      </c>
      <c r="V282" s="178">
        <v>2937119776.4048615</v>
      </c>
    </row>
    <row r="283" spans="21:22" x14ac:dyDescent="0.25">
      <c r="U283" s="211">
        <v>265</v>
      </c>
      <c r="V283" s="178">
        <v>3521473003.9906988</v>
      </c>
    </row>
    <row r="284" spans="21:22" x14ac:dyDescent="0.25">
      <c r="U284" s="211">
        <v>266</v>
      </c>
      <c r="V284" s="178">
        <v>3768898197.8698087</v>
      </c>
    </row>
    <row r="285" spans="21:22" x14ac:dyDescent="0.25">
      <c r="U285" s="211">
        <v>267</v>
      </c>
      <c r="V285" s="178">
        <v>3112968911.8443537</v>
      </c>
    </row>
    <row r="286" spans="21:22" x14ac:dyDescent="0.25">
      <c r="U286" s="211">
        <v>268</v>
      </c>
      <c r="V286" s="178">
        <v>4085056077.8822503</v>
      </c>
    </row>
    <row r="287" spans="21:22" x14ac:dyDescent="0.25">
      <c r="U287" s="211">
        <v>269</v>
      </c>
      <c r="V287" s="178">
        <v>3714564726.1972513</v>
      </c>
    </row>
    <row r="288" spans="21:22" x14ac:dyDescent="0.25">
      <c r="U288" s="211">
        <v>270</v>
      </c>
      <c r="V288" s="178">
        <v>3176561593.3482447</v>
      </c>
    </row>
    <row r="289" spans="21:22" x14ac:dyDescent="0.25">
      <c r="U289" s="211">
        <v>271</v>
      </c>
      <c r="V289" s="178">
        <v>3792953151.780292</v>
      </c>
    </row>
    <row r="290" spans="21:22" x14ac:dyDescent="0.25">
      <c r="U290" s="211">
        <v>272</v>
      </c>
      <c r="V290" s="178">
        <v>3844621549.8956151</v>
      </c>
    </row>
    <row r="291" spans="21:22" x14ac:dyDescent="0.25">
      <c r="U291" s="211">
        <v>273</v>
      </c>
      <c r="V291" s="178">
        <v>4226357128.5040665</v>
      </c>
    </row>
    <row r="292" spans="21:22" x14ac:dyDescent="0.25">
      <c r="U292" s="211">
        <v>274</v>
      </c>
      <c r="V292" s="178">
        <v>4035985774.4463372</v>
      </c>
    </row>
    <row r="293" spans="21:22" x14ac:dyDescent="0.25">
      <c r="U293" s="211">
        <v>275</v>
      </c>
      <c r="V293" s="178">
        <v>3598595368.4915924</v>
      </c>
    </row>
    <row r="294" spans="21:22" x14ac:dyDescent="0.25">
      <c r="U294" s="211">
        <v>276</v>
      </c>
      <c r="V294" s="178">
        <v>3779678019.9976125</v>
      </c>
    </row>
    <row r="295" spans="21:22" x14ac:dyDescent="0.25">
      <c r="U295" s="211">
        <v>277</v>
      </c>
      <c r="V295" s="178">
        <v>3319990650.763659</v>
      </c>
    </row>
    <row r="296" spans="21:22" x14ac:dyDescent="0.25">
      <c r="U296" s="211">
        <v>278</v>
      </c>
      <c r="V296" s="178">
        <v>3295585055.5830469</v>
      </c>
    </row>
    <row r="297" spans="21:22" x14ac:dyDescent="0.25">
      <c r="U297" s="211">
        <v>279</v>
      </c>
      <c r="V297" s="178">
        <v>3728903362.4405627</v>
      </c>
    </row>
    <row r="298" spans="21:22" x14ac:dyDescent="0.25">
      <c r="U298" s="211">
        <v>280</v>
      </c>
      <c r="V298" s="178">
        <v>3582339103.6880488</v>
      </c>
    </row>
    <row r="299" spans="21:22" x14ac:dyDescent="0.25">
      <c r="U299" s="211">
        <v>281</v>
      </c>
      <c r="V299" s="178">
        <v>3522593052.1830816</v>
      </c>
    </row>
    <row r="300" spans="21:22" x14ac:dyDescent="0.25">
      <c r="U300" s="211">
        <v>282</v>
      </c>
      <c r="V300" s="178">
        <v>3687840235.4777851</v>
      </c>
    </row>
    <row r="301" spans="21:22" x14ac:dyDescent="0.25">
      <c r="U301" s="211">
        <v>283</v>
      </c>
      <c r="V301" s="178">
        <v>4051132746.990169</v>
      </c>
    </row>
    <row r="302" spans="21:22" x14ac:dyDescent="0.25">
      <c r="U302" s="211">
        <v>284</v>
      </c>
      <c r="V302" s="178">
        <v>4086713971.3583117</v>
      </c>
    </row>
    <row r="303" spans="21:22" x14ac:dyDescent="0.25">
      <c r="U303" s="211">
        <v>285</v>
      </c>
      <c r="V303" s="178">
        <v>3482356682.0500379</v>
      </c>
    </row>
    <row r="304" spans="21:22" x14ac:dyDescent="0.25">
      <c r="U304" s="211">
        <v>286</v>
      </c>
      <c r="V304" s="178">
        <v>3895277405.0205979</v>
      </c>
    </row>
    <row r="305" spans="21:22" x14ac:dyDescent="0.25">
      <c r="U305" s="211">
        <v>287</v>
      </c>
      <c r="V305" s="178">
        <v>3682312521.5706954</v>
      </c>
    </row>
    <row r="306" spans="21:22" x14ac:dyDescent="0.25">
      <c r="U306" s="211">
        <v>288</v>
      </c>
      <c r="V306" s="178">
        <v>3678654443.5221109</v>
      </c>
    </row>
    <row r="307" spans="21:22" x14ac:dyDescent="0.25">
      <c r="U307" s="211">
        <v>289</v>
      </c>
      <c r="V307" s="178">
        <v>3535014897.3811727</v>
      </c>
    </row>
    <row r="308" spans="21:22" x14ac:dyDescent="0.25">
      <c r="U308" s="211">
        <v>290</v>
      </c>
      <c r="V308" s="178">
        <v>3598378811.9177332</v>
      </c>
    </row>
    <row r="309" spans="21:22" x14ac:dyDescent="0.25">
      <c r="U309" s="211">
        <v>291</v>
      </c>
      <c r="V309" s="178">
        <v>3425532759.5882058</v>
      </c>
    </row>
    <row r="310" spans="21:22" x14ac:dyDescent="0.25">
      <c r="U310" s="211">
        <v>292</v>
      </c>
      <c r="V310" s="178">
        <v>3671032181.850143</v>
      </c>
    </row>
    <row r="311" spans="21:22" x14ac:dyDescent="0.25">
      <c r="U311" s="211">
        <v>293</v>
      </c>
      <c r="V311" s="178">
        <v>3929505538.6503458</v>
      </c>
    </row>
    <row r="312" spans="21:22" x14ac:dyDescent="0.25">
      <c r="U312" s="211">
        <v>294</v>
      </c>
      <c r="V312" s="178">
        <v>3655051975.8214569</v>
      </c>
    </row>
    <row r="313" spans="21:22" x14ac:dyDescent="0.25">
      <c r="U313" s="211">
        <v>295</v>
      </c>
      <c r="V313" s="178">
        <v>3714051099.14007</v>
      </c>
    </row>
    <row r="314" spans="21:22" x14ac:dyDescent="0.25">
      <c r="U314" s="211">
        <v>296</v>
      </c>
      <c r="V314" s="178">
        <v>3815699716.8336205</v>
      </c>
    </row>
    <row r="315" spans="21:22" x14ac:dyDescent="0.25">
      <c r="U315" s="211">
        <v>297</v>
      </c>
      <c r="V315" s="178">
        <v>3365499331.1737442</v>
      </c>
    </row>
    <row r="316" spans="21:22" x14ac:dyDescent="0.25">
      <c r="U316" s="211">
        <v>298</v>
      </c>
      <c r="V316" s="178">
        <v>3451797875.595675</v>
      </c>
    </row>
    <row r="317" spans="21:22" x14ac:dyDescent="0.25">
      <c r="U317" s="211">
        <v>299</v>
      </c>
      <c r="V317" s="178">
        <v>4141978636.614687</v>
      </c>
    </row>
    <row r="318" spans="21:22" x14ac:dyDescent="0.25">
      <c r="U318" s="211">
        <v>300</v>
      </c>
      <c r="V318" s="178">
        <v>3230368788.6246157</v>
      </c>
    </row>
    <row r="319" spans="21:22" x14ac:dyDescent="0.25">
      <c r="U319" s="211">
        <v>301</v>
      </c>
      <c r="V319" s="178">
        <v>3608538148.9509473</v>
      </c>
    </row>
    <row r="320" spans="21:22" x14ac:dyDescent="0.25">
      <c r="U320" s="211">
        <v>302</v>
      </c>
      <c r="V320" s="178">
        <v>2992756309.9543266</v>
      </c>
    </row>
    <row r="321" spans="21:22" x14ac:dyDescent="0.25">
      <c r="U321" s="211">
        <v>303</v>
      </c>
      <c r="V321" s="178">
        <v>3553486695.7190037</v>
      </c>
    </row>
    <row r="322" spans="21:22" x14ac:dyDescent="0.25">
      <c r="U322" s="211">
        <v>304</v>
      </c>
      <c r="V322" s="178">
        <v>3485991661.0305653</v>
      </c>
    </row>
    <row r="323" spans="21:22" x14ac:dyDescent="0.25">
      <c r="U323" s="211">
        <v>305</v>
      </c>
      <c r="V323" s="178">
        <v>3894900375.2813087</v>
      </c>
    </row>
    <row r="324" spans="21:22" x14ac:dyDescent="0.25">
      <c r="U324" s="211">
        <v>306</v>
      </c>
      <c r="V324" s="178">
        <v>3654563279.0029807</v>
      </c>
    </row>
    <row r="325" spans="21:22" x14ac:dyDescent="0.25">
      <c r="U325" s="211">
        <v>307</v>
      </c>
      <c r="V325" s="178">
        <v>3570595661.8197131</v>
      </c>
    </row>
    <row r="326" spans="21:22" x14ac:dyDescent="0.25">
      <c r="U326" s="211">
        <v>308</v>
      </c>
      <c r="V326" s="178">
        <v>3237637594.9907117</v>
      </c>
    </row>
    <row r="327" spans="21:22" x14ac:dyDescent="0.25">
      <c r="U327" s="211">
        <v>309</v>
      </c>
      <c r="V327" s="178">
        <v>3118377760.0972643</v>
      </c>
    </row>
    <row r="328" spans="21:22" x14ac:dyDescent="0.25">
      <c r="U328" s="211">
        <v>310</v>
      </c>
      <c r="V328" s="178">
        <v>3780301420.3729668</v>
      </c>
    </row>
    <row r="329" spans="21:22" x14ac:dyDescent="0.25">
      <c r="U329" s="211">
        <v>311</v>
      </c>
      <c r="V329" s="178">
        <v>3629843048.3939695</v>
      </c>
    </row>
    <row r="330" spans="21:22" x14ac:dyDescent="0.25">
      <c r="U330" s="211">
        <v>312</v>
      </c>
      <c r="V330" s="178">
        <v>3346549769.0217066</v>
      </c>
    </row>
    <row r="331" spans="21:22" x14ac:dyDescent="0.25">
      <c r="U331" s="211">
        <v>313</v>
      </c>
      <c r="V331" s="178">
        <v>3690325134.8193455</v>
      </c>
    </row>
    <row r="332" spans="21:22" x14ac:dyDescent="0.25">
      <c r="U332" s="211">
        <v>314</v>
      </c>
      <c r="V332" s="178">
        <v>3357836199.2860594</v>
      </c>
    </row>
    <row r="333" spans="21:22" x14ac:dyDescent="0.25">
      <c r="U333" s="211">
        <v>315</v>
      </c>
      <c r="V333" s="178">
        <v>3444793895.521874</v>
      </c>
    </row>
    <row r="334" spans="21:22" x14ac:dyDescent="0.25">
      <c r="U334" s="211">
        <v>316</v>
      </c>
      <c r="V334" s="178">
        <v>3619952517.1699934</v>
      </c>
    </row>
    <row r="335" spans="21:22" x14ac:dyDescent="0.25">
      <c r="U335" s="211">
        <v>317</v>
      </c>
      <c r="V335" s="178">
        <v>3103172164.8000879</v>
      </c>
    </row>
    <row r="336" spans="21:22" x14ac:dyDescent="0.25">
      <c r="U336" s="211">
        <v>318</v>
      </c>
      <c r="V336" s="178">
        <v>3772463080.0916772</v>
      </c>
    </row>
    <row r="337" spans="21:22" x14ac:dyDescent="0.25">
      <c r="U337" s="211">
        <v>319</v>
      </c>
      <c r="V337" s="178">
        <v>4052543375.3758998</v>
      </c>
    </row>
    <row r="338" spans="21:22" x14ac:dyDescent="0.25">
      <c r="U338" s="211">
        <v>320</v>
      </c>
      <c r="V338" s="178">
        <v>3560343831.849473</v>
      </c>
    </row>
    <row r="339" spans="21:22" x14ac:dyDescent="0.25">
      <c r="U339" s="211">
        <v>321</v>
      </c>
      <c r="V339" s="178">
        <v>3843198845.0758014</v>
      </c>
    </row>
    <row r="340" spans="21:22" x14ac:dyDescent="0.25">
      <c r="U340" s="211">
        <v>322</v>
      </c>
      <c r="V340" s="178">
        <v>3086582022.1934276</v>
      </c>
    </row>
    <row r="341" spans="21:22" x14ac:dyDescent="0.25">
      <c r="U341" s="211">
        <v>323</v>
      </c>
      <c r="V341" s="178">
        <v>3118377299.4633083</v>
      </c>
    </row>
    <row r="342" spans="21:22" x14ac:dyDescent="0.25">
      <c r="U342" s="211">
        <v>324</v>
      </c>
      <c r="V342" s="178">
        <v>3499688387.9787159</v>
      </c>
    </row>
    <row r="343" spans="21:22" x14ac:dyDescent="0.25">
      <c r="U343" s="211">
        <v>325</v>
      </c>
      <c r="V343" s="178">
        <v>3618185551.9635401</v>
      </c>
    </row>
    <row r="344" spans="21:22" x14ac:dyDescent="0.25">
      <c r="U344" s="211">
        <v>326</v>
      </c>
      <c r="V344" s="178">
        <v>3746472752.6515079</v>
      </c>
    </row>
    <row r="345" spans="21:22" x14ac:dyDescent="0.25">
      <c r="U345" s="211">
        <v>327</v>
      </c>
      <c r="V345" s="178">
        <v>3786539012.170598</v>
      </c>
    </row>
    <row r="346" spans="21:22" x14ac:dyDescent="0.25">
      <c r="U346" s="211">
        <v>328</v>
      </c>
      <c r="V346" s="178">
        <v>3522727889.8437748</v>
      </c>
    </row>
    <row r="347" spans="21:22" x14ac:dyDescent="0.25">
      <c r="U347" s="211">
        <v>329</v>
      </c>
      <c r="V347" s="178">
        <v>3719416355.1910968</v>
      </c>
    </row>
    <row r="348" spans="21:22" x14ac:dyDescent="0.25">
      <c r="U348" s="211">
        <v>330</v>
      </c>
      <c r="V348" s="178">
        <v>3414428362.2011013</v>
      </c>
    </row>
    <row r="349" spans="21:22" x14ac:dyDescent="0.25">
      <c r="U349" s="211">
        <v>331</v>
      </c>
      <c r="V349" s="178">
        <v>3576109929.5777254</v>
      </c>
    </row>
    <row r="350" spans="21:22" x14ac:dyDescent="0.25">
      <c r="U350" s="211">
        <v>332</v>
      </c>
      <c r="V350" s="178">
        <v>3962172705.6747003</v>
      </c>
    </row>
    <row r="351" spans="21:22" x14ac:dyDescent="0.25">
      <c r="U351" s="211">
        <v>333</v>
      </c>
      <c r="V351" s="178">
        <v>3540415220.2147679</v>
      </c>
    </row>
    <row r="352" spans="21:22" x14ac:dyDescent="0.25">
      <c r="U352" s="211">
        <v>334</v>
      </c>
      <c r="V352" s="178">
        <v>3501574657.9678564</v>
      </c>
    </row>
    <row r="353" spans="21:22" x14ac:dyDescent="0.25">
      <c r="U353" s="211">
        <v>335</v>
      </c>
      <c r="V353" s="178">
        <v>3555208307.6756296</v>
      </c>
    </row>
    <row r="354" spans="21:22" x14ac:dyDescent="0.25">
      <c r="U354" s="211">
        <v>336</v>
      </c>
      <c r="V354" s="178">
        <v>3662615381.9900494</v>
      </c>
    </row>
    <row r="355" spans="21:22" x14ac:dyDescent="0.25">
      <c r="U355" s="211">
        <v>337</v>
      </c>
      <c r="V355" s="178">
        <v>3772687792.7575798</v>
      </c>
    </row>
    <row r="356" spans="21:22" x14ac:dyDescent="0.25">
      <c r="U356" s="211">
        <v>338</v>
      </c>
      <c r="V356" s="178">
        <v>3617650180.0906196</v>
      </c>
    </row>
    <row r="357" spans="21:22" x14ac:dyDescent="0.25">
      <c r="U357" s="211">
        <v>339</v>
      </c>
      <c r="V357" s="178">
        <v>3414759227.278686</v>
      </c>
    </row>
    <row r="358" spans="21:22" x14ac:dyDescent="0.25">
      <c r="U358" s="211">
        <v>340</v>
      </c>
      <c r="V358" s="178">
        <v>3611481148.6373215</v>
      </c>
    </row>
    <row r="359" spans="21:22" x14ac:dyDescent="0.25">
      <c r="U359" s="211">
        <v>341</v>
      </c>
      <c r="V359" s="178">
        <v>3561618184.216805</v>
      </c>
    </row>
    <row r="360" spans="21:22" x14ac:dyDescent="0.25">
      <c r="U360" s="211">
        <v>342</v>
      </c>
      <c r="V360" s="178">
        <v>3362908014.8476267</v>
      </c>
    </row>
    <row r="361" spans="21:22" x14ac:dyDescent="0.25">
      <c r="U361" s="211">
        <v>343</v>
      </c>
      <c r="V361" s="178">
        <v>4103464408.1038775</v>
      </c>
    </row>
    <row r="362" spans="21:22" x14ac:dyDescent="0.25">
      <c r="U362" s="211">
        <v>344</v>
      </c>
      <c r="V362" s="178">
        <v>4196163164.8059206</v>
      </c>
    </row>
    <row r="363" spans="21:22" x14ac:dyDescent="0.25">
      <c r="U363" s="211">
        <v>345</v>
      </c>
      <c r="V363" s="178">
        <v>3733857117.2156954</v>
      </c>
    </row>
    <row r="364" spans="21:22" x14ac:dyDescent="0.25">
      <c r="U364" s="211">
        <v>346</v>
      </c>
      <c r="V364" s="178">
        <v>3555908458.7147913</v>
      </c>
    </row>
    <row r="365" spans="21:22" x14ac:dyDescent="0.25">
      <c r="U365" s="211">
        <v>347</v>
      </c>
      <c r="V365" s="178">
        <v>3893626162.3699102</v>
      </c>
    </row>
    <row r="366" spans="21:22" x14ac:dyDescent="0.25">
      <c r="U366" s="211">
        <v>348</v>
      </c>
      <c r="V366" s="178">
        <v>3330109879.5243316</v>
      </c>
    </row>
    <row r="367" spans="21:22" x14ac:dyDescent="0.25">
      <c r="U367" s="211">
        <v>349</v>
      </c>
      <c r="V367" s="178">
        <v>3756927928.4334717</v>
      </c>
    </row>
    <row r="368" spans="21:22" x14ac:dyDescent="0.25">
      <c r="U368" s="211">
        <v>350</v>
      </c>
      <c r="V368" s="178">
        <v>3679508740.0264473</v>
      </c>
    </row>
    <row r="369" spans="21:22" x14ac:dyDescent="0.25">
      <c r="U369" s="211">
        <v>351</v>
      </c>
      <c r="V369" s="178">
        <v>3667720118.4897161</v>
      </c>
    </row>
    <row r="370" spans="21:22" x14ac:dyDescent="0.25">
      <c r="U370" s="211">
        <v>352</v>
      </c>
      <c r="V370" s="178">
        <v>3330699805.0709319</v>
      </c>
    </row>
    <row r="371" spans="21:22" x14ac:dyDescent="0.25">
      <c r="U371" s="211">
        <v>353</v>
      </c>
      <c r="V371" s="178">
        <v>3160079205.9448676</v>
      </c>
    </row>
    <row r="372" spans="21:22" x14ac:dyDescent="0.25">
      <c r="U372" s="211">
        <v>354</v>
      </c>
      <c r="V372" s="178">
        <v>3474351129.5571632</v>
      </c>
    </row>
    <row r="373" spans="21:22" x14ac:dyDescent="0.25">
      <c r="U373" s="211">
        <v>355</v>
      </c>
      <c r="V373" s="178">
        <v>3600256298.1561513</v>
      </c>
    </row>
    <row r="374" spans="21:22" x14ac:dyDescent="0.25">
      <c r="U374" s="211">
        <v>356</v>
      </c>
      <c r="V374" s="178">
        <v>4069266624.5538139</v>
      </c>
    </row>
    <row r="375" spans="21:22" x14ac:dyDescent="0.25">
      <c r="U375" s="211">
        <v>357</v>
      </c>
      <c r="V375" s="178">
        <v>3727554375.3075972</v>
      </c>
    </row>
    <row r="376" spans="21:22" x14ac:dyDescent="0.25">
      <c r="U376" s="211">
        <v>358</v>
      </c>
      <c r="V376" s="178">
        <v>3165100747.7260327</v>
      </c>
    </row>
    <row r="377" spans="21:22" x14ac:dyDescent="0.25">
      <c r="U377" s="211">
        <v>359</v>
      </c>
      <c r="V377" s="178">
        <v>3885486696.019382</v>
      </c>
    </row>
    <row r="378" spans="21:22" x14ac:dyDescent="0.25">
      <c r="U378" s="211">
        <v>360</v>
      </c>
      <c r="V378" s="178">
        <v>3722177061.5260987</v>
      </c>
    </row>
    <row r="379" spans="21:22" x14ac:dyDescent="0.25">
      <c r="U379" s="211">
        <v>361</v>
      </c>
      <c r="V379" s="178">
        <v>3628631501.0925317</v>
      </c>
    </row>
    <row r="380" spans="21:22" x14ac:dyDescent="0.25">
      <c r="U380" s="211">
        <v>362</v>
      </c>
      <c r="V380" s="178">
        <v>3260586207.4832168</v>
      </c>
    </row>
    <row r="381" spans="21:22" x14ac:dyDescent="0.25">
      <c r="U381" s="211">
        <v>363</v>
      </c>
      <c r="V381" s="178">
        <v>3623257602.2882457</v>
      </c>
    </row>
    <row r="382" spans="21:22" x14ac:dyDescent="0.25">
      <c r="U382" s="211">
        <v>364</v>
      </c>
      <c r="V382" s="178">
        <v>3912724809.9586205</v>
      </c>
    </row>
    <row r="383" spans="21:22" x14ac:dyDescent="0.25">
      <c r="U383" s="211">
        <v>365</v>
      </c>
      <c r="V383" s="178">
        <v>3986521566.2776551</v>
      </c>
    </row>
    <row r="384" spans="21:22" x14ac:dyDescent="0.25">
      <c r="U384" s="211">
        <v>366</v>
      </c>
      <c r="V384" s="178">
        <v>3492856321.5000982</v>
      </c>
    </row>
    <row r="385" spans="21:22" x14ac:dyDescent="0.25">
      <c r="U385" s="211">
        <v>367</v>
      </c>
      <c r="V385" s="178">
        <v>3614292358.2094812</v>
      </c>
    </row>
    <row r="386" spans="21:22" x14ac:dyDescent="0.25">
      <c r="U386" s="211">
        <v>368</v>
      </c>
      <c r="V386" s="178">
        <v>3312351542.7452855</v>
      </c>
    </row>
    <row r="387" spans="21:22" x14ac:dyDescent="0.25">
      <c r="U387" s="211">
        <v>369</v>
      </c>
      <c r="V387" s="178">
        <v>3383111080.1951718</v>
      </c>
    </row>
    <row r="388" spans="21:22" x14ac:dyDescent="0.25">
      <c r="U388" s="211">
        <v>370</v>
      </c>
      <c r="V388" s="178">
        <v>3508739389.6035471</v>
      </c>
    </row>
    <row r="389" spans="21:22" x14ac:dyDescent="0.25">
      <c r="U389" s="211">
        <v>371</v>
      </c>
      <c r="V389" s="178">
        <v>3464513416.237824</v>
      </c>
    </row>
    <row r="390" spans="21:22" x14ac:dyDescent="0.25">
      <c r="U390" s="211">
        <v>372</v>
      </c>
      <c r="V390" s="178">
        <v>3761004947.8786097</v>
      </c>
    </row>
    <row r="391" spans="21:22" x14ac:dyDescent="0.25">
      <c r="U391" s="211">
        <v>373</v>
      </c>
      <c r="V391" s="178">
        <v>3981771077.3193016</v>
      </c>
    </row>
    <row r="392" spans="21:22" x14ac:dyDescent="0.25">
      <c r="U392" s="211">
        <v>374</v>
      </c>
      <c r="V392" s="178">
        <v>4132486300.7901316</v>
      </c>
    </row>
    <row r="393" spans="21:22" x14ac:dyDescent="0.25">
      <c r="U393" s="211">
        <v>375</v>
      </c>
      <c r="V393" s="178">
        <v>3484870908.6309428</v>
      </c>
    </row>
    <row r="394" spans="21:22" x14ac:dyDescent="0.25">
      <c r="U394" s="211">
        <v>376</v>
      </c>
      <c r="V394" s="178">
        <v>3802806121.2358322</v>
      </c>
    </row>
    <row r="395" spans="21:22" x14ac:dyDescent="0.25">
      <c r="U395" s="211">
        <v>377</v>
      </c>
      <c r="V395" s="178">
        <v>3651145616.6346927</v>
      </c>
    </row>
    <row r="396" spans="21:22" x14ac:dyDescent="0.25">
      <c r="U396" s="211">
        <v>378</v>
      </c>
      <c r="V396" s="178">
        <v>3379581715.6130176</v>
      </c>
    </row>
    <row r="397" spans="21:22" x14ac:dyDescent="0.25">
      <c r="U397" s="211">
        <v>379</v>
      </c>
      <c r="V397" s="178">
        <v>4087579227.686655</v>
      </c>
    </row>
    <row r="398" spans="21:22" x14ac:dyDescent="0.25">
      <c r="U398" s="211">
        <v>380</v>
      </c>
      <c r="V398" s="178">
        <v>3775500477.6743112</v>
      </c>
    </row>
    <row r="399" spans="21:22" x14ac:dyDescent="0.25">
      <c r="U399" s="211">
        <v>381</v>
      </c>
      <c r="V399" s="178">
        <v>3723736859.4078112</v>
      </c>
    </row>
    <row r="400" spans="21:22" x14ac:dyDescent="0.25">
      <c r="U400" s="211">
        <v>382</v>
      </c>
      <c r="V400" s="178">
        <v>3296765182.3666697</v>
      </c>
    </row>
    <row r="401" spans="21:22" x14ac:dyDescent="0.25">
      <c r="U401" s="211">
        <v>383</v>
      </c>
      <c r="V401" s="178">
        <v>3374697726.5734477</v>
      </c>
    </row>
    <row r="402" spans="21:22" x14ac:dyDescent="0.25">
      <c r="U402" s="211">
        <v>384</v>
      </c>
      <c r="V402" s="178">
        <v>3241917448.1495605</v>
      </c>
    </row>
    <row r="403" spans="21:22" x14ac:dyDescent="0.25">
      <c r="U403" s="211">
        <v>385</v>
      </c>
      <c r="V403" s="178">
        <v>3640884227.9197168</v>
      </c>
    </row>
    <row r="404" spans="21:22" x14ac:dyDescent="0.25">
      <c r="U404" s="211">
        <v>386</v>
      </c>
      <c r="V404" s="178">
        <v>3437247372.8053827</v>
      </c>
    </row>
    <row r="405" spans="21:22" x14ac:dyDescent="0.25">
      <c r="U405" s="211">
        <v>387</v>
      </c>
      <c r="V405" s="178">
        <v>3544198877.4213557</v>
      </c>
    </row>
    <row r="406" spans="21:22" x14ac:dyDescent="0.25">
      <c r="U406" s="211">
        <v>388</v>
      </c>
      <c r="V406" s="178">
        <v>3584206186.7396212</v>
      </c>
    </row>
    <row r="407" spans="21:22" x14ac:dyDescent="0.25">
      <c r="U407" s="211">
        <v>389</v>
      </c>
      <c r="V407" s="178">
        <v>3396832533.8154135</v>
      </c>
    </row>
    <row r="408" spans="21:22" x14ac:dyDescent="0.25">
      <c r="U408" s="211">
        <v>390</v>
      </c>
      <c r="V408" s="178">
        <v>4216387619.1096573</v>
      </c>
    </row>
    <row r="409" spans="21:22" x14ac:dyDescent="0.25">
      <c r="U409" s="211">
        <v>391</v>
      </c>
      <c r="V409" s="178">
        <v>3246417169.8619022</v>
      </c>
    </row>
    <row r="410" spans="21:22" x14ac:dyDescent="0.25">
      <c r="U410" s="211">
        <v>392</v>
      </c>
      <c r="V410" s="178">
        <v>3981261001.5293217</v>
      </c>
    </row>
    <row r="411" spans="21:22" x14ac:dyDescent="0.25">
      <c r="U411" s="211">
        <v>393</v>
      </c>
      <c r="V411" s="178">
        <v>3931374873.9641418</v>
      </c>
    </row>
    <row r="412" spans="21:22" x14ac:dyDescent="0.25">
      <c r="U412" s="211">
        <v>394</v>
      </c>
      <c r="V412" s="178">
        <v>3593721293.6352386</v>
      </c>
    </row>
    <row r="413" spans="21:22" x14ac:dyDescent="0.25">
      <c r="U413" s="211">
        <v>395</v>
      </c>
      <c r="V413" s="178">
        <v>3832577862.6179638</v>
      </c>
    </row>
    <row r="414" spans="21:22" x14ac:dyDescent="0.25">
      <c r="U414" s="211">
        <v>396</v>
      </c>
      <c r="V414" s="178">
        <v>3470116462.657053</v>
      </c>
    </row>
    <row r="415" spans="21:22" x14ac:dyDescent="0.25">
      <c r="U415" s="211">
        <v>397</v>
      </c>
      <c r="V415" s="178">
        <v>3432383945.541079</v>
      </c>
    </row>
    <row r="416" spans="21:22" x14ac:dyDescent="0.25">
      <c r="U416" s="211">
        <v>398</v>
      </c>
      <c r="V416" s="178">
        <v>3634596438.1236973</v>
      </c>
    </row>
    <row r="417" spans="21:22" x14ac:dyDescent="0.25">
      <c r="U417" s="211">
        <v>399</v>
      </c>
      <c r="V417" s="178">
        <v>3402487953.3966546</v>
      </c>
    </row>
    <row r="418" spans="21:22" x14ac:dyDescent="0.25">
      <c r="U418" s="211">
        <v>400</v>
      </c>
      <c r="V418" s="178">
        <v>4345347452.0389814</v>
      </c>
    </row>
    <row r="419" spans="21:22" x14ac:dyDescent="0.25">
      <c r="U419" s="211">
        <v>401</v>
      </c>
      <c r="V419" s="178">
        <v>3870955630.6851397</v>
      </c>
    </row>
    <row r="420" spans="21:22" x14ac:dyDescent="0.25">
      <c r="U420" s="211">
        <v>402</v>
      </c>
      <c r="V420" s="178">
        <v>3620128035.3033137</v>
      </c>
    </row>
    <row r="421" spans="21:22" x14ac:dyDescent="0.25">
      <c r="U421" s="211">
        <v>403</v>
      </c>
      <c r="V421" s="178">
        <v>3456151034.772634</v>
      </c>
    </row>
    <row r="422" spans="21:22" x14ac:dyDescent="0.25">
      <c r="U422" s="211">
        <v>404</v>
      </c>
      <c r="V422" s="178">
        <v>3416179690.7356963</v>
      </c>
    </row>
    <row r="423" spans="21:22" x14ac:dyDescent="0.25">
      <c r="U423" s="211">
        <v>405</v>
      </c>
      <c r="V423" s="178">
        <v>3952619870.3362608</v>
      </c>
    </row>
    <row r="424" spans="21:22" x14ac:dyDescent="0.25">
      <c r="U424" s="211">
        <v>406</v>
      </c>
      <c r="V424" s="178">
        <v>3512891590.9318013</v>
      </c>
    </row>
    <row r="425" spans="21:22" x14ac:dyDescent="0.25">
      <c r="U425" s="211">
        <v>407</v>
      </c>
      <c r="V425" s="178">
        <v>4080787719.6573033</v>
      </c>
    </row>
    <row r="426" spans="21:22" x14ac:dyDescent="0.25">
      <c r="U426" s="211">
        <v>408</v>
      </c>
      <c r="V426" s="178">
        <v>3665743672.7778268</v>
      </c>
    </row>
    <row r="427" spans="21:22" x14ac:dyDescent="0.25">
      <c r="U427" s="211">
        <v>409</v>
      </c>
      <c r="V427" s="178">
        <v>3066885240.8289371</v>
      </c>
    </row>
    <row r="428" spans="21:22" x14ac:dyDescent="0.25">
      <c r="U428" s="211">
        <v>410</v>
      </c>
      <c r="V428" s="178">
        <v>3393466570.2947893</v>
      </c>
    </row>
    <row r="429" spans="21:22" x14ac:dyDescent="0.25">
      <c r="U429" s="211">
        <v>411</v>
      </c>
      <c r="V429" s="178">
        <v>3844979190.0424142</v>
      </c>
    </row>
    <row r="430" spans="21:22" x14ac:dyDescent="0.25">
      <c r="U430" s="211">
        <v>412</v>
      </c>
      <c r="V430" s="178">
        <v>3783213585.3789649</v>
      </c>
    </row>
    <row r="431" spans="21:22" x14ac:dyDescent="0.25">
      <c r="U431" s="211">
        <v>413</v>
      </c>
      <c r="V431" s="178">
        <v>3872758370.400044</v>
      </c>
    </row>
    <row r="432" spans="21:22" x14ac:dyDescent="0.25">
      <c r="U432" s="211">
        <v>414</v>
      </c>
      <c r="V432" s="178">
        <v>3964119692.3895431</v>
      </c>
    </row>
    <row r="433" spans="21:22" x14ac:dyDescent="0.25">
      <c r="U433" s="211">
        <v>415</v>
      </c>
      <c r="V433" s="178">
        <v>3726563677.4161239</v>
      </c>
    </row>
    <row r="434" spans="21:22" x14ac:dyDescent="0.25">
      <c r="U434" s="211">
        <v>416</v>
      </c>
      <c r="V434" s="178">
        <v>3257861732.9729228</v>
      </c>
    </row>
    <row r="435" spans="21:22" x14ac:dyDescent="0.25">
      <c r="U435" s="211">
        <v>417</v>
      </c>
      <c r="V435" s="178">
        <v>3674170501.5742126</v>
      </c>
    </row>
    <row r="436" spans="21:22" x14ac:dyDescent="0.25">
      <c r="U436" s="211">
        <v>418</v>
      </c>
      <c r="V436" s="178">
        <v>3866694967.5817947</v>
      </c>
    </row>
    <row r="437" spans="21:22" x14ac:dyDescent="0.25">
      <c r="U437" s="211">
        <v>419</v>
      </c>
      <c r="V437" s="178">
        <v>3428272907.5987887</v>
      </c>
    </row>
    <row r="438" spans="21:22" x14ac:dyDescent="0.25">
      <c r="U438" s="211">
        <v>420</v>
      </c>
      <c r="V438" s="178">
        <v>3430953775.1251187</v>
      </c>
    </row>
    <row r="439" spans="21:22" x14ac:dyDescent="0.25">
      <c r="U439" s="211">
        <v>421</v>
      </c>
      <c r="V439" s="178">
        <v>3066820120.1386271</v>
      </c>
    </row>
    <row r="440" spans="21:22" x14ac:dyDescent="0.25">
      <c r="U440" s="211">
        <v>422</v>
      </c>
      <c r="V440" s="178">
        <v>3931235861.8806024</v>
      </c>
    </row>
    <row r="441" spans="21:22" x14ac:dyDescent="0.25">
      <c r="U441" s="211">
        <v>423</v>
      </c>
      <c r="V441" s="178">
        <v>4046765236.5345955</v>
      </c>
    </row>
    <row r="442" spans="21:22" x14ac:dyDescent="0.25">
      <c r="U442" s="211">
        <v>424</v>
      </c>
      <c r="V442" s="178">
        <v>3689834927.6980786</v>
      </c>
    </row>
    <row r="443" spans="21:22" x14ac:dyDescent="0.25">
      <c r="U443" s="211">
        <v>425</v>
      </c>
      <c r="V443" s="178">
        <v>3174710172.0527062</v>
      </c>
    </row>
    <row r="444" spans="21:22" x14ac:dyDescent="0.25">
      <c r="U444" s="211">
        <v>426</v>
      </c>
      <c r="V444" s="178">
        <v>4434955220.6514225</v>
      </c>
    </row>
    <row r="445" spans="21:22" x14ac:dyDescent="0.25">
      <c r="U445" s="211">
        <v>427</v>
      </c>
      <c r="V445" s="178">
        <v>3941126693.2950301</v>
      </c>
    </row>
    <row r="446" spans="21:22" x14ac:dyDescent="0.25">
      <c r="U446" s="211">
        <v>428</v>
      </c>
      <c r="V446" s="178">
        <v>3444951161.1950192</v>
      </c>
    </row>
    <row r="447" spans="21:22" x14ac:dyDescent="0.25">
      <c r="U447" s="211">
        <v>429</v>
      </c>
      <c r="V447" s="178">
        <v>4439345985.1976461</v>
      </c>
    </row>
    <row r="448" spans="21:22" x14ac:dyDescent="0.25">
      <c r="U448" s="211">
        <v>430</v>
      </c>
      <c r="V448" s="178">
        <v>4115889531.7117119</v>
      </c>
    </row>
    <row r="449" spans="21:22" x14ac:dyDescent="0.25">
      <c r="U449" s="211">
        <v>431</v>
      </c>
      <c r="V449" s="178">
        <v>3530600372.1056318</v>
      </c>
    </row>
    <row r="450" spans="21:22" x14ac:dyDescent="0.25">
      <c r="U450" s="211">
        <v>432</v>
      </c>
      <c r="V450" s="178">
        <v>3812720356.4746194</v>
      </c>
    </row>
    <row r="451" spans="21:22" x14ac:dyDescent="0.25">
      <c r="U451" s="211">
        <v>433</v>
      </c>
      <c r="V451" s="178">
        <v>3388858581.383182</v>
      </c>
    </row>
    <row r="452" spans="21:22" x14ac:dyDescent="0.25">
      <c r="U452" s="211">
        <v>434</v>
      </c>
      <c r="V452" s="178">
        <v>3593936686.0182972</v>
      </c>
    </row>
    <row r="453" spans="21:22" x14ac:dyDescent="0.25">
      <c r="U453" s="211">
        <v>435</v>
      </c>
      <c r="V453" s="178">
        <v>3555351259.4516182</v>
      </c>
    </row>
    <row r="454" spans="21:22" x14ac:dyDescent="0.25">
      <c r="U454" s="211">
        <v>436</v>
      </c>
      <c r="V454" s="178">
        <v>3563383752.6882935</v>
      </c>
    </row>
    <row r="455" spans="21:22" x14ac:dyDescent="0.25">
      <c r="U455" s="211">
        <v>437</v>
      </c>
      <c r="V455" s="178">
        <v>3775187380.6416788</v>
      </c>
    </row>
    <row r="456" spans="21:22" x14ac:dyDescent="0.25">
      <c r="U456" s="211">
        <v>438</v>
      </c>
      <c r="V456" s="178">
        <v>3912189208.8642817</v>
      </c>
    </row>
    <row r="457" spans="21:22" x14ac:dyDescent="0.25">
      <c r="U457" s="211">
        <v>439</v>
      </c>
      <c r="V457" s="178">
        <v>3492138062.2411141</v>
      </c>
    </row>
    <row r="458" spans="21:22" x14ac:dyDescent="0.25">
      <c r="U458" s="211">
        <v>440</v>
      </c>
      <c r="V458" s="178">
        <v>3701021049.8644176</v>
      </c>
    </row>
    <row r="459" spans="21:22" x14ac:dyDescent="0.25">
      <c r="U459" s="211">
        <v>441</v>
      </c>
      <c r="V459" s="178">
        <v>3612025847.526608</v>
      </c>
    </row>
    <row r="460" spans="21:22" x14ac:dyDescent="0.25">
      <c r="U460" s="211">
        <v>442</v>
      </c>
      <c r="V460" s="178">
        <v>4170468513.6843901</v>
      </c>
    </row>
    <row r="461" spans="21:22" x14ac:dyDescent="0.25">
      <c r="U461" s="211">
        <v>443</v>
      </c>
      <c r="V461" s="178">
        <v>3400631788.4207988</v>
      </c>
    </row>
    <row r="462" spans="21:22" x14ac:dyDescent="0.25">
      <c r="U462" s="211">
        <v>444</v>
      </c>
      <c r="V462" s="178">
        <v>3174956646.0358486</v>
      </c>
    </row>
    <row r="463" spans="21:22" x14ac:dyDescent="0.25">
      <c r="U463" s="211">
        <v>445</v>
      </c>
      <c r="V463" s="178">
        <v>3857706128.1229544</v>
      </c>
    </row>
    <row r="464" spans="21:22" x14ac:dyDescent="0.25">
      <c r="U464" s="211">
        <v>446</v>
      </c>
      <c r="V464" s="178">
        <v>3200081229.4015622</v>
      </c>
    </row>
    <row r="465" spans="21:22" x14ac:dyDescent="0.25">
      <c r="U465" s="211">
        <v>447</v>
      </c>
      <c r="V465" s="178">
        <v>3564933035.4308724</v>
      </c>
    </row>
    <row r="466" spans="21:22" x14ac:dyDescent="0.25">
      <c r="U466" s="211">
        <v>448</v>
      </c>
      <c r="V466" s="178">
        <v>3315027385.9751067</v>
      </c>
    </row>
    <row r="467" spans="21:22" x14ac:dyDescent="0.25">
      <c r="U467" s="211">
        <v>449</v>
      </c>
      <c r="V467" s="178">
        <v>3306547984.6594748</v>
      </c>
    </row>
    <row r="468" spans="21:22" x14ac:dyDescent="0.25">
      <c r="U468" s="211">
        <v>450</v>
      </c>
      <c r="V468" s="178">
        <v>3704403641.5014043</v>
      </c>
    </row>
    <row r="469" spans="21:22" x14ac:dyDescent="0.25">
      <c r="U469" s="211">
        <v>451</v>
      </c>
      <c r="V469" s="178">
        <v>3488070311.0892825</v>
      </c>
    </row>
    <row r="470" spans="21:22" x14ac:dyDescent="0.25">
      <c r="U470" s="211">
        <v>452</v>
      </c>
      <c r="V470" s="178">
        <v>3523260418.0178061</v>
      </c>
    </row>
    <row r="471" spans="21:22" x14ac:dyDescent="0.25">
      <c r="U471" s="211">
        <v>453</v>
      </c>
      <c r="V471" s="178">
        <v>3809202091.3894091</v>
      </c>
    </row>
    <row r="472" spans="21:22" x14ac:dyDescent="0.25">
      <c r="U472" s="211">
        <v>454</v>
      </c>
      <c r="V472" s="178">
        <v>4225980719.0288095</v>
      </c>
    </row>
    <row r="473" spans="21:22" x14ac:dyDescent="0.25">
      <c r="U473" s="211">
        <v>455</v>
      </c>
      <c r="V473" s="178">
        <v>3627488324.5813861</v>
      </c>
    </row>
    <row r="474" spans="21:22" x14ac:dyDescent="0.25">
      <c r="U474" s="211">
        <v>456</v>
      </c>
      <c r="V474" s="178">
        <v>3288577745.9944329</v>
      </c>
    </row>
    <row r="475" spans="21:22" x14ac:dyDescent="0.25">
      <c r="U475" s="211">
        <v>457</v>
      </c>
      <c r="V475" s="178">
        <v>3425725734.1743398</v>
      </c>
    </row>
    <row r="476" spans="21:22" x14ac:dyDescent="0.25">
      <c r="U476" s="211">
        <v>458</v>
      </c>
      <c r="V476" s="178">
        <v>3738606574.7875404</v>
      </c>
    </row>
    <row r="477" spans="21:22" x14ac:dyDescent="0.25">
      <c r="U477" s="211">
        <v>459</v>
      </c>
      <c r="V477" s="178">
        <v>3387307990.4365249</v>
      </c>
    </row>
    <row r="478" spans="21:22" x14ac:dyDescent="0.25">
      <c r="U478" s="211">
        <v>460</v>
      </c>
      <c r="V478" s="178">
        <v>3445772368.3093462</v>
      </c>
    </row>
    <row r="479" spans="21:22" x14ac:dyDescent="0.25">
      <c r="U479" s="211">
        <v>461</v>
      </c>
      <c r="V479" s="178">
        <v>3435505572.0667887</v>
      </c>
    </row>
    <row r="480" spans="21:22" x14ac:dyDescent="0.25">
      <c r="U480" s="211">
        <v>462</v>
      </c>
      <c r="V480" s="178">
        <v>3434320042.1462355</v>
      </c>
    </row>
    <row r="481" spans="21:22" x14ac:dyDescent="0.25">
      <c r="U481" s="211">
        <v>463</v>
      </c>
      <c r="V481" s="178">
        <v>3907839138.5837493</v>
      </c>
    </row>
    <row r="482" spans="21:22" x14ac:dyDescent="0.25">
      <c r="U482" s="211">
        <v>464</v>
      </c>
      <c r="V482" s="178">
        <v>3664793003.304523</v>
      </c>
    </row>
    <row r="483" spans="21:22" x14ac:dyDescent="0.25">
      <c r="U483" s="211">
        <v>465</v>
      </c>
      <c r="V483" s="178">
        <v>3469559966.7423086</v>
      </c>
    </row>
    <row r="484" spans="21:22" x14ac:dyDescent="0.25">
      <c r="U484" s="211">
        <v>466</v>
      </c>
      <c r="V484" s="178">
        <v>4018581746.8354592</v>
      </c>
    </row>
    <row r="485" spans="21:22" x14ac:dyDescent="0.25">
      <c r="U485" s="211">
        <v>467</v>
      </c>
      <c r="V485" s="178">
        <v>3264036778.0553679</v>
      </c>
    </row>
    <row r="486" spans="21:22" x14ac:dyDescent="0.25">
      <c r="U486" s="211">
        <v>468</v>
      </c>
      <c r="V486" s="178">
        <v>3383993957.203115</v>
      </c>
    </row>
    <row r="487" spans="21:22" x14ac:dyDescent="0.25">
      <c r="U487" s="211">
        <v>469</v>
      </c>
      <c r="V487" s="178">
        <v>3373711784.2549214</v>
      </c>
    </row>
    <row r="488" spans="21:22" x14ac:dyDescent="0.25">
      <c r="U488" s="211">
        <v>470</v>
      </c>
      <c r="V488" s="178">
        <v>3589721488.885911</v>
      </c>
    </row>
    <row r="489" spans="21:22" x14ac:dyDescent="0.25">
      <c r="U489" s="211">
        <v>471</v>
      </c>
      <c r="V489" s="178">
        <v>3320767038.8613057</v>
      </c>
    </row>
    <row r="490" spans="21:22" x14ac:dyDescent="0.25">
      <c r="U490" s="211">
        <v>472</v>
      </c>
      <c r="V490" s="178">
        <v>3393860113.5065417</v>
      </c>
    </row>
    <row r="491" spans="21:22" x14ac:dyDescent="0.25">
      <c r="U491" s="211">
        <v>473</v>
      </c>
      <c r="V491" s="178">
        <v>3113906957.4028087</v>
      </c>
    </row>
    <row r="492" spans="21:22" x14ac:dyDescent="0.25">
      <c r="U492" s="211">
        <v>474</v>
      </c>
      <c r="V492" s="178">
        <v>3623885505.2183666</v>
      </c>
    </row>
    <row r="493" spans="21:22" x14ac:dyDescent="0.25">
      <c r="U493" s="211">
        <v>475</v>
      </c>
      <c r="V493" s="178">
        <v>3804467128.8512545</v>
      </c>
    </row>
    <row r="494" spans="21:22" x14ac:dyDescent="0.25">
      <c r="U494" s="211">
        <v>476</v>
      </c>
      <c r="V494" s="178">
        <v>4042626360.0594277</v>
      </c>
    </row>
    <row r="495" spans="21:22" x14ac:dyDescent="0.25">
      <c r="U495" s="211">
        <v>477</v>
      </c>
      <c r="V495" s="178">
        <v>3566089069.4763145</v>
      </c>
    </row>
    <row r="496" spans="21:22" x14ac:dyDescent="0.25">
      <c r="U496" s="211">
        <v>478</v>
      </c>
      <c r="V496" s="178">
        <v>3923732751.1607246</v>
      </c>
    </row>
    <row r="497" spans="21:22" x14ac:dyDescent="0.25">
      <c r="U497" s="211">
        <v>479</v>
      </c>
      <c r="V497" s="178">
        <v>4249040175.6610494</v>
      </c>
    </row>
    <row r="498" spans="21:22" x14ac:dyDescent="0.25">
      <c r="U498" s="211">
        <v>480</v>
      </c>
      <c r="V498" s="178">
        <v>3749096731.8347802</v>
      </c>
    </row>
    <row r="499" spans="21:22" x14ac:dyDescent="0.25">
      <c r="U499" s="211">
        <v>481</v>
      </c>
      <c r="V499" s="178">
        <v>3066477570.7154951</v>
      </c>
    </row>
    <row r="500" spans="21:22" x14ac:dyDescent="0.25">
      <c r="U500" s="211">
        <v>482</v>
      </c>
      <c r="V500" s="178">
        <v>3604105115.5162177</v>
      </c>
    </row>
    <row r="501" spans="21:22" x14ac:dyDescent="0.25">
      <c r="U501" s="211">
        <v>483</v>
      </c>
      <c r="V501" s="178">
        <v>3851429958.5716882</v>
      </c>
    </row>
    <row r="502" spans="21:22" x14ac:dyDescent="0.25">
      <c r="U502" s="211">
        <v>484</v>
      </c>
      <c r="V502" s="178">
        <v>3572359460.0104876</v>
      </c>
    </row>
    <row r="503" spans="21:22" x14ac:dyDescent="0.25">
      <c r="U503" s="211">
        <v>485</v>
      </c>
      <c r="V503" s="178">
        <v>3369806459.4831386</v>
      </c>
    </row>
    <row r="504" spans="21:22" x14ac:dyDescent="0.25">
      <c r="U504" s="211">
        <v>486</v>
      </c>
      <c r="V504" s="178">
        <v>3515229012.2918229</v>
      </c>
    </row>
    <row r="505" spans="21:22" x14ac:dyDescent="0.25">
      <c r="U505" s="211">
        <v>487</v>
      </c>
      <c r="V505" s="178">
        <v>3160935152.0371904</v>
      </c>
    </row>
    <row r="506" spans="21:22" x14ac:dyDescent="0.25">
      <c r="U506" s="211">
        <v>488</v>
      </c>
      <c r="V506" s="178">
        <v>3559853160.5008273</v>
      </c>
    </row>
    <row r="507" spans="21:22" x14ac:dyDescent="0.25">
      <c r="U507" s="211">
        <v>489</v>
      </c>
      <c r="V507" s="178">
        <v>3551809776.9011993</v>
      </c>
    </row>
    <row r="508" spans="21:22" x14ac:dyDescent="0.25">
      <c r="U508" s="211">
        <v>490</v>
      </c>
      <c r="V508" s="178">
        <v>3426202824.2634416</v>
      </c>
    </row>
    <row r="509" spans="21:22" x14ac:dyDescent="0.25">
      <c r="U509" s="211">
        <v>491</v>
      </c>
      <c r="V509" s="178">
        <v>3655367252.46384</v>
      </c>
    </row>
    <row r="510" spans="21:22" x14ac:dyDescent="0.25">
      <c r="U510" s="211">
        <v>492</v>
      </c>
      <c r="V510" s="178">
        <v>3972640468.3580251</v>
      </c>
    </row>
    <row r="511" spans="21:22" x14ac:dyDescent="0.25">
      <c r="U511" s="211">
        <v>493</v>
      </c>
      <c r="V511" s="178">
        <v>4341934448.1330662</v>
      </c>
    </row>
    <row r="512" spans="21:22" x14ac:dyDescent="0.25">
      <c r="U512" s="211">
        <v>494</v>
      </c>
      <c r="V512" s="178">
        <v>3338159107.8227201</v>
      </c>
    </row>
    <row r="513" spans="21:22" x14ac:dyDescent="0.25">
      <c r="U513" s="211">
        <v>495</v>
      </c>
      <c r="V513" s="178">
        <v>3359907324.2308269</v>
      </c>
    </row>
    <row r="514" spans="21:22" x14ac:dyDescent="0.25">
      <c r="U514" s="211">
        <v>496</v>
      </c>
      <c r="V514" s="178">
        <v>3443895855.874855</v>
      </c>
    </row>
    <row r="515" spans="21:22" x14ac:dyDescent="0.25">
      <c r="U515" s="211">
        <v>497</v>
      </c>
      <c r="V515" s="178">
        <v>3110169621.2866144</v>
      </c>
    </row>
    <row r="516" spans="21:22" x14ac:dyDescent="0.25">
      <c r="U516" s="211">
        <v>498</v>
      </c>
      <c r="V516" s="178">
        <v>4042345601.8088975</v>
      </c>
    </row>
    <row r="517" spans="21:22" x14ac:dyDescent="0.25">
      <c r="U517" s="211">
        <v>499</v>
      </c>
      <c r="V517" s="178">
        <v>3818297573.6991119</v>
      </c>
    </row>
    <row r="518" spans="21:22" x14ac:dyDescent="0.25">
      <c r="U518" s="211">
        <v>500</v>
      </c>
      <c r="V518" s="178">
        <v>3738038133.8425345</v>
      </c>
    </row>
    <row r="519" spans="21:22" x14ac:dyDescent="0.25">
      <c r="U519" s="211">
        <v>501</v>
      </c>
      <c r="V519" s="178">
        <v>3930638490.7587175</v>
      </c>
    </row>
    <row r="520" spans="21:22" x14ac:dyDescent="0.25">
      <c r="U520" s="211">
        <v>502</v>
      </c>
      <c r="V520" s="178">
        <v>3298627944.909194</v>
      </c>
    </row>
    <row r="521" spans="21:22" x14ac:dyDescent="0.25">
      <c r="U521" s="211">
        <v>503</v>
      </c>
      <c r="V521" s="178">
        <v>3770089371.00528</v>
      </c>
    </row>
    <row r="522" spans="21:22" x14ac:dyDescent="0.25">
      <c r="U522" s="211">
        <v>504</v>
      </c>
      <c r="V522" s="178">
        <v>3430363801.9250855</v>
      </c>
    </row>
    <row r="523" spans="21:22" x14ac:dyDescent="0.25">
      <c r="U523" s="211">
        <v>505</v>
      </c>
      <c r="V523" s="178">
        <v>3592505721.9035106</v>
      </c>
    </row>
    <row r="524" spans="21:22" x14ac:dyDescent="0.25">
      <c r="U524" s="211">
        <v>506</v>
      </c>
      <c r="V524" s="178">
        <v>3206776045.3218589</v>
      </c>
    </row>
    <row r="525" spans="21:22" x14ac:dyDescent="0.25">
      <c r="U525" s="211">
        <v>507</v>
      </c>
      <c r="V525" s="178">
        <v>3307669890.5833611</v>
      </c>
    </row>
    <row r="526" spans="21:22" x14ac:dyDescent="0.25">
      <c r="U526" s="211">
        <v>508</v>
      </c>
      <c r="V526" s="178">
        <v>4279143790.7679005</v>
      </c>
    </row>
    <row r="527" spans="21:22" x14ac:dyDescent="0.25">
      <c r="U527" s="211">
        <v>509</v>
      </c>
      <c r="V527" s="178">
        <v>3043363485.3982863</v>
      </c>
    </row>
    <row r="528" spans="21:22" x14ac:dyDescent="0.25">
      <c r="U528" s="211">
        <v>510</v>
      </c>
      <c r="V528" s="178">
        <v>3315411724.1271038</v>
      </c>
    </row>
    <row r="529" spans="21:22" x14ac:dyDescent="0.25">
      <c r="U529" s="211">
        <v>511</v>
      </c>
      <c r="V529" s="178">
        <v>3864330535.0993443</v>
      </c>
    </row>
    <row r="530" spans="21:22" x14ac:dyDescent="0.25">
      <c r="U530" s="211">
        <v>512</v>
      </c>
      <c r="V530" s="178">
        <v>3483859699.0146675</v>
      </c>
    </row>
    <row r="531" spans="21:22" x14ac:dyDescent="0.25">
      <c r="U531" s="211">
        <v>513</v>
      </c>
      <c r="V531" s="178">
        <v>3727340079.5864038</v>
      </c>
    </row>
    <row r="532" spans="21:22" x14ac:dyDescent="0.25">
      <c r="U532" s="211">
        <v>514</v>
      </c>
      <c r="V532" s="178">
        <v>3621926702.583828</v>
      </c>
    </row>
    <row r="533" spans="21:22" x14ac:dyDescent="0.25">
      <c r="U533" s="211">
        <v>515</v>
      </c>
      <c r="V533" s="178">
        <v>3711241440.0003867</v>
      </c>
    </row>
    <row r="534" spans="21:22" x14ac:dyDescent="0.25">
      <c r="U534" s="211">
        <v>516</v>
      </c>
      <c r="V534" s="178">
        <v>3256800830.9164567</v>
      </c>
    </row>
    <row r="535" spans="21:22" x14ac:dyDescent="0.25">
      <c r="U535" s="211">
        <v>517</v>
      </c>
      <c r="V535" s="178">
        <v>3509723544.2829914</v>
      </c>
    </row>
    <row r="536" spans="21:22" x14ac:dyDescent="0.25">
      <c r="U536" s="211">
        <v>518</v>
      </c>
      <c r="V536" s="178">
        <v>3147365699.9737873</v>
      </c>
    </row>
    <row r="537" spans="21:22" x14ac:dyDescent="0.25">
      <c r="U537" s="211">
        <v>519</v>
      </c>
      <c r="V537" s="178">
        <v>3097566440.0069032</v>
      </c>
    </row>
    <row r="538" spans="21:22" x14ac:dyDescent="0.25">
      <c r="U538" s="211">
        <v>520</v>
      </c>
      <c r="V538" s="178">
        <v>4206956238.6470461</v>
      </c>
    </row>
    <row r="539" spans="21:22" x14ac:dyDescent="0.25">
      <c r="U539" s="211">
        <v>521</v>
      </c>
      <c r="V539" s="178">
        <v>3699941902.5866952</v>
      </c>
    </row>
    <row r="540" spans="21:22" x14ac:dyDescent="0.25">
      <c r="U540" s="211">
        <v>522</v>
      </c>
      <c r="V540" s="178">
        <v>3324293519.7839761</v>
      </c>
    </row>
    <row r="541" spans="21:22" x14ac:dyDescent="0.25">
      <c r="U541" s="211">
        <v>523</v>
      </c>
      <c r="V541" s="178">
        <v>3558743417.8713531</v>
      </c>
    </row>
    <row r="542" spans="21:22" x14ac:dyDescent="0.25">
      <c r="U542" s="211">
        <v>524</v>
      </c>
      <c r="V542" s="178">
        <v>3839644689.5001168</v>
      </c>
    </row>
    <row r="543" spans="21:22" x14ac:dyDescent="0.25">
      <c r="U543" s="211">
        <v>525</v>
      </c>
      <c r="V543" s="178">
        <v>3278051479.2322016</v>
      </c>
    </row>
    <row r="544" spans="21:22" x14ac:dyDescent="0.25">
      <c r="U544" s="211">
        <v>526</v>
      </c>
      <c r="V544" s="178">
        <v>3806981087.6558971</v>
      </c>
    </row>
    <row r="545" spans="21:22" x14ac:dyDescent="0.25">
      <c r="U545" s="211">
        <v>527</v>
      </c>
      <c r="V545" s="178">
        <v>3896822172.8616409</v>
      </c>
    </row>
    <row r="546" spans="21:22" x14ac:dyDescent="0.25">
      <c r="U546" s="211">
        <v>528</v>
      </c>
      <c r="V546" s="178">
        <v>4219856781.2533569</v>
      </c>
    </row>
    <row r="547" spans="21:22" x14ac:dyDescent="0.25">
      <c r="U547" s="211">
        <v>529</v>
      </c>
      <c r="V547" s="178">
        <v>3465343329.3210864</v>
      </c>
    </row>
    <row r="548" spans="21:22" x14ac:dyDescent="0.25">
      <c r="U548" s="211">
        <v>530</v>
      </c>
      <c r="V548" s="178">
        <v>3712380048.163897</v>
      </c>
    </row>
    <row r="549" spans="21:22" x14ac:dyDescent="0.25">
      <c r="U549" s="211">
        <v>531</v>
      </c>
      <c r="V549" s="178">
        <v>3527568910.030396</v>
      </c>
    </row>
    <row r="550" spans="21:22" x14ac:dyDescent="0.25">
      <c r="U550" s="211">
        <v>532</v>
      </c>
      <c r="V550" s="178">
        <v>4142071418.3180079</v>
      </c>
    </row>
    <row r="551" spans="21:22" x14ac:dyDescent="0.25">
      <c r="U551" s="211">
        <v>533</v>
      </c>
      <c r="V551" s="178">
        <v>3033737466.076489</v>
      </c>
    </row>
    <row r="552" spans="21:22" x14ac:dyDescent="0.25">
      <c r="U552" s="211">
        <v>534</v>
      </c>
      <c r="V552" s="178">
        <v>3617440416.7563515</v>
      </c>
    </row>
    <row r="553" spans="21:22" x14ac:dyDescent="0.25">
      <c r="U553" s="211">
        <v>535</v>
      </c>
      <c r="V553" s="178">
        <v>3352710218.2835746</v>
      </c>
    </row>
    <row r="554" spans="21:22" x14ac:dyDescent="0.25">
      <c r="U554" s="211">
        <v>536</v>
      </c>
      <c r="V554" s="178">
        <v>3370556264.6585941</v>
      </c>
    </row>
    <row r="555" spans="21:22" x14ac:dyDescent="0.25">
      <c r="U555" s="211">
        <v>537</v>
      </c>
      <c r="V555" s="178">
        <v>3976257821.8588586</v>
      </c>
    </row>
    <row r="556" spans="21:22" x14ac:dyDescent="0.25">
      <c r="U556" s="211">
        <v>538</v>
      </c>
      <c r="V556" s="178">
        <v>3622012093.8164763</v>
      </c>
    </row>
    <row r="557" spans="21:22" x14ac:dyDescent="0.25">
      <c r="U557" s="211">
        <v>539</v>
      </c>
      <c r="V557" s="178">
        <v>3678540891.4835896</v>
      </c>
    </row>
    <row r="558" spans="21:22" x14ac:dyDescent="0.25">
      <c r="U558" s="211">
        <v>540</v>
      </c>
      <c r="V558" s="178">
        <v>3355911510.7444916</v>
      </c>
    </row>
    <row r="559" spans="21:22" x14ac:dyDescent="0.25">
      <c r="U559" s="211">
        <v>541</v>
      </c>
      <c r="V559" s="178">
        <v>4174673505.4861784</v>
      </c>
    </row>
    <row r="560" spans="21:22" x14ac:dyDescent="0.25">
      <c r="U560" s="211">
        <v>542</v>
      </c>
      <c r="V560" s="178">
        <v>4070766108.2204432</v>
      </c>
    </row>
    <row r="561" spans="21:22" x14ac:dyDescent="0.25">
      <c r="U561" s="211">
        <v>543</v>
      </c>
      <c r="V561" s="178">
        <v>4231698412.2187939</v>
      </c>
    </row>
    <row r="562" spans="21:22" x14ac:dyDescent="0.25">
      <c r="U562" s="211">
        <v>544</v>
      </c>
      <c r="V562" s="178">
        <v>3494589817.3459272</v>
      </c>
    </row>
    <row r="563" spans="21:22" x14ac:dyDescent="0.25">
      <c r="U563" s="211">
        <v>545</v>
      </c>
      <c r="V563" s="178">
        <v>3053102737.0463023</v>
      </c>
    </row>
    <row r="564" spans="21:22" x14ac:dyDescent="0.25">
      <c r="U564" s="211">
        <v>546</v>
      </c>
      <c r="V564" s="178">
        <v>4301385723.9841776</v>
      </c>
    </row>
    <row r="565" spans="21:22" x14ac:dyDescent="0.25">
      <c r="U565" s="211">
        <v>547</v>
      </c>
      <c r="V565" s="178">
        <v>3652405694.572505</v>
      </c>
    </row>
    <row r="566" spans="21:22" x14ac:dyDescent="0.25">
      <c r="U566" s="211">
        <v>548</v>
      </c>
      <c r="V566" s="178">
        <v>3469889291.3036146</v>
      </c>
    </row>
    <row r="567" spans="21:22" x14ac:dyDescent="0.25">
      <c r="U567" s="211">
        <v>549</v>
      </c>
      <c r="V567" s="178">
        <v>3498056849.4119115</v>
      </c>
    </row>
    <row r="568" spans="21:22" x14ac:dyDescent="0.25">
      <c r="U568" s="211">
        <v>550</v>
      </c>
      <c r="V568" s="178">
        <v>3198232282.9503083</v>
      </c>
    </row>
    <row r="569" spans="21:22" x14ac:dyDescent="0.25">
      <c r="U569" s="211">
        <v>551</v>
      </c>
      <c r="V569" s="178">
        <v>3486112050.294621</v>
      </c>
    </row>
    <row r="570" spans="21:22" x14ac:dyDescent="0.25">
      <c r="U570" s="211">
        <v>552</v>
      </c>
      <c r="V570" s="178">
        <v>3911888414.3169475</v>
      </c>
    </row>
    <row r="571" spans="21:22" x14ac:dyDescent="0.25">
      <c r="U571" s="211">
        <v>553</v>
      </c>
      <c r="V571" s="178">
        <v>3888233489.8683615</v>
      </c>
    </row>
    <row r="572" spans="21:22" x14ac:dyDescent="0.25">
      <c r="U572" s="211">
        <v>554</v>
      </c>
      <c r="V572" s="178">
        <v>3486499200.1153569</v>
      </c>
    </row>
    <row r="573" spans="21:22" x14ac:dyDescent="0.25">
      <c r="U573" s="211">
        <v>555</v>
      </c>
      <c r="V573" s="178">
        <v>3532738631.8610702</v>
      </c>
    </row>
    <row r="574" spans="21:22" x14ac:dyDescent="0.25">
      <c r="U574" s="211">
        <v>556</v>
      </c>
      <c r="V574" s="178">
        <v>3662309076.5468187</v>
      </c>
    </row>
    <row r="575" spans="21:22" x14ac:dyDescent="0.25">
      <c r="U575" s="211">
        <v>557</v>
      </c>
      <c r="V575" s="178">
        <v>3558040177.4357758</v>
      </c>
    </row>
    <row r="576" spans="21:22" x14ac:dyDescent="0.25">
      <c r="U576" s="211">
        <v>558</v>
      </c>
      <c r="V576" s="178">
        <v>3366502153.3886127</v>
      </c>
    </row>
    <row r="577" spans="21:22" x14ac:dyDescent="0.25">
      <c r="U577" s="211">
        <v>559</v>
      </c>
      <c r="V577" s="178">
        <v>3369991397.1172786</v>
      </c>
    </row>
    <row r="578" spans="21:22" x14ac:dyDescent="0.25">
      <c r="U578" s="211">
        <v>560</v>
      </c>
      <c r="V578" s="178">
        <v>3260461989.8894262</v>
      </c>
    </row>
    <row r="579" spans="21:22" x14ac:dyDescent="0.25">
      <c r="U579" s="211">
        <v>561</v>
      </c>
      <c r="V579" s="178">
        <v>3653181349.642766</v>
      </c>
    </row>
    <row r="580" spans="21:22" x14ac:dyDescent="0.25">
      <c r="U580" s="211">
        <v>562</v>
      </c>
      <c r="V580" s="178">
        <v>3733219674.9480257</v>
      </c>
    </row>
    <row r="581" spans="21:22" x14ac:dyDescent="0.25">
      <c r="U581" s="211">
        <v>563</v>
      </c>
      <c r="V581" s="178">
        <v>3738216529.4402132</v>
      </c>
    </row>
    <row r="582" spans="21:22" x14ac:dyDescent="0.25">
      <c r="U582" s="211">
        <v>564</v>
      </c>
      <c r="V582" s="178">
        <v>3242470159.3692985</v>
      </c>
    </row>
    <row r="583" spans="21:22" x14ac:dyDescent="0.25">
      <c r="U583" s="211">
        <v>565</v>
      </c>
      <c r="V583" s="178">
        <v>3536820658.488965</v>
      </c>
    </row>
    <row r="584" spans="21:22" x14ac:dyDescent="0.25">
      <c r="U584" s="211">
        <v>566</v>
      </c>
      <c r="V584" s="178">
        <v>3701331796.2862015</v>
      </c>
    </row>
    <row r="585" spans="21:22" x14ac:dyDescent="0.25">
      <c r="U585" s="211">
        <v>567</v>
      </c>
      <c r="V585" s="178">
        <v>3525654300.6446228</v>
      </c>
    </row>
    <row r="586" spans="21:22" x14ac:dyDescent="0.25">
      <c r="U586" s="211">
        <v>568</v>
      </c>
      <c r="V586" s="178">
        <v>3454980189.8507347</v>
      </c>
    </row>
    <row r="587" spans="21:22" x14ac:dyDescent="0.25">
      <c r="U587" s="211">
        <v>569</v>
      </c>
      <c r="V587" s="178">
        <v>3669908597.4552264</v>
      </c>
    </row>
    <row r="588" spans="21:22" x14ac:dyDescent="0.25">
      <c r="U588" s="211">
        <v>570</v>
      </c>
      <c r="V588" s="178">
        <v>3644324297.8811641</v>
      </c>
    </row>
    <row r="589" spans="21:22" x14ac:dyDescent="0.25">
      <c r="U589" s="211">
        <v>571</v>
      </c>
      <c r="V589" s="178">
        <v>3244333174.1469698</v>
      </c>
    </row>
    <row r="590" spans="21:22" x14ac:dyDescent="0.25">
      <c r="U590" s="211">
        <v>572</v>
      </c>
      <c r="V590" s="178">
        <v>3934863688.0470576</v>
      </c>
    </row>
    <row r="591" spans="21:22" x14ac:dyDescent="0.25">
      <c r="U591" s="211">
        <v>573</v>
      </c>
      <c r="V591" s="178">
        <v>3279119398.5165143</v>
      </c>
    </row>
    <row r="592" spans="21:22" x14ac:dyDescent="0.25">
      <c r="U592" s="211">
        <v>574</v>
      </c>
      <c r="V592" s="178">
        <v>3423480956.0392518</v>
      </c>
    </row>
    <row r="593" spans="21:22" x14ac:dyDescent="0.25">
      <c r="U593" s="211">
        <v>575</v>
      </c>
      <c r="V593" s="178">
        <v>3785920734.3061786</v>
      </c>
    </row>
    <row r="594" spans="21:22" x14ac:dyDescent="0.25">
      <c r="U594" s="211">
        <v>576</v>
      </c>
      <c r="V594" s="178">
        <v>3727582604.2619238</v>
      </c>
    </row>
    <row r="595" spans="21:22" x14ac:dyDescent="0.25">
      <c r="U595" s="211">
        <v>577</v>
      </c>
      <c r="V595" s="178">
        <v>3538946932.6617179</v>
      </c>
    </row>
    <row r="596" spans="21:22" x14ac:dyDescent="0.25">
      <c r="U596" s="211">
        <v>578</v>
      </c>
      <c r="V596" s="178">
        <v>3695553302.1414094</v>
      </c>
    </row>
    <row r="597" spans="21:22" x14ac:dyDescent="0.25">
      <c r="U597" s="211">
        <v>579</v>
      </c>
      <c r="V597" s="178">
        <v>4447179863.6858854</v>
      </c>
    </row>
    <row r="598" spans="21:22" x14ac:dyDescent="0.25">
      <c r="U598" s="211">
        <v>580</v>
      </c>
      <c r="V598" s="178">
        <v>3552657136.4227304</v>
      </c>
    </row>
    <row r="599" spans="21:22" x14ac:dyDescent="0.25">
      <c r="U599" s="211">
        <v>581</v>
      </c>
      <c r="V599" s="178">
        <v>3377999113.5676765</v>
      </c>
    </row>
    <row r="600" spans="21:22" x14ac:dyDescent="0.25">
      <c r="U600" s="211">
        <v>582</v>
      </c>
      <c r="V600" s="178">
        <v>3106264197.6382918</v>
      </c>
    </row>
    <row r="601" spans="21:22" x14ac:dyDescent="0.25">
      <c r="U601" s="211">
        <v>583</v>
      </c>
      <c r="V601" s="178">
        <v>3907373716.076427</v>
      </c>
    </row>
    <row r="602" spans="21:22" x14ac:dyDescent="0.25">
      <c r="U602" s="211">
        <v>584</v>
      </c>
      <c r="V602" s="178">
        <v>3516131545.3487291</v>
      </c>
    </row>
    <row r="603" spans="21:22" x14ac:dyDescent="0.25">
      <c r="U603" s="211">
        <v>585</v>
      </c>
      <c r="V603" s="178">
        <v>3327877237.785224</v>
      </c>
    </row>
    <row r="604" spans="21:22" x14ac:dyDescent="0.25">
      <c r="U604" s="211">
        <v>586</v>
      </c>
      <c r="V604" s="178">
        <v>3790964146.8970199</v>
      </c>
    </row>
    <row r="605" spans="21:22" x14ac:dyDescent="0.25">
      <c r="U605" s="211">
        <v>587</v>
      </c>
      <c r="V605" s="178">
        <v>3161481844.3636994</v>
      </c>
    </row>
    <row r="606" spans="21:22" x14ac:dyDescent="0.25">
      <c r="U606" s="211">
        <v>588</v>
      </c>
      <c r="V606" s="178">
        <v>3832632000.2822251</v>
      </c>
    </row>
    <row r="607" spans="21:22" x14ac:dyDescent="0.25">
      <c r="U607" s="211">
        <v>589</v>
      </c>
      <c r="V607" s="178">
        <v>3527070652.4730096</v>
      </c>
    </row>
    <row r="608" spans="21:22" x14ac:dyDescent="0.25">
      <c r="U608" s="211">
        <v>590</v>
      </c>
      <c r="V608" s="178">
        <v>4119456805.4102702</v>
      </c>
    </row>
    <row r="609" spans="21:22" x14ac:dyDescent="0.25">
      <c r="U609" s="211">
        <v>591</v>
      </c>
      <c r="V609" s="178">
        <v>3176545771.8353014</v>
      </c>
    </row>
    <row r="610" spans="21:22" x14ac:dyDescent="0.25">
      <c r="U610" s="211">
        <v>592</v>
      </c>
      <c r="V610" s="178">
        <v>3843341277.7595043</v>
      </c>
    </row>
    <row r="611" spans="21:22" x14ac:dyDescent="0.25">
      <c r="U611" s="211">
        <v>593</v>
      </c>
      <c r="V611" s="178">
        <v>3405099324.2901559</v>
      </c>
    </row>
    <row r="612" spans="21:22" x14ac:dyDescent="0.25">
      <c r="U612" s="211">
        <v>594</v>
      </c>
      <c r="V612" s="178">
        <v>3742755598.3068871</v>
      </c>
    </row>
    <row r="613" spans="21:22" x14ac:dyDescent="0.25">
      <c r="U613" s="211">
        <v>595</v>
      </c>
      <c r="V613" s="178">
        <v>3297056603.691215</v>
      </c>
    </row>
    <row r="614" spans="21:22" x14ac:dyDescent="0.25">
      <c r="U614" s="211">
        <v>596</v>
      </c>
      <c r="V614" s="178">
        <v>3808235789.1656723</v>
      </c>
    </row>
    <row r="615" spans="21:22" x14ac:dyDescent="0.25">
      <c r="U615" s="211">
        <v>597</v>
      </c>
      <c r="V615" s="178">
        <v>3515621104.7455587</v>
      </c>
    </row>
    <row r="616" spans="21:22" x14ac:dyDescent="0.25">
      <c r="U616" s="211">
        <v>598</v>
      </c>
      <c r="V616" s="178">
        <v>2982298742.5137877</v>
      </c>
    </row>
    <row r="617" spans="21:22" x14ac:dyDescent="0.25">
      <c r="U617" s="211">
        <v>599</v>
      </c>
      <c r="V617" s="178">
        <v>2946555458.0521994</v>
      </c>
    </row>
    <row r="618" spans="21:22" x14ac:dyDescent="0.25">
      <c r="U618" s="211">
        <v>600</v>
      </c>
      <c r="V618" s="178">
        <v>3239584019.1329894</v>
      </c>
    </row>
    <row r="619" spans="21:22" x14ac:dyDescent="0.25">
      <c r="U619" s="211">
        <v>601</v>
      </c>
      <c r="V619" s="178">
        <v>3898629155.3154645</v>
      </c>
    </row>
    <row r="620" spans="21:22" x14ac:dyDescent="0.25">
      <c r="U620" s="211">
        <v>602</v>
      </c>
      <c r="V620" s="178">
        <v>3589821764.5659852</v>
      </c>
    </row>
    <row r="621" spans="21:22" x14ac:dyDescent="0.25">
      <c r="U621" s="211">
        <v>603</v>
      </c>
      <c r="V621" s="178">
        <v>4138093988.4338546</v>
      </c>
    </row>
    <row r="622" spans="21:22" x14ac:dyDescent="0.25">
      <c r="U622" s="211">
        <v>604</v>
      </c>
      <c r="V622" s="178">
        <v>3553615227.6890659</v>
      </c>
    </row>
    <row r="623" spans="21:22" x14ac:dyDescent="0.25">
      <c r="U623" s="211">
        <v>605</v>
      </c>
      <c r="V623" s="178">
        <v>3892974768.0034161</v>
      </c>
    </row>
    <row r="624" spans="21:22" x14ac:dyDescent="0.25">
      <c r="U624" s="211">
        <v>606</v>
      </c>
      <c r="V624" s="178">
        <v>3827012748.4233389</v>
      </c>
    </row>
    <row r="625" spans="21:22" x14ac:dyDescent="0.25">
      <c r="U625" s="211">
        <v>607</v>
      </c>
      <c r="V625" s="178">
        <v>3638970707.905395</v>
      </c>
    </row>
    <row r="626" spans="21:22" x14ac:dyDescent="0.25">
      <c r="U626" s="211">
        <v>608</v>
      </c>
      <c r="V626" s="178">
        <v>3668380793.075563</v>
      </c>
    </row>
    <row r="627" spans="21:22" x14ac:dyDescent="0.25">
      <c r="U627" s="211">
        <v>609</v>
      </c>
      <c r="V627" s="178">
        <v>3342164807.1428766</v>
      </c>
    </row>
    <row r="628" spans="21:22" x14ac:dyDescent="0.25">
      <c r="U628" s="211">
        <v>610</v>
      </c>
      <c r="V628" s="178">
        <v>3392181710.4636579</v>
      </c>
    </row>
    <row r="629" spans="21:22" x14ac:dyDescent="0.25">
      <c r="U629" s="211">
        <v>611</v>
      </c>
      <c r="V629" s="178">
        <v>3287073856.6916494</v>
      </c>
    </row>
    <row r="630" spans="21:22" x14ac:dyDescent="0.25">
      <c r="U630" s="211">
        <v>612</v>
      </c>
      <c r="V630" s="178">
        <v>3754629852.0449057</v>
      </c>
    </row>
    <row r="631" spans="21:22" x14ac:dyDescent="0.25">
      <c r="U631" s="211">
        <v>613</v>
      </c>
      <c r="V631" s="178">
        <v>3067416424.705472</v>
      </c>
    </row>
    <row r="632" spans="21:22" x14ac:dyDescent="0.25">
      <c r="U632" s="211">
        <v>614</v>
      </c>
      <c r="V632" s="178">
        <v>3540421383.9973278</v>
      </c>
    </row>
    <row r="633" spans="21:22" x14ac:dyDescent="0.25">
      <c r="U633" s="211">
        <v>615</v>
      </c>
      <c r="V633" s="178">
        <v>3672702418.8605237</v>
      </c>
    </row>
    <row r="634" spans="21:22" x14ac:dyDescent="0.25">
      <c r="U634" s="211">
        <v>616</v>
      </c>
      <c r="V634" s="178">
        <v>3737028002.6358109</v>
      </c>
    </row>
    <row r="635" spans="21:22" x14ac:dyDescent="0.25">
      <c r="U635" s="211">
        <v>617</v>
      </c>
      <c r="V635" s="178">
        <v>3821899826.4354</v>
      </c>
    </row>
    <row r="636" spans="21:22" x14ac:dyDescent="0.25">
      <c r="U636" s="211">
        <v>618</v>
      </c>
      <c r="V636" s="178">
        <v>3443876568.3502927</v>
      </c>
    </row>
    <row r="637" spans="21:22" x14ac:dyDescent="0.25">
      <c r="U637" s="211">
        <v>619</v>
      </c>
      <c r="V637" s="178">
        <v>3262044426.6120353</v>
      </c>
    </row>
    <row r="638" spans="21:22" x14ac:dyDescent="0.25">
      <c r="U638" s="211">
        <v>620</v>
      </c>
      <c r="V638" s="178">
        <v>4447041575.5597935</v>
      </c>
    </row>
    <row r="639" spans="21:22" x14ac:dyDescent="0.25">
      <c r="U639" s="211">
        <v>621</v>
      </c>
      <c r="V639" s="178">
        <v>4019085908.5357857</v>
      </c>
    </row>
    <row r="640" spans="21:22" x14ac:dyDescent="0.25">
      <c r="U640" s="211">
        <v>622</v>
      </c>
      <c r="V640" s="178">
        <v>3698013521.1989737</v>
      </c>
    </row>
    <row r="641" spans="21:22" x14ac:dyDescent="0.25">
      <c r="U641" s="211">
        <v>623</v>
      </c>
      <c r="V641" s="178">
        <v>3723555521.2171969</v>
      </c>
    </row>
    <row r="642" spans="21:22" x14ac:dyDescent="0.25">
      <c r="U642" s="211">
        <v>624</v>
      </c>
      <c r="V642" s="178">
        <v>3577951497.1700377</v>
      </c>
    </row>
    <row r="643" spans="21:22" x14ac:dyDescent="0.25">
      <c r="U643" s="211">
        <v>625</v>
      </c>
      <c r="V643" s="178">
        <v>3735863220.0914636</v>
      </c>
    </row>
    <row r="644" spans="21:22" x14ac:dyDescent="0.25">
      <c r="U644" s="211">
        <v>626</v>
      </c>
      <c r="V644" s="178">
        <v>3492776460.1238379</v>
      </c>
    </row>
    <row r="645" spans="21:22" x14ac:dyDescent="0.25">
      <c r="U645" s="211">
        <v>627</v>
      </c>
      <c r="V645" s="178">
        <v>3949525813.3556542</v>
      </c>
    </row>
    <row r="646" spans="21:22" x14ac:dyDescent="0.25">
      <c r="U646" s="211">
        <v>628</v>
      </c>
      <c r="V646" s="178">
        <v>3603253226.1505203</v>
      </c>
    </row>
    <row r="647" spans="21:22" x14ac:dyDescent="0.25">
      <c r="U647" s="211">
        <v>629</v>
      </c>
      <c r="V647" s="178">
        <v>3332490593.7079749</v>
      </c>
    </row>
    <row r="648" spans="21:22" x14ac:dyDescent="0.25">
      <c r="U648" s="211">
        <v>630</v>
      </c>
      <c r="V648" s="178">
        <v>3341806059.546371</v>
      </c>
    </row>
    <row r="649" spans="21:22" x14ac:dyDescent="0.25">
      <c r="U649" s="211">
        <v>631</v>
      </c>
      <c r="V649" s="178">
        <v>3333256731.7116394</v>
      </c>
    </row>
    <row r="650" spans="21:22" x14ac:dyDescent="0.25">
      <c r="U650" s="211">
        <v>632</v>
      </c>
      <c r="V650" s="178">
        <v>3675847690.509604</v>
      </c>
    </row>
    <row r="651" spans="21:22" x14ac:dyDescent="0.25">
      <c r="U651" s="211">
        <v>633</v>
      </c>
      <c r="V651" s="178">
        <v>3802865057.6097112</v>
      </c>
    </row>
    <row r="652" spans="21:22" x14ac:dyDescent="0.25">
      <c r="U652" s="211">
        <v>634</v>
      </c>
      <c r="V652" s="178">
        <v>3578609252.5111089</v>
      </c>
    </row>
    <row r="653" spans="21:22" x14ac:dyDescent="0.25">
      <c r="U653" s="211">
        <v>635</v>
      </c>
      <c r="V653" s="178">
        <v>3722746902.5763922</v>
      </c>
    </row>
    <row r="654" spans="21:22" x14ac:dyDescent="0.25">
      <c r="U654" s="211">
        <v>636</v>
      </c>
      <c r="V654" s="178">
        <v>3619912021.2863545</v>
      </c>
    </row>
    <row r="655" spans="21:22" x14ac:dyDescent="0.25">
      <c r="U655" s="211">
        <v>637</v>
      </c>
      <c r="V655" s="178">
        <v>3519171324.8630404</v>
      </c>
    </row>
    <row r="656" spans="21:22" x14ac:dyDescent="0.25">
      <c r="U656" s="211">
        <v>638</v>
      </c>
      <c r="V656" s="178">
        <v>4181469647.9061065</v>
      </c>
    </row>
    <row r="657" spans="21:22" x14ac:dyDescent="0.25">
      <c r="U657" s="211">
        <v>639</v>
      </c>
      <c r="V657" s="178">
        <v>4355512642.6710415</v>
      </c>
    </row>
    <row r="658" spans="21:22" x14ac:dyDescent="0.25">
      <c r="U658" s="211">
        <v>640</v>
      </c>
      <c r="V658" s="178">
        <v>3868758565.9759603</v>
      </c>
    </row>
    <row r="659" spans="21:22" x14ac:dyDescent="0.25">
      <c r="U659" s="211">
        <v>641</v>
      </c>
      <c r="V659" s="178">
        <v>3465665711.8828707</v>
      </c>
    </row>
    <row r="660" spans="21:22" x14ac:dyDescent="0.25">
      <c r="U660" s="211">
        <v>642</v>
      </c>
      <c r="V660" s="178">
        <v>3466738305.1093106</v>
      </c>
    </row>
    <row r="661" spans="21:22" x14ac:dyDescent="0.25">
      <c r="U661" s="211">
        <v>643</v>
      </c>
      <c r="V661" s="178">
        <v>4143836880.9592018</v>
      </c>
    </row>
    <row r="662" spans="21:22" x14ac:dyDescent="0.25">
      <c r="U662" s="211">
        <v>644</v>
      </c>
      <c r="V662" s="178">
        <v>3775881790.6153412</v>
      </c>
    </row>
    <row r="663" spans="21:22" x14ac:dyDescent="0.25">
      <c r="U663" s="211">
        <v>645</v>
      </c>
      <c r="V663" s="178">
        <v>3478342375.8955731</v>
      </c>
    </row>
    <row r="664" spans="21:22" x14ac:dyDescent="0.25">
      <c r="U664" s="211">
        <v>646</v>
      </c>
      <c r="V664" s="178">
        <v>3942683596.659328</v>
      </c>
    </row>
    <row r="665" spans="21:22" x14ac:dyDescent="0.25">
      <c r="U665" s="211">
        <v>647</v>
      </c>
      <c r="V665" s="178">
        <v>3854217066.9004455</v>
      </c>
    </row>
    <row r="666" spans="21:22" x14ac:dyDescent="0.25">
      <c r="U666" s="211">
        <v>648</v>
      </c>
      <c r="V666" s="178">
        <v>3700644443.4049015</v>
      </c>
    </row>
    <row r="667" spans="21:22" x14ac:dyDescent="0.25">
      <c r="U667" s="211">
        <v>649</v>
      </c>
      <c r="V667" s="178">
        <v>3737368127.4399123</v>
      </c>
    </row>
    <row r="668" spans="21:22" x14ac:dyDescent="0.25">
      <c r="U668" s="211">
        <v>650</v>
      </c>
      <c r="V668" s="178">
        <v>3891474603.4132214</v>
      </c>
    </row>
    <row r="669" spans="21:22" x14ac:dyDescent="0.25">
      <c r="U669" s="211">
        <v>651</v>
      </c>
      <c r="V669" s="178">
        <v>3649761345.256629</v>
      </c>
    </row>
    <row r="670" spans="21:22" x14ac:dyDescent="0.25">
      <c r="U670" s="211">
        <v>652</v>
      </c>
      <c r="V670" s="178">
        <v>3619405464.1601243</v>
      </c>
    </row>
    <row r="671" spans="21:22" x14ac:dyDescent="0.25">
      <c r="U671" s="211">
        <v>653</v>
      </c>
      <c r="V671" s="178">
        <v>4061087685.4724588</v>
      </c>
    </row>
    <row r="672" spans="21:22" x14ac:dyDescent="0.25">
      <c r="U672" s="211">
        <v>654</v>
      </c>
      <c r="V672" s="178">
        <v>3740627872.5186377</v>
      </c>
    </row>
    <row r="673" spans="21:22" x14ac:dyDescent="0.25">
      <c r="U673" s="211">
        <v>655</v>
      </c>
      <c r="V673" s="178">
        <v>4362670706.5205507</v>
      </c>
    </row>
    <row r="674" spans="21:22" x14ac:dyDescent="0.25">
      <c r="U674" s="211">
        <v>656</v>
      </c>
      <c r="V674" s="178">
        <v>3706281314.051744</v>
      </c>
    </row>
    <row r="675" spans="21:22" x14ac:dyDescent="0.25">
      <c r="U675" s="211">
        <v>657</v>
      </c>
      <c r="V675" s="178">
        <v>3627238198.9752655</v>
      </c>
    </row>
    <row r="676" spans="21:22" x14ac:dyDescent="0.25">
      <c r="U676" s="211">
        <v>658</v>
      </c>
      <c r="V676" s="178">
        <v>4022553538.0112605</v>
      </c>
    </row>
    <row r="677" spans="21:22" x14ac:dyDescent="0.25">
      <c r="U677" s="211">
        <v>659</v>
      </c>
      <c r="V677" s="178">
        <v>3650997497.1480627</v>
      </c>
    </row>
    <row r="678" spans="21:22" x14ac:dyDescent="0.25">
      <c r="U678" s="211">
        <v>660</v>
      </c>
      <c r="V678" s="178">
        <v>3295373034.1513424</v>
      </c>
    </row>
    <row r="679" spans="21:22" x14ac:dyDescent="0.25">
      <c r="U679" s="211">
        <v>661</v>
      </c>
      <c r="V679" s="178">
        <v>3879730711.5964122</v>
      </c>
    </row>
    <row r="680" spans="21:22" x14ac:dyDescent="0.25">
      <c r="U680" s="211">
        <v>662</v>
      </c>
      <c r="V680" s="178">
        <v>3644096072.0298872</v>
      </c>
    </row>
    <row r="681" spans="21:22" x14ac:dyDescent="0.25">
      <c r="U681" s="211">
        <v>663</v>
      </c>
      <c r="V681" s="178">
        <v>3417436083.6890397</v>
      </c>
    </row>
    <row r="682" spans="21:22" x14ac:dyDescent="0.25">
      <c r="U682" s="211">
        <v>664</v>
      </c>
      <c r="V682" s="178">
        <v>3187042114.8494697</v>
      </c>
    </row>
    <row r="683" spans="21:22" x14ac:dyDescent="0.25">
      <c r="U683" s="211">
        <v>665</v>
      </c>
      <c r="V683" s="178">
        <v>3616776181.3178072</v>
      </c>
    </row>
    <row r="684" spans="21:22" x14ac:dyDescent="0.25">
      <c r="U684" s="211">
        <v>666</v>
      </c>
      <c r="V684" s="178">
        <v>3975563703.4162807</v>
      </c>
    </row>
    <row r="685" spans="21:22" x14ac:dyDescent="0.25">
      <c r="U685" s="211">
        <v>667</v>
      </c>
      <c r="V685" s="178">
        <v>3227753744.0042677</v>
      </c>
    </row>
    <row r="686" spans="21:22" x14ac:dyDescent="0.25">
      <c r="U686" s="211">
        <v>668</v>
      </c>
      <c r="V686" s="178">
        <v>3411493755.7398362</v>
      </c>
    </row>
    <row r="687" spans="21:22" x14ac:dyDescent="0.25">
      <c r="U687" s="211">
        <v>669</v>
      </c>
      <c r="V687" s="178">
        <v>3366289027.4508948</v>
      </c>
    </row>
    <row r="688" spans="21:22" x14ac:dyDescent="0.25">
      <c r="U688" s="211">
        <v>670</v>
      </c>
      <c r="V688" s="178">
        <v>3566778670.6416807</v>
      </c>
    </row>
    <row r="689" spans="21:22" x14ac:dyDescent="0.25">
      <c r="U689" s="211">
        <v>671</v>
      </c>
      <c r="V689" s="178">
        <v>3998571999.119597</v>
      </c>
    </row>
    <row r="690" spans="21:22" x14ac:dyDescent="0.25">
      <c r="U690" s="211">
        <v>672</v>
      </c>
      <c r="V690" s="178">
        <v>3466535265.0958023</v>
      </c>
    </row>
    <row r="691" spans="21:22" x14ac:dyDescent="0.25">
      <c r="U691" s="211">
        <v>673</v>
      </c>
      <c r="V691" s="178">
        <v>3953287932.2820549</v>
      </c>
    </row>
    <row r="692" spans="21:22" x14ac:dyDescent="0.25">
      <c r="U692" s="211">
        <v>674</v>
      </c>
      <c r="V692" s="178">
        <v>3738650976.1941109</v>
      </c>
    </row>
    <row r="693" spans="21:22" x14ac:dyDescent="0.25">
      <c r="U693" s="211">
        <v>675</v>
      </c>
      <c r="V693" s="178">
        <v>3357062027.3559456</v>
      </c>
    </row>
    <row r="694" spans="21:22" x14ac:dyDescent="0.25">
      <c r="U694" s="211">
        <v>676</v>
      </c>
      <c r="V694" s="178">
        <v>3380967177.0642686</v>
      </c>
    </row>
    <row r="695" spans="21:22" x14ac:dyDescent="0.25">
      <c r="U695" s="211">
        <v>677</v>
      </c>
      <c r="V695" s="178">
        <v>3331864516.7675672</v>
      </c>
    </row>
    <row r="696" spans="21:22" x14ac:dyDescent="0.25">
      <c r="U696" s="211">
        <v>678</v>
      </c>
      <c r="V696" s="178">
        <v>4028407934.1535702</v>
      </c>
    </row>
    <row r="697" spans="21:22" x14ac:dyDescent="0.25">
      <c r="U697" s="211">
        <v>679</v>
      </c>
      <c r="V697" s="178">
        <v>3855386666.9076791</v>
      </c>
    </row>
    <row r="698" spans="21:22" x14ac:dyDescent="0.25">
      <c r="U698" s="211">
        <v>680</v>
      </c>
      <c r="V698" s="178">
        <v>3637751987.2437272</v>
      </c>
    </row>
    <row r="699" spans="21:22" x14ac:dyDescent="0.25">
      <c r="U699" s="211">
        <v>681</v>
      </c>
      <c r="V699" s="178">
        <v>3168017862.5629997</v>
      </c>
    </row>
    <row r="700" spans="21:22" x14ac:dyDescent="0.25">
      <c r="U700" s="211">
        <v>682</v>
      </c>
      <c r="V700" s="178">
        <v>4038908571.042201</v>
      </c>
    </row>
    <row r="701" spans="21:22" x14ac:dyDescent="0.25">
      <c r="U701" s="211">
        <v>683</v>
      </c>
      <c r="V701" s="178">
        <v>3654019934.001276</v>
      </c>
    </row>
    <row r="702" spans="21:22" x14ac:dyDescent="0.25">
      <c r="U702" s="211">
        <v>684</v>
      </c>
      <c r="V702" s="178">
        <v>3288833111.0235667</v>
      </c>
    </row>
    <row r="703" spans="21:22" x14ac:dyDescent="0.25">
      <c r="U703" s="211">
        <v>685</v>
      </c>
      <c r="V703" s="178">
        <v>4156124128.7538238</v>
      </c>
    </row>
    <row r="704" spans="21:22" x14ac:dyDescent="0.25">
      <c r="U704" s="211">
        <v>686</v>
      </c>
      <c r="V704" s="178">
        <v>3599101600.1735005</v>
      </c>
    </row>
    <row r="705" spans="21:22" x14ac:dyDescent="0.25">
      <c r="U705" s="211">
        <v>687</v>
      </c>
      <c r="V705" s="178">
        <v>3281279711.9397283</v>
      </c>
    </row>
    <row r="706" spans="21:22" x14ac:dyDescent="0.25">
      <c r="U706" s="211">
        <v>688</v>
      </c>
      <c r="V706" s="178">
        <v>3584494644.2486901</v>
      </c>
    </row>
    <row r="707" spans="21:22" x14ac:dyDescent="0.25">
      <c r="U707" s="211">
        <v>689</v>
      </c>
      <c r="V707" s="178">
        <v>3141680804.0978842</v>
      </c>
    </row>
    <row r="708" spans="21:22" x14ac:dyDescent="0.25">
      <c r="U708" s="211">
        <v>690</v>
      </c>
      <c r="V708" s="178">
        <v>3572442805.485661</v>
      </c>
    </row>
    <row r="709" spans="21:22" x14ac:dyDescent="0.25">
      <c r="U709" s="211">
        <v>691</v>
      </c>
      <c r="V709" s="178">
        <v>3771303196.6192341</v>
      </c>
    </row>
    <row r="710" spans="21:22" x14ac:dyDescent="0.25">
      <c r="U710" s="211">
        <v>692</v>
      </c>
      <c r="V710" s="178">
        <v>3513877534.5290093</v>
      </c>
    </row>
    <row r="711" spans="21:22" x14ac:dyDescent="0.25">
      <c r="U711" s="211">
        <v>693</v>
      </c>
      <c r="V711" s="178">
        <v>3147756903.7475252</v>
      </c>
    </row>
    <row r="712" spans="21:22" x14ac:dyDescent="0.25">
      <c r="U712" s="211">
        <v>694</v>
      </c>
      <c r="V712" s="178">
        <v>4223898167.945303</v>
      </c>
    </row>
    <row r="713" spans="21:22" x14ac:dyDescent="0.25">
      <c r="U713" s="211">
        <v>695</v>
      </c>
      <c r="V713" s="178">
        <v>3556556575.7629342</v>
      </c>
    </row>
    <row r="714" spans="21:22" x14ac:dyDescent="0.25">
      <c r="U714" s="211">
        <v>696</v>
      </c>
      <c r="V714" s="178">
        <v>3394106164.3385024</v>
      </c>
    </row>
    <row r="715" spans="21:22" x14ac:dyDescent="0.25">
      <c r="U715" s="211">
        <v>697</v>
      </c>
      <c r="V715" s="178">
        <v>3407249829.7759547</v>
      </c>
    </row>
    <row r="716" spans="21:22" x14ac:dyDescent="0.25">
      <c r="U716" s="211">
        <v>698</v>
      </c>
      <c r="V716" s="178">
        <v>3637286461.6286392</v>
      </c>
    </row>
    <row r="717" spans="21:22" x14ac:dyDescent="0.25">
      <c r="U717" s="211">
        <v>699</v>
      </c>
      <c r="V717" s="178">
        <v>3451553563.5469098</v>
      </c>
    </row>
    <row r="718" spans="21:22" x14ac:dyDescent="0.25">
      <c r="U718" s="211">
        <v>700</v>
      </c>
      <c r="V718" s="178">
        <v>3575100035.907794</v>
      </c>
    </row>
    <row r="719" spans="21:22" x14ac:dyDescent="0.25">
      <c r="U719" s="211">
        <v>701</v>
      </c>
      <c r="V719" s="178">
        <v>3417524722.308208</v>
      </c>
    </row>
    <row r="720" spans="21:22" x14ac:dyDescent="0.25">
      <c r="U720" s="211">
        <v>702</v>
      </c>
      <c r="V720" s="178">
        <v>3780660275.1662445</v>
      </c>
    </row>
    <row r="721" spans="21:22" x14ac:dyDescent="0.25">
      <c r="U721" s="211">
        <v>703</v>
      </c>
      <c r="V721" s="178">
        <v>3397284579.1973758</v>
      </c>
    </row>
    <row r="722" spans="21:22" x14ac:dyDescent="0.25">
      <c r="U722" s="211">
        <v>704</v>
      </c>
      <c r="V722" s="178">
        <v>3859935899.2668867</v>
      </c>
    </row>
    <row r="723" spans="21:22" x14ac:dyDescent="0.25">
      <c r="U723" s="211">
        <v>705</v>
      </c>
      <c r="V723" s="178">
        <v>3375049101.5233059</v>
      </c>
    </row>
    <row r="724" spans="21:22" x14ac:dyDescent="0.25">
      <c r="U724" s="211">
        <v>706</v>
      </c>
      <c r="V724" s="178">
        <v>3551790153.7773371</v>
      </c>
    </row>
    <row r="725" spans="21:22" x14ac:dyDescent="0.25">
      <c r="U725" s="211">
        <v>707</v>
      </c>
      <c r="V725" s="178">
        <v>3949635097.4725642</v>
      </c>
    </row>
    <row r="726" spans="21:22" x14ac:dyDescent="0.25">
      <c r="U726" s="211">
        <v>708</v>
      </c>
      <c r="V726" s="178">
        <v>3689565717.3146935</v>
      </c>
    </row>
    <row r="727" spans="21:22" x14ac:dyDescent="0.25">
      <c r="U727" s="211">
        <v>709</v>
      </c>
      <c r="V727" s="178">
        <v>3989976446.6942167</v>
      </c>
    </row>
    <row r="728" spans="21:22" x14ac:dyDescent="0.25">
      <c r="U728" s="211">
        <v>710</v>
      </c>
      <c r="V728" s="178">
        <v>3538142808.8050728</v>
      </c>
    </row>
    <row r="729" spans="21:22" x14ac:dyDescent="0.25">
      <c r="U729" s="211">
        <v>711</v>
      </c>
      <c r="V729" s="178">
        <v>3525678890.3544741</v>
      </c>
    </row>
    <row r="730" spans="21:22" x14ac:dyDescent="0.25">
      <c r="U730" s="211">
        <v>712</v>
      </c>
      <c r="V730" s="178">
        <v>3736510066.9576187</v>
      </c>
    </row>
    <row r="731" spans="21:22" x14ac:dyDescent="0.25">
      <c r="U731" s="211">
        <v>713</v>
      </c>
      <c r="V731" s="178">
        <v>3942209365.8997698</v>
      </c>
    </row>
    <row r="732" spans="21:22" x14ac:dyDescent="0.25">
      <c r="U732" s="211">
        <v>714</v>
      </c>
      <c r="V732" s="178">
        <v>3541123942.0629783</v>
      </c>
    </row>
    <row r="733" spans="21:22" x14ac:dyDescent="0.25">
      <c r="U733" s="211">
        <v>715</v>
      </c>
      <c r="V733" s="178">
        <v>3885367803.2645988</v>
      </c>
    </row>
    <row r="734" spans="21:22" x14ac:dyDescent="0.25">
      <c r="U734" s="211">
        <v>716</v>
      </c>
      <c r="V734" s="178">
        <v>3393606537.5449672</v>
      </c>
    </row>
    <row r="735" spans="21:22" x14ac:dyDescent="0.25">
      <c r="U735" s="211">
        <v>717</v>
      </c>
      <c r="V735" s="178">
        <v>3460382200.9893823</v>
      </c>
    </row>
    <row r="736" spans="21:22" x14ac:dyDescent="0.25">
      <c r="U736" s="211">
        <v>718</v>
      </c>
      <c r="V736" s="178">
        <v>4101632543.1860962</v>
      </c>
    </row>
    <row r="737" spans="21:22" x14ac:dyDescent="0.25">
      <c r="U737" s="211">
        <v>719</v>
      </c>
      <c r="V737" s="178">
        <v>3828578440.2594466</v>
      </c>
    </row>
    <row r="738" spans="21:22" x14ac:dyDescent="0.25">
      <c r="U738" s="211">
        <v>720</v>
      </c>
      <c r="V738" s="178">
        <v>3623386020.0172296</v>
      </c>
    </row>
    <row r="739" spans="21:22" x14ac:dyDescent="0.25">
      <c r="U739" s="211">
        <v>721</v>
      </c>
      <c r="V739" s="178">
        <v>3375533477.9966974</v>
      </c>
    </row>
    <row r="740" spans="21:22" x14ac:dyDescent="0.25">
      <c r="U740" s="211">
        <v>722</v>
      </c>
      <c r="V740" s="178">
        <v>3869220029.9825964</v>
      </c>
    </row>
    <row r="741" spans="21:22" x14ac:dyDescent="0.25">
      <c r="U741" s="211">
        <v>723</v>
      </c>
      <c r="V741" s="178">
        <v>4347126488.0631809</v>
      </c>
    </row>
    <row r="742" spans="21:22" x14ac:dyDescent="0.25">
      <c r="U742" s="211">
        <v>724</v>
      </c>
      <c r="V742" s="178">
        <v>3318551046.6099849</v>
      </c>
    </row>
    <row r="743" spans="21:22" x14ac:dyDescent="0.25">
      <c r="U743" s="211">
        <v>725</v>
      </c>
      <c r="V743" s="178">
        <v>3683285240.1513014</v>
      </c>
    </row>
    <row r="744" spans="21:22" x14ac:dyDescent="0.25">
      <c r="U744" s="211">
        <v>726</v>
      </c>
      <c r="V744" s="178">
        <v>3830401133.6871381</v>
      </c>
    </row>
    <row r="745" spans="21:22" x14ac:dyDescent="0.25">
      <c r="U745" s="211">
        <v>727</v>
      </c>
      <c r="V745" s="178">
        <v>3952047026.7923374</v>
      </c>
    </row>
    <row r="746" spans="21:22" x14ac:dyDescent="0.25">
      <c r="U746" s="211">
        <v>728</v>
      </c>
      <c r="V746" s="178">
        <v>3264557206.698925</v>
      </c>
    </row>
    <row r="747" spans="21:22" x14ac:dyDescent="0.25">
      <c r="U747" s="211">
        <v>729</v>
      </c>
      <c r="V747" s="178">
        <v>3825123081.6197591</v>
      </c>
    </row>
    <row r="748" spans="21:22" x14ac:dyDescent="0.25">
      <c r="U748" s="211">
        <v>730</v>
      </c>
      <c r="V748" s="178">
        <v>3196425042.6181626</v>
      </c>
    </row>
    <row r="749" spans="21:22" x14ac:dyDescent="0.25">
      <c r="U749" s="211">
        <v>731</v>
      </c>
      <c r="V749" s="178">
        <v>3318070947.7926831</v>
      </c>
    </row>
    <row r="750" spans="21:22" x14ac:dyDescent="0.25">
      <c r="U750" s="211">
        <v>732</v>
      </c>
      <c r="V750" s="178">
        <v>3916998880.1853223</v>
      </c>
    </row>
    <row r="751" spans="21:22" x14ac:dyDescent="0.25">
      <c r="U751" s="211">
        <v>733</v>
      </c>
      <c r="V751" s="178">
        <v>4363294408.2728262</v>
      </c>
    </row>
    <row r="752" spans="21:22" x14ac:dyDescent="0.25">
      <c r="U752" s="211">
        <v>734</v>
      </c>
      <c r="V752" s="178">
        <v>4221929718.632925</v>
      </c>
    </row>
    <row r="753" spans="21:22" x14ac:dyDescent="0.25">
      <c r="U753" s="211">
        <v>735</v>
      </c>
      <c r="V753" s="178">
        <v>3636789854.1732664</v>
      </c>
    </row>
    <row r="754" spans="21:22" x14ac:dyDescent="0.25">
      <c r="U754" s="211">
        <v>736</v>
      </c>
      <c r="V754" s="178">
        <v>3050713491.4585271</v>
      </c>
    </row>
    <row r="755" spans="21:22" x14ac:dyDescent="0.25">
      <c r="U755" s="211">
        <v>737</v>
      </c>
      <c r="V755" s="178">
        <v>3823455715.3408279</v>
      </c>
    </row>
    <row r="756" spans="21:22" x14ac:dyDescent="0.25">
      <c r="U756" s="211">
        <v>738</v>
      </c>
      <c r="V756" s="178">
        <v>3919338226.2799616</v>
      </c>
    </row>
    <row r="757" spans="21:22" x14ac:dyDescent="0.25">
      <c r="U757" s="211">
        <v>739</v>
      </c>
      <c r="V757" s="178">
        <v>3388432022.7135534</v>
      </c>
    </row>
    <row r="758" spans="21:22" x14ac:dyDescent="0.25">
      <c r="U758" s="211">
        <v>740</v>
      </c>
      <c r="V758" s="178">
        <v>3724770145.8683023</v>
      </c>
    </row>
    <row r="759" spans="21:22" x14ac:dyDescent="0.25">
      <c r="U759" s="211">
        <v>741</v>
      </c>
      <c r="V759" s="178">
        <v>3442693314.928309</v>
      </c>
    </row>
    <row r="760" spans="21:22" x14ac:dyDescent="0.25">
      <c r="U760" s="211">
        <v>742</v>
      </c>
      <c r="V760" s="178">
        <v>4252453982.5506248</v>
      </c>
    </row>
    <row r="761" spans="21:22" x14ac:dyDescent="0.25">
      <c r="U761" s="211">
        <v>743</v>
      </c>
      <c r="V761" s="178">
        <v>3974982296.4451203</v>
      </c>
    </row>
    <row r="762" spans="21:22" x14ac:dyDescent="0.25">
      <c r="U762" s="211">
        <v>744</v>
      </c>
      <c r="V762" s="178">
        <v>3192609647.5195932</v>
      </c>
    </row>
    <row r="763" spans="21:22" x14ac:dyDescent="0.25">
      <c r="U763" s="211">
        <v>745</v>
      </c>
      <c r="V763" s="178">
        <v>3835657931.4834738</v>
      </c>
    </row>
    <row r="764" spans="21:22" x14ac:dyDescent="0.25">
      <c r="U764" s="211">
        <v>746</v>
      </c>
      <c r="V764" s="178">
        <v>3336903149.207799</v>
      </c>
    </row>
    <row r="765" spans="21:22" x14ac:dyDescent="0.25">
      <c r="U765" s="211">
        <v>747</v>
      </c>
      <c r="V765" s="178">
        <v>3731834545.7133484</v>
      </c>
    </row>
    <row r="766" spans="21:22" x14ac:dyDescent="0.25">
      <c r="U766" s="211">
        <v>748</v>
      </c>
      <c r="V766" s="178">
        <v>4216042017.249135</v>
      </c>
    </row>
    <row r="767" spans="21:22" x14ac:dyDescent="0.25">
      <c r="U767" s="211">
        <v>749</v>
      </c>
      <c r="V767" s="178">
        <v>3593876605.0287881</v>
      </c>
    </row>
    <row r="768" spans="21:22" x14ac:dyDescent="0.25">
      <c r="U768" s="211">
        <v>750</v>
      </c>
      <c r="V768" s="178">
        <v>3452468814.4256496</v>
      </c>
    </row>
    <row r="769" spans="21:22" x14ac:dyDescent="0.25">
      <c r="U769" s="211">
        <v>751</v>
      </c>
      <c r="V769" s="178">
        <v>4201090113.7913055</v>
      </c>
    </row>
    <row r="770" spans="21:22" x14ac:dyDescent="0.25">
      <c r="U770" s="211">
        <v>752</v>
      </c>
      <c r="V770" s="178">
        <v>3815583251.8804479</v>
      </c>
    </row>
    <row r="771" spans="21:22" x14ac:dyDescent="0.25">
      <c r="U771" s="211">
        <v>753</v>
      </c>
      <c r="V771" s="178">
        <v>3601312104.2525673</v>
      </c>
    </row>
    <row r="772" spans="21:22" x14ac:dyDescent="0.25">
      <c r="U772" s="211">
        <v>754</v>
      </c>
      <c r="V772" s="178">
        <v>3672428092.3389668</v>
      </c>
    </row>
    <row r="773" spans="21:22" x14ac:dyDescent="0.25">
      <c r="U773" s="211">
        <v>755</v>
      </c>
      <c r="V773" s="178">
        <v>3672787992.9642563</v>
      </c>
    </row>
    <row r="774" spans="21:22" x14ac:dyDescent="0.25">
      <c r="U774" s="211">
        <v>756</v>
      </c>
      <c r="V774" s="178">
        <v>3358571829.9757686</v>
      </c>
    </row>
    <row r="775" spans="21:22" x14ac:dyDescent="0.25">
      <c r="U775" s="211">
        <v>757</v>
      </c>
      <c r="V775" s="178">
        <v>3146044403.1183233</v>
      </c>
    </row>
    <row r="776" spans="21:22" x14ac:dyDescent="0.25">
      <c r="U776" s="211">
        <v>758</v>
      </c>
      <c r="V776" s="178">
        <v>3413734671.6130133</v>
      </c>
    </row>
    <row r="777" spans="21:22" x14ac:dyDescent="0.25">
      <c r="U777" s="211">
        <v>759</v>
      </c>
      <c r="V777" s="178">
        <v>3634864673.9590621</v>
      </c>
    </row>
    <row r="778" spans="21:22" x14ac:dyDescent="0.25">
      <c r="U778" s="211">
        <v>760</v>
      </c>
      <c r="V778" s="178">
        <v>3307814809.3957739</v>
      </c>
    </row>
    <row r="779" spans="21:22" x14ac:dyDescent="0.25">
      <c r="U779" s="211">
        <v>761</v>
      </c>
      <c r="V779" s="178">
        <v>3650385673.7175584</v>
      </c>
    </row>
    <row r="780" spans="21:22" x14ac:dyDescent="0.25">
      <c r="U780" s="211">
        <v>762</v>
      </c>
      <c r="V780" s="178">
        <v>3426488979.9342818</v>
      </c>
    </row>
    <row r="781" spans="21:22" x14ac:dyDescent="0.25">
      <c r="U781" s="211">
        <v>763</v>
      </c>
      <c r="V781" s="178">
        <v>3344395446.6672044</v>
      </c>
    </row>
    <row r="782" spans="21:22" x14ac:dyDescent="0.25">
      <c r="U782" s="211">
        <v>764</v>
      </c>
      <c r="V782" s="178">
        <v>4236821492.0509076</v>
      </c>
    </row>
    <row r="783" spans="21:22" x14ac:dyDescent="0.25">
      <c r="U783" s="211">
        <v>765</v>
      </c>
      <c r="V783" s="178">
        <v>3192889081.0891023</v>
      </c>
    </row>
    <row r="784" spans="21:22" x14ac:dyDescent="0.25">
      <c r="U784" s="211">
        <v>766</v>
      </c>
      <c r="V784" s="178">
        <v>3636158327.7288799</v>
      </c>
    </row>
    <row r="785" spans="21:22" x14ac:dyDescent="0.25">
      <c r="U785" s="211">
        <v>767</v>
      </c>
      <c r="V785" s="178">
        <v>3392280843.950201</v>
      </c>
    </row>
    <row r="786" spans="21:22" x14ac:dyDescent="0.25">
      <c r="U786" s="211">
        <v>768</v>
      </c>
      <c r="V786" s="178">
        <v>3930058342.3250279</v>
      </c>
    </row>
    <row r="787" spans="21:22" x14ac:dyDescent="0.25">
      <c r="U787" s="211">
        <v>769</v>
      </c>
      <c r="V787" s="178">
        <v>3323987732.7525315</v>
      </c>
    </row>
    <row r="788" spans="21:22" x14ac:dyDescent="0.25">
      <c r="U788" s="211">
        <v>770</v>
      </c>
      <c r="V788" s="178">
        <v>3531137643.5564041</v>
      </c>
    </row>
    <row r="789" spans="21:22" x14ac:dyDescent="0.25">
      <c r="U789" s="211">
        <v>771</v>
      </c>
      <c r="V789" s="178">
        <v>3531470385.2612686</v>
      </c>
    </row>
    <row r="790" spans="21:22" x14ac:dyDescent="0.25">
      <c r="U790" s="211">
        <v>772</v>
      </c>
      <c r="V790" s="178">
        <v>3064960180.8715515</v>
      </c>
    </row>
    <row r="791" spans="21:22" x14ac:dyDescent="0.25">
      <c r="U791" s="211">
        <v>773</v>
      </c>
      <c r="V791" s="178">
        <v>3131928541.8922691</v>
      </c>
    </row>
    <row r="792" spans="21:22" x14ac:dyDescent="0.25">
      <c r="U792" s="211">
        <v>774</v>
      </c>
      <c r="V792" s="178">
        <v>3605127843.5104194</v>
      </c>
    </row>
    <row r="793" spans="21:22" x14ac:dyDescent="0.25">
      <c r="U793" s="211">
        <v>775</v>
      </c>
      <c r="V793" s="178">
        <v>3476387630.0129189</v>
      </c>
    </row>
    <row r="794" spans="21:22" x14ac:dyDescent="0.25">
      <c r="U794" s="211">
        <v>776</v>
      </c>
      <c r="V794" s="178">
        <v>3857036275.2671933</v>
      </c>
    </row>
    <row r="795" spans="21:22" x14ac:dyDescent="0.25">
      <c r="U795" s="211">
        <v>777</v>
      </c>
      <c r="V795" s="178">
        <v>3453236272.3770623</v>
      </c>
    </row>
    <row r="796" spans="21:22" x14ac:dyDescent="0.25">
      <c r="U796" s="211">
        <v>778</v>
      </c>
      <c r="V796" s="178">
        <v>3488601053.4661331</v>
      </c>
    </row>
    <row r="797" spans="21:22" x14ac:dyDescent="0.25">
      <c r="U797" s="211">
        <v>779</v>
      </c>
      <c r="V797" s="178">
        <v>3148754926.2624717</v>
      </c>
    </row>
    <row r="798" spans="21:22" x14ac:dyDescent="0.25">
      <c r="U798" s="211">
        <v>780</v>
      </c>
      <c r="V798" s="178">
        <v>3201071753.9182272</v>
      </c>
    </row>
    <row r="799" spans="21:22" x14ac:dyDescent="0.25">
      <c r="U799" s="211">
        <v>781</v>
      </c>
      <c r="V799" s="178">
        <v>3920531702.5071869</v>
      </c>
    </row>
    <row r="800" spans="21:22" x14ac:dyDescent="0.25">
      <c r="U800" s="211">
        <v>782</v>
      </c>
      <c r="V800" s="178">
        <v>3435805542.3078842</v>
      </c>
    </row>
    <row r="801" spans="21:22" x14ac:dyDescent="0.25">
      <c r="U801" s="211">
        <v>783</v>
      </c>
      <c r="V801" s="178">
        <v>3760957928.1158385</v>
      </c>
    </row>
    <row r="802" spans="21:22" x14ac:dyDescent="0.25">
      <c r="U802" s="211">
        <v>784</v>
      </c>
      <c r="V802" s="178">
        <v>4087872556.9569421</v>
      </c>
    </row>
    <row r="803" spans="21:22" x14ac:dyDescent="0.25">
      <c r="U803" s="211">
        <v>785</v>
      </c>
      <c r="V803" s="178">
        <v>3814820334.187799</v>
      </c>
    </row>
    <row r="804" spans="21:22" x14ac:dyDescent="0.25">
      <c r="U804" s="211">
        <v>786</v>
      </c>
      <c r="V804" s="178">
        <v>3860066358.1137195</v>
      </c>
    </row>
    <row r="805" spans="21:22" x14ac:dyDescent="0.25">
      <c r="U805" s="211">
        <v>787</v>
      </c>
      <c r="V805" s="178">
        <v>3614516362.4263854</v>
      </c>
    </row>
    <row r="806" spans="21:22" x14ac:dyDescent="0.25">
      <c r="U806" s="211">
        <v>788</v>
      </c>
      <c r="V806" s="178">
        <v>3916394136.1664777</v>
      </c>
    </row>
    <row r="807" spans="21:22" x14ac:dyDescent="0.25">
      <c r="U807" s="211">
        <v>789</v>
      </c>
      <c r="V807" s="178">
        <v>3392915199.7652478</v>
      </c>
    </row>
    <row r="808" spans="21:22" x14ac:dyDescent="0.25">
      <c r="U808" s="211">
        <v>790</v>
      </c>
      <c r="V808" s="178">
        <v>3449885839.5626259</v>
      </c>
    </row>
    <row r="809" spans="21:22" x14ac:dyDescent="0.25">
      <c r="U809" s="211">
        <v>791</v>
      </c>
      <c r="V809" s="178">
        <v>3579193522.4376526</v>
      </c>
    </row>
    <row r="810" spans="21:22" x14ac:dyDescent="0.25">
      <c r="U810" s="211">
        <v>792</v>
      </c>
      <c r="V810" s="178">
        <v>3697125501.3799505</v>
      </c>
    </row>
    <row r="811" spans="21:22" x14ac:dyDescent="0.25">
      <c r="U811" s="211">
        <v>793</v>
      </c>
      <c r="V811" s="178">
        <v>3719934764.4752755</v>
      </c>
    </row>
    <row r="812" spans="21:22" x14ac:dyDescent="0.25">
      <c r="U812" s="211">
        <v>794</v>
      </c>
      <c r="V812" s="178">
        <v>3619055838.1889014</v>
      </c>
    </row>
    <row r="813" spans="21:22" x14ac:dyDescent="0.25">
      <c r="U813" s="211">
        <v>795</v>
      </c>
      <c r="V813" s="178">
        <v>4075353550.7430735</v>
      </c>
    </row>
    <row r="814" spans="21:22" x14ac:dyDescent="0.25">
      <c r="U814" s="211">
        <v>796</v>
      </c>
      <c r="V814" s="178">
        <v>3618947494.8021607</v>
      </c>
    </row>
    <row r="815" spans="21:22" x14ac:dyDescent="0.25">
      <c r="U815" s="211">
        <v>797</v>
      </c>
      <c r="V815" s="178">
        <v>3267963216.7167106</v>
      </c>
    </row>
    <row r="816" spans="21:22" x14ac:dyDescent="0.25">
      <c r="U816" s="211">
        <v>798</v>
      </c>
      <c r="V816" s="178">
        <v>3549803748.8959937</v>
      </c>
    </row>
    <row r="817" spans="21:22" x14ac:dyDescent="0.25">
      <c r="U817" s="211">
        <v>799</v>
      </c>
      <c r="V817" s="178">
        <v>3572954860.9862924</v>
      </c>
    </row>
    <row r="818" spans="21:22" x14ac:dyDescent="0.25">
      <c r="U818" s="211">
        <v>800</v>
      </c>
      <c r="V818" s="178">
        <v>3398363474.303648</v>
      </c>
    </row>
    <row r="819" spans="21:22" x14ac:dyDescent="0.25">
      <c r="U819" s="211">
        <v>801</v>
      </c>
      <c r="V819" s="178">
        <v>3542143151.3993564</v>
      </c>
    </row>
    <row r="820" spans="21:22" x14ac:dyDescent="0.25">
      <c r="U820" s="211">
        <v>802</v>
      </c>
      <c r="V820" s="178">
        <v>3796660396.6031961</v>
      </c>
    </row>
    <row r="821" spans="21:22" x14ac:dyDescent="0.25">
      <c r="U821" s="211">
        <v>803</v>
      </c>
      <c r="V821" s="178">
        <v>3510312795.3980069</v>
      </c>
    </row>
    <row r="822" spans="21:22" x14ac:dyDescent="0.25">
      <c r="U822" s="211">
        <v>804</v>
      </c>
      <c r="V822" s="178">
        <v>3683145942.7799792</v>
      </c>
    </row>
    <row r="823" spans="21:22" x14ac:dyDescent="0.25">
      <c r="U823" s="211">
        <v>805</v>
      </c>
      <c r="V823" s="178">
        <v>3479581417.053668</v>
      </c>
    </row>
    <row r="824" spans="21:22" x14ac:dyDescent="0.25">
      <c r="U824" s="211">
        <v>806</v>
      </c>
      <c r="V824" s="178">
        <v>3608058389.1350255</v>
      </c>
    </row>
    <row r="825" spans="21:22" x14ac:dyDescent="0.25">
      <c r="U825" s="211">
        <v>807</v>
      </c>
      <c r="V825" s="178">
        <v>3300616316.3262115</v>
      </c>
    </row>
    <row r="826" spans="21:22" x14ac:dyDescent="0.25">
      <c r="U826" s="211">
        <v>808</v>
      </c>
      <c r="V826" s="178">
        <v>3788839537.5926652</v>
      </c>
    </row>
    <row r="827" spans="21:22" x14ac:dyDescent="0.25">
      <c r="U827" s="211">
        <v>809</v>
      </c>
      <c r="V827" s="178">
        <v>3608789695.0124097</v>
      </c>
    </row>
    <row r="828" spans="21:22" x14ac:dyDescent="0.25">
      <c r="U828" s="211">
        <v>810</v>
      </c>
      <c r="V828" s="178">
        <v>3436769842.0994911</v>
      </c>
    </row>
    <row r="829" spans="21:22" x14ac:dyDescent="0.25">
      <c r="U829" s="211">
        <v>811</v>
      </c>
      <c r="V829" s="178">
        <v>3350040107.5683508</v>
      </c>
    </row>
    <row r="830" spans="21:22" x14ac:dyDescent="0.25">
      <c r="U830" s="211">
        <v>812</v>
      </c>
      <c r="V830" s="178">
        <v>3727120856.9024019</v>
      </c>
    </row>
    <row r="831" spans="21:22" x14ac:dyDescent="0.25">
      <c r="U831" s="211">
        <v>813</v>
      </c>
      <c r="V831" s="178">
        <v>3344458916.5748758</v>
      </c>
    </row>
    <row r="832" spans="21:22" x14ac:dyDescent="0.25">
      <c r="U832" s="211">
        <v>814</v>
      </c>
      <c r="V832" s="178">
        <v>3873599601.7968779</v>
      </c>
    </row>
    <row r="833" spans="21:22" x14ac:dyDescent="0.25">
      <c r="U833" s="211">
        <v>815</v>
      </c>
      <c r="V833" s="178">
        <v>3888072102.5997849</v>
      </c>
    </row>
    <row r="834" spans="21:22" x14ac:dyDescent="0.25">
      <c r="U834" s="211">
        <v>816</v>
      </c>
      <c r="V834" s="178">
        <v>3821647888.1371088</v>
      </c>
    </row>
    <row r="835" spans="21:22" x14ac:dyDescent="0.25">
      <c r="U835" s="211">
        <v>817</v>
      </c>
      <c r="V835" s="178">
        <v>3310814681.9548268</v>
      </c>
    </row>
    <row r="836" spans="21:22" x14ac:dyDescent="0.25">
      <c r="U836" s="211">
        <v>818</v>
      </c>
      <c r="V836" s="178">
        <v>3880055426.3484387</v>
      </c>
    </row>
    <row r="837" spans="21:22" x14ac:dyDescent="0.25">
      <c r="U837" s="211">
        <v>819</v>
      </c>
      <c r="V837" s="178">
        <v>3432119431.2018619</v>
      </c>
    </row>
    <row r="838" spans="21:22" x14ac:dyDescent="0.25">
      <c r="U838" s="211">
        <v>820</v>
      </c>
      <c r="V838" s="178">
        <v>3806464980.3535085</v>
      </c>
    </row>
    <row r="839" spans="21:22" x14ac:dyDescent="0.25">
      <c r="U839" s="211">
        <v>821</v>
      </c>
      <c r="V839" s="178">
        <v>3600109914.9502912</v>
      </c>
    </row>
    <row r="840" spans="21:22" x14ac:dyDescent="0.25">
      <c r="U840" s="211">
        <v>822</v>
      </c>
      <c r="V840" s="178">
        <v>3343543709.1426702</v>
      </c>
    </row>
    <row r="841" spans="21:22" x14ac:dyDescent="0.25">
      <c r="U841" s="211">
        <v>823</v>
      </c>
      <c r="V841" s="178">
        <v>3328522556.7470088</v>
      </c>
    </row>
    <row r="842" spans="21:22" x14ac:dyDescent="0.25">
      <c r="U842" s="211">
        <v>824</v>
      </c>
      <c r="V842" s="178">
        <v>3465582834.9551544</v>
      </c>
    </row>
    <row r="843" spans="21:22" x14ac:dyDescent="0.25">
      <c r="U843" s="211">
        <v>825</v>
      </c>
      <c r="V843" s="178">
        <v>3468894859.0846653</v>
      </c>
    </row>
    <row r="844" spans="21:22" x14ac:dyDescent="0.25">
      <c r="U844" s="211">
        <v>826</v>
      </c>
      <c r="V844" s="178">
        <v>3710473235.8580918</v>
      </c>
    </row>
    <row r="845" spans="21:22" x14ac:dyDescent="0.25">
      <c r="U845" s="211">
        <v>827</v>
      </c>
      <c r="V845" s="178">
        <v>4021601271.6039844</v>
      </c>
    </row>
    <row r="846" spans="21:22" x14ac:dyDescent="0.25">
      <c r="U846" s="211">
        <v>828</v>
      </c>
      <c r="V846" s="178">
        <v>3717070547.2483735</v>
      </c>
    </row>
    <row r="847" spans="21:22" x14ac:dyDescent="0.25">
      <c r="U847" s="211">
        <v>829</v>
      </c>
      <c r="V847" s="178">
        <v>3479907802.6861148</v>
      </c>
    </row>
    <row r="848" spans="21:22" x14ac:dyDescent="0.25">
      <c r="U848" s="211">
        <v>830</v>
      </c>
      <c r="V848" s="178">
        <v>3751374508.5753632</v>
      </c>
    </row>
    <row r="849" spans="21:22" x14ac:dyDescent="0.25">
      <c r="U849" s="211">
        <v>831</v>
      </c>
      <c r="V849" s="178">
        <v>3435127689.2917533</v>
      </c>
    </row>
    <row r="850" spans="21:22" x14ac:dyDescent="0.25">
      <c r="U850" s="211">
        <v>832</v>
      </c>
      <c r="V850" s="178">
        <v>4057076997.6665382</v>
      </c>
    </row>
    <row r="851" spans="21:22" x14ac:dyDescent="0.25">
      <c r="U851" s="211">
        <v>833</v>
      </c>
      <c r="V851" s="178">
        <v>3503487123.111577</v>
      </c>
    </row>
    <row r="852" spans="21:22" x14ac:dyDescent="0.25">
      <c r="U852" s="211">
        <v>834</v>
      </c>
      <c r="V852" s="178">
        <v>4157010374.1186872</v>
      </c>
    </row>
    <row r="853" spans="21:22" x14ac:dyDescent="0.25">
      <c r="U853" s="211">
        <v>835</v>
      </c>
      <c r="V853" s="178">
        <v>4005308114.5137219</v>
      </c>
    </row>
    <row r="854" spans="21:22" x14ac:dyDescent="0.25">
      <c r="U854" s="211">
        <v>836</v>
      </c>
      <c r="V854" s="178">
        <v>3476250150.0007997</v>
      </c>
    </row>
    <row r="855" spans="21:22" x14ac:dyDescent="0.25">
      <c r="U855" s="211">
        <v>837</v>
      </c>
      <c r="V855" s="178">
        <v>3963883891.7681432</v>
      </c>
    </row>
    <row r="856" spans="21:22" x14ac:dyDescent="0.25">
      <c r="U856" s="211">
        <v>838</v>
      </c>
      <c r="V856" s="178">
        <v>3802214785.4956708</v>
      </c>
    </row>
    <row r="857" spans="21:22" x14ac:dyDescent="0.25">
      <c r="U857" s="211">
        <v>839</v>
      </c>
      <c r="V857" s="178">
        <v>3424321537.5068102</v>
      </c>
    </row>
    <row r="858" spans="21:22" x14ac:dyDescent="0.25">
      <c r="U858" s="211">
        <v>840</v>
      </c>
      <c r="V858" s="178">
        <v>3425378389.6752677</v>
      </c>
    </row>
    <row r="859" spans="21:22" x14ac:dyDescent="0.25">
      <c r="U859" s="211">
        <v>841</v>
      </c>
      <c r="V859" s="178">
        <v>3071238658.5703006</v>
      </c>
    </row>
    <row r="860" spans="21:22" x14ac:dyDescent="0.25">
      <c r="U860" s="211">
        <v>842</v>
      </c>
      <c r="V860" s="178">
        <v>3768890840.6239295</v>
      </c>
    </row>
    <row r="861" spans="21:22" x14ac:dyDescent="0.25">
      <c r="U861" s="211">
        <v>843</v>
      </c>
      <c r="V861" s="178">
        <v>3379364683.8863053</v>
      </c>
    </row>
    <row r="862" spans="21:22" x14ac:dyDescent="0.25">
      <c r="U862" s="211">
        <v>844</v>
      </c>
      <c r="V862" s="178">
        <v>3569168715.8752642</v>
      </c>
    </row>
    <row r="863" spans="21:22" x14ac:dyDescent="0.25">
      <c r="U863" s="211">
        <v>845</v>
      </c>
      <c r="V863" s="178">
        <v>3605455040.8544416</v>
      </c>
    </row>
    <row r="864" spans="21:22" x14ac:dyDescent="0.25">
      <c r="U864" s="211">
        <v>846</v>
      </c>
      <c r="V864" s="178">
        <v>3491020317.4648881</v>
      </c>
    </row>
    <row r="865" spans="21:22" x14ac:dyDescent="0.25">
      <c r="U865" s="211">
        <v>847</v>
      </c>
      <c r="V865" s="178">
        <v>2877262359.1942973</v>
      </c>
    </row>
    <row r="866" spans="21:22" x14ac:dyDescent="0.25">
      <c r="U866" s="211">
        <v>848</v>
      </c>
      <c r="V866" s="178">
        <v>3857814991.093461</v>
      </c>
    </row>
    <row r="867" spans="21:22" x14ac:dyDescent="0.25">
      <c r="U867" s="211">
        <v>849</v>
      </c>
      <c r="V867" s="178">
        <v>3450009812.7630134</v>
      </c>
    </row>
    <row r="868" spans="21:22" x14ac:dyDescent="0.25">
      <c r="U868" s="211">
        <v>850</v>
      </c>
      <c r="V868" s="178">
        <v>3715917410.0497785</v>
      </c>
    </row>
    <row r="869" spans="21:22" x14ac:dyDescent="0.25">
      <c r="U869" s="211">
        <v>851</v>
      </c>
      <c r="V869" s="178">
        <v>3645694383.7720704</v>
      </c>
    </row>
    <row r="870" spans="21:22" x14ac:dyDescent="0.25">
      <c r="U870" s="211">
        <v>852</v>
      </c>
      <c r="V870" s="178">
        <v>3916443545.1085734</v>
      </c>
    </row>
    <row r="871" spans="21:22" x14ac:dyDescent="0.25">
      <c r="U871" s="211">
        <v>853</v>
      </c>
      <c r="V871" s="178">
        <v>3548543346.4202213</v>
      </c>
    </row>
    <row r="872" spans="21:22" x14ac:dyDescent="0.25">
      <c r="U872" s="211">
        <v>854</v>
      </c>
      <c r="V872" s="178">
        <v>3801914596.8853755</v>
      </c>
    </row>
    <row r="873" spans="21:22" x14ac:dyDescent="0.25">
      <c r="U873" s="211">
        <v>855</v>
      </c>
      <c r="V873" s="178">
        <v>3429770065.1673379</v>
      </c>
    </row>
    <row r="874" spans="21:22" x14ac:dyDescent="0.25">
      <c r="U874" s="211">
        <v>856</v>
      </c>
      <c r="V874" s="178">
        <v>3768117923.1065798</v>
      </c>
    </row>
    <row r="875" spans="21:22" x14ac:dyDescent="0.25">
      <c r="U875" s="211">
        <v>857</v>
      </c>
      <c r="V875" s="178">
        <v>3474853057.2098398</v>
      </c>
    </row>
    <row r="876" spans="21:22" x14ac:dyDescent="0.25">
      <c r="U876" s="211">
        <v>858</v>
      </c>
      <c r="V876" s="178">
        <v>3996990043.3121281</v>
      </c>
    </row>
    <row r="877" spans="21:22" x14ac:dyDescent="0.25">
      <c r="U877" s="211">
        <v>859</v>
      </c>
      <c r="V877" s="178">
        <v>4015106260.9560823</v>
      </c>
    </row>
    <row r="878" spans="21:22" x14ac:dyDescent="0.25">
      <c r="U878" s="211">
        <v>860</v>
      </c>
      <c r="V878" s="178">
        <v>3327567735.1206555</v>
      </c>
    </row>
    <row r="879" spans="21:22" x14ac:dyDescent="0.25">
      <c r="U879" s="211">
        <v>861</v>
      </c>
      <c r="V879" s="178">
        <v>3911175345.2020068</v>
      </c>
    </row>
    <row r="880" spans="21:22" x14ac:dyDescent="0.25">
      <c r="U880" s="211">
        <v>862</v>
      </c>
      <c r="V880" s="178">
        <v>3452975910.9740252</v>
      </c>
    </row>
    <row r="881" spans="21:22" x14ac:dyDescent="0.25">
      <c r="U881" s="211">
        <v>863</v>
      </c>
      <c r="V881" s="178">
        <v>3397518480.1786461</v>
      </c>
    </row>
    <row r="882" spans="21:22" x14ac:dyDescent="0.25">
      <c r="U882" s="211">
        <v>864</v>
      </c>
      <c r="V882" s="178">
        <v>3889911206.060441</v>
      </c>
    </row>
    <row r="883" spans="21:22" x14ac:dyDescent="0.25">
      <c r="U883" s="211">
        <v>865</v>
      </c>
      <c r="V883" s="178">
        <v>3931486664.2072072</v>
      </c>
    </row>
    <row r="884" spans="21:22" x14ac:dyDescent="0.25">
      <c r="U884" s="211">
        <v>866</v>
      </c>
      <c r="V884" s="178">
        <v>4015295919.9555225</v>
      </c>
    </row>
    <row r="885" spans="21:22" x14ac:dyDescent="0.25">
      <c r="U885" s="211">
        <v>867</v>
      </c>
      <c r="V885" s="178">
        <v>3488100562.4354854</v>
      </c>
    </row>
    <row r="886" spans="21:22" x14ac:dyDescent="0.25">
      <c r="U886" s="211">
        <v>868</v>
      </c>
      <c r="V886" s="178">
        <v>4010459767.5684853</v>
      </c>
    </row>
    <row r="887" spans="21:22" x14ac:dyDescent="0.25">
      <c r="U887" s="211">
        <v>869</v>
      </c>
      <c r="V887" s="178">
        <v>4655519111.4605227</v>
      </c>
    </row>
    <row r="888" spans="21:22" x14ac:dyDescent="0.25">
      <c r="U888" s="211">
        <v>870</v>
      </c>
      <c r="V888" s="178">
        <v>3603828827.4643974</v>
      </c>
    </row>
    <row r="889" spans="21:22" x14ac:dyDescent="0.25">
      <c r="U889" s="211">
        <v>871</v>
      </c>
      <c r="V889" s="178">
        <v>3377851329.1881933</v>
      </c>
    </row>
    <row r="890" spans="21:22" x14ac:dyDescent="0.25">
      <c r="U890" s="211">
        <v>872</v>
      </c>
      <c r="V890" s="178">
        <v>3306426427.7510786</v>
      </c>
    </row>
    <row r="891" spans="21:22" x14ac:dyDescent="0.25">
      <c r="U891" s="211">
        <v>873</v>
      </c>
      <c r="V891" s="178">
        <v>3149448988.104598</v>
      </c>
    </row>
    <row r="892" spans="21:22" x14ac:dyDescent="0.25">
      <c r="U892" s="211">
        <v>874</v>
      </c>
      <c r="V892" s="178">
        <v>3269279317.241447</v>
      </c>
    </row>
    <row r="893" spans="21:22" x14ac:dyDescent="0.25">
      <c r="U893" s="211">
        <v>875</v>
      </c>
      <c r="V893" s="178">
        <v>3695988943.7282319</v>
      </c>
    </row>
    <row r="894" spans="21:22" x14ac:dyDescent="0.25">
      <c r="U894" s="211">
        <v>876</v>
      </c>
      <c r="V894" s="178">
        <v>3802977590.6150246</v>
      </c>
    </row>
    <row r="895" spans="21:22" x14ac:dyDescent="0.25">
      <c r="U895" s="211">
        <v>877</v>
      </c>
      <c r="V895" s="178">
        <v>3765319643.0876255</v>
      </c>
    </row>
    <row r="896" spans="21:22" x14ac:dyDescent="0.25">
      <c r="U896" s="211">
        <v>878</v>
      </c>
      <c r="V896" s="178">
        <v>3502628200.1878099</v>
      </c>
    </row>
    <row r="897" spans="21:22" x14ac:dyDescent="0.25">
      <c r="U897" s="211">
        <v>879</v>
      </c>
      <c r="V897" s="178">
        <v>3565846467.6628227</v>
      </c>
    </row>
    <row r="898" spans="21:22" x14ac:dyDescent="0.25">
      <c r="U898" s="211">
        <v>880</v>
      </c>
      <c r="V898" s="178">
        <v>3907552823.2030129</v>
      </c>
    </row>
    <row r="899" spans="21:22" x14ac:dyDescent="0.25">
      <c r="U899" s="211">
        <v>881</v>
      </c>
      <c r="V899" s="178">
        <v>3386977228.7801647</v>
      </c>
    </row>
    <row r="900" spans="21:22" x14ac:dyDescent="0.25">
      <c r="U900" s="211">
        <v>882</v>
      </c>
      <c r="V900" s="178">
        <v>4146712171.7736535</v>
      </c>
    </row>
    <row r="901" spans="21:22" x14ac:dyDescent="0.25">
      <c r="U901" s="211">
        <v>883</v>
      </c>
      <c r="V901" s="178">
        <v>3455124782.2206478</v>
      </c>
    </row>
    <row r="902" spans="21:22" x14ac:dyDescent="0.25">
      <c r="U902" s="211">
        <v>884</v>
      </c>
      <c r="V902" s="178">
        <v>4184489668.8562665</v>
      </c>
    </row>
    <row r="903" spans="21:22" x14ac:dyDescent="0.25">
      <c r="U903" s="211">
        <v>885</v>
      </c>
      <c r="V903" s="178">
        <v>3695529964.0987372</v>
      </c>
    </row>
    <row r="904" spans="21:22" x14ac:dyDescent="0.25">
      <c r="U904" s="211">
        <v>886</v>
      </c>
      <c r="V904" s="178">
        <v>3470553228.4279928</v>
      </c>
    </row>
    <row r="905" spans="21:22" x14ac:dyDescent="0.25">
      <c r="U905" s="211">
        <v>887</v>
      </c>
      <c r="V905" s="178">
        <v>3763425773.4646821</v>
      </c>
    </row>
    <row r="906" spans="21:22" x14ac:dyDescent="0.25">
      <c r="U906" s="211">
        <v>888</v>
      </c>
      <c r="V906" s="178">
        <v>3999475807.3326807</v>
      </c>
    </row>
    <row r="907" spans="21:22" x14ac:dyDescent="0.25">
      <c r="U907" s="211">
        <v>889</v>
      </c>
      <c r="V907" s="178">
        <v>4508130292.2695179</v>
      </c>
    </row>
    <row r="908" spans="21:22" x14ac:dyDescent="0.25">
      <c r="U908" s="211">
        <v>890</v>
      </c>
      <c r="V908" s="178">
        <v>3805618698.699553</v>
      </c>
    </row>
    <row r="909" spans="21:22" x14ac:dyDescent="0.25">
      <c r="U909" s="211">
        <v>891</v>
      </c>
      <c r="V909" s="178">
        <v>3513905890.2490821</v>
      </c>
    </row>
    <row r="910" spans="21:22" x14ac:dyDescent="0.25">
      <c r="U910" s="211">
        <v>892</v>
      </c>
      <c r="V910" s="178">
        <v>3160826491.3153305</v>
      </c>
    </row>
    <row r="911" spans="21:22" x14ac:dyDescent="0.25">
      <c r="U911" s="211">
        <v>893</v>
      </c>
      <c r="V911" s="178">
        <v>3838223410.2371783</v>
      </c>
    </row>
    <row r="912" spans="21:22" x14ac:dyDescent="0.25">
      <c r="U912" s="211">
        <v>894</v>
      </c>
      <c r="V912" s="178">
        <v>3670604335.7338409</v>
      </c>
    </row>
    <row r="913" spans="21:22" x14ac:dyDescent="0.25">
      <c r="U913" s="211">
        <v>895</v>
      </c>
      <c r="V913" s="178">
        <v>3648559779.4249959</v>
      </c>
    </row>
    <row r="914" spans="21:22" x14ac:dyDescent="0.25">
      <c r="U914" s="211">
        <v>896</v>
      </c>
      <c r="V914" s="178">
        <v>3517824337.264533</v>
      </c>
    </row>
    <row r="915" spans="21:22" x14ac:dyDescent="0.25">
      <c r="U915" s="211">
        <v>897</v>
      </c>
      <c r="V915" s="178">
        <v>3372294750.8454776</v>
      </c>
    </row>
    <row r="916" spans="21:22" x14ac:dyDescent="0.25">
      <c r="U916" s="211">
        <v>898</v>
      </c>
      <c r="V916" s="178">
        <v>3819123857.840014</v>
      </c>
    </row>
    <row r="917" spans="21:22" x14ac:dyDescent="0.25">
      <c r="U917" s="211">
        <v>899</v>
      </c>
      <c r="V917" s="178">
        <v>3400052691.3975668</v>
      </c>
    </row>
    <row r="918" spans="21:22" x14ac:dyDescent="0.25">
      <c r="U918" s="211">
        <v>900</v>
      </c>
      <c r="V918" s="178">
        <v>3632048452.1230416</v>
      </c>
    </row>
    <row r="919" spans="21:22" x14ac:dyDescent="0.25">
      <c r="U919" s="211">
        <v>901</v>
      </c>
      <c r="V919" s="178">
        <v>3975421874.5263186</v>
      </c>
    </row>
    <row r="920" spans="21:22" x14ac:dyDescent="0.25">
      <c r="U920" s="211">
        <v>902</v>
      </c>
      <c r="V920" s="178">
        <v>3367462015.9317884</v>
      </c>
    </row>
    <row r="921" spans="21:22" x14ac:dyDescent="0.25">
      <c r="U921" s="211">
        <v>903</v>
      </c>
      <c r="V921" s="178">
        <v>4085795729.0334888</v>
      </c>
    </row>
    <row r="922" spans="21:22" x14ac:dyDescent="0.25">
      <c r="U922" s="211">
        <v>904</v>
      </c>
      <c r="V922" s="178">
        <v>3994946693.891829</v>
      </c>
    </row>
    <row r="923" spans="21:22" x14ac:dyDescent="0.25">
      <c r="U923" s="211">
        <v>905</v>
      </c>
      <c r="V923" s="178">
        <v>3954476288.7412243</v>
      </c>
    </row>
    <row r="924" spans="21:22" x14ac:dyDescent="0.25">
      <c r="U924" s="211">
        <v>906</v>
      </c>
      <c r="V924" s="178">
        <v>3723539971.2452259</v>
      </c>
    </row>
    <row r="925" spans="21:22" x14ac:dyDescent="0.25">
      <c r="U925" s="211">
        <v>907</v>
      </c>
      <c r="V925" s="178">
        <v>3620668391.397471</v>
      </c>
    </row>
    <row r="926" spans="21:22" x14ac:dyDescent="0.25">
      <c r="U926" s="211">
        <v>908</v>
      </c>
      <c r="V926" s="178">
        <v>3495150022.9949298</v>
      </c>
    </row>
    <row r="927" spans="21:22" x14ac:dyDescent="0.25">
      <c r="U927" s="211">
        <v>909</v>
      </c>
      <c r="V927" s="178">
        <v>3854755725.92663</v>
      </c>
    </row>
    <row r="928" spans="21:22" x14ac:dyDescent="0.25">
      <c r="U928" s="211">
        <v>910</v>
      </c>
      <c r="V928" s="178">
        <v>3739976526.2376552</v>
      </c>
    </row>
    <row r="929" spans="21:22" x14ac:dyDescent="0.25">
      <c r="U929" s="211">
        <v>911</v>
      </c>
      <c r="V929" s="178">
        <v>3588491881.8783975</v>
      </c>
    </row>
    <row r="930" spans="21:22" x14ac:dyDescent="0.25">
      <c r="U930" s="211">
        <v>912</v>
      </c>
      <c r="V930" s="178">
        <v>3281673850.2018027</v>
      </c>
    </row>
    <row r="931" spans="21:22" x14ac:dyDescent="0.25">
      <c r="U931" s="211">
        <v>913</v>
      </c>
      <c r="V931" s="178">
        <v>3748685344.9224515</v>
      </c>
    </row>
    <row r="932" spans="21:22" x14ac:dyDescent="0.25">
      <c r="U932" s="211">
        <v>914</v>
      </c>
      <c r="V932" s="178">
        <v>3895475151.5553865</v>
      </c>
    </row>
    <row r="933" spans="21:22" x14ac:dyDescent="0.25">
      <c r="U933" s="211">
        <v>915</v>
      </c>
      <c r="V933" s="178">
        <v>3928394453.3246541</v>
      </c>
    </row>
    <row r="934" spans="21:22" x14ac:dyDescent="0.25">
      <c r="U934" s="211">
        <v>916</v>
      </c>
      <c r="V934" s="178">
        <v>3489866005.3554111</v>
      </c>
    </row>
    <row r="935" spans="21:22" x14ac:dyDescent="0.25">
      <c r="U935" s="211">
        <v>917</v>
      </c>
      <c r="V935" s="178">
        <v>2902939106.3418803</v>
      </c>
    </row>
    <row r="936" spans="21:22" x14ac:dyDescent="0.25">
      <c r="U936" s="211">
        <v>918</v>
      </c>
      <c r="V936" s="178">
        <v>3968066031.5742149</v>
      </c>
    </row>
    <row r="937" spans="21:22" x14ac:dyDescent="0.25">
      <c r="U937" s="211">
        <v>919</v>
      </c>
      <c r="V937" s="178">
        <v>3956400214.5403461</v>
      </c>
    </row>
    <row r="938" spans="21:22" x14ac:dyDescent="0.25">
      <c r="U938" s="211">
        <v>920</v>
      </c>
      <c r="V938" s="178">
        <v>3921465105.5919533</v>
      </c>
    </row>
    <row r="939" spans="21:22" x14ac:dyDescent="0.25">
      <c r="U939" s="211">
        <v>921</v>
      </c>
      <c r="V939" s="178">
        <v>3819579272.758791</v>
      </c>
    </row>
    <row r="940" spans="21:22" x14ac:dyDescent="0.25">
      <c r="U940" s="211">
        <v>922</v>
      </c>
      <c r="V940" s="178">
        <v>3818524554.2254286</v>
      </c>
    </row>
    <row r="941" spans="21:22" x14ac:dyDescent="0.25">
      <c r="U941" s="211">
        <v>923</v>
      </c>
      <c r="V941" s="178">
        <v>3507691024.6539178</v>
      </c>
    </row>
    <row r="942" spans="21:22" x14ac:dyDescent="0.25">
      <c r="U942" s="211">
        <v>924</v>
      </c>
      <c r="V942" s="178">
        <v>3973065509.6791148</v>
      </c>
    </row>
    <row r="943" spans="21:22" x14ac:dyDescent="0.25">
      <c r="U943" s="211">
        <v>925</v>
      </c>
      <c r="V943" s="178">
        <v>4010647521.5988841</v>
      </c>
    </row>
    <row r="944" spans="21:22" x14ac:dyDescent="0.25">
      <c r="U944" s="211">
        <v>926</v>
      </c>
      <c r="V944" s="178">
        <v>3448996290.6467271</v>
      </c>
    </row>
    <row r="945" spans="21:22" x14ac:dyDescent="0.25">
      <c r="U945" s="211">
        <v>927</v>
      </c>
      <c r="V945" s="178">
        <v>3755305981.2108107</v>
      </c>
    </row>
    <row r="946" spans="21:22" x14ac:dyDescent="0.25">
      <c r="U946" s="211">
        <v>928</v>
      </c>
      <c r="V946" s="178">
        <v>4059687816.22364</v>
      </c>
    </row>
    <row r="947" spans="21:22" x14ac:dyDescent="0.25">
      <c r="U947" s="211">
        <v>929</v>
      </c>
      <c r="V947" s="178">
        <v>3578776986.5662341</v>
      </c>
    </row>
    <row r="948" spans="21:22" x14ac:dyDescent="0.25">
      <c r="U948" s="211">
        <v>930</v>
      </c>
      <c r="V948" s="178">
        <v>3467434407.2637997</v>
      </c>
    </row>
    <row r="949" spans="21:22" x14ac:dyDescent="0.25">
      <c r="U949" s="211">
        <v>931</v>
      </c>
      <c r="V949" s="178">
        <v>3418065152.4972858</v>
      </c>
    </row>
    <row r="950" spans="21:22" x14ac:dyDescent="0.25">
      <c r="U950" s="211">
        <v>932</v>
      </c>
      <c r="V950" s="178">
        <v>3745180811.6244984</v>
      </c>
    </row>
    <row r="951" spans="21:22" x14ac:dyDescent="0.25">
      <c r="U951" s="211">
        <v>933</v>
      </c>
      <c r="V951" s="178">
        <v>3719366548.6006556</v>
      </c>
    </row>
    <row r="952" spans="21:22" x14ac:dyDescent="0.25">
      <c r="U952" s="211">
        <v>934</v>
      </c>
      <c r="V952" s="178">
        <v>3300928096.0369806</v>
      </c>
    </row>
    <row r="953" spans="21:22" x14ac:dyDescent="0.25">
      <c r="U953" s="211">
        <v>935</v>
      </c>
      <c r="V953" s="178">
        <v>3825373557.2610726</v>
      </c>
    </row>
    <row r="954" spans="21:22" x14ac:dyDescent="0.25">
      <c r="U954" s="211">
        <v>936</v>
      </c>
      <c r="V954" s="178">
        <v>3272792986.8231869</v>
      </c>
    </row>
    <row r="955" spans="21:22" x14ac:dyDescent="0.25">
      <c r="U955" s="211">
        <v>937</v>
      </c>
      <c r="V955" s="178">
        <v>4175061005.584816</v>
      </c>
    </row>
    <row r="956" spans="21:22" x14ac:dyDescent="0.25">
      <c r="U956" s="211">
        <v>938</v>
      </c>
      <c r="V956" s="178">
        <v>3346264569.7675676</v>
      </c>
    </row>
    <row r="957" spans="21:22" x14ac:dyDescent="0.25">
      <c r="U957" s="211">
        <v>939</v>
      </c>
      <c r="V957" s="178">
        <v>3805379715.3118858</v>
      </c>
    </row>
    <row r="958" spans="21:22" x14ac:dyDescent="0.25">
      <c r="U958" s="211">
        <v>940</v>
      </c>
      <c r="V958" s="178">
        <v>3340635664.0525761</v>
      </c>
    </row>
    <row r="959" spans="21:22" x14ac:dyDescent="0.25">
      <c r="U959" s="211">
        <v>941</v>
      </c>
      <c r="V959" s="178">
        <v>3587331428.510304</v>
      </c>
    </row>
    <row r="960" spans="21:22" x14ac:dyDescent="0.25">
      <c r="U960" s="211">
        <v>942</v>
      </c>
      <c r="V960" s="178">
        <v>3771593442.5788713</v>
      </c>
    </row>
    <row r="961" spans="21:22" x14ac:dyDescent="0.25">
      <c r="U961" s="211">
        <v>943</v>
      </c>
      <c r="V961" s="178">
        <v>3530275117.133122</v>
      </c>
    </row>
    <row r="962" spans="21:22" x14ac:dyDescent="0.25">
      <c r="U962" s="211">
        <v>944</v>
      </c>
      <c r="V962" s="178">
        <v>4075326838.9906368</v>
      </c>
    </row>
    <row r="963" spans="21:22" x14ac:dyDescent="0.25">
      <c r="U963" s="211">
        <v>945</v>
      </c>
      <c r="V963" s="178">
        <v>3983485126.2216344</v>
      </c>
    </row>
    <row r="964" spans="21:22" x14ac:dyDescent="0.25">
      <c r="U964" s="211">
        <v>946</v>
      </c>
      <c r="V964" s="178">
        <v>3626462189.1149263</v>
      </c>
    </row>
    <row r="965" spans="21:22" x14ac:dyDescent="0.25">
      <c r="U965" s="211">
        <v>947</v>
      </c>
      <c r="V965" s="178">
        <v>3659271919.3178902</v>
      </c>
    </row>
    <row r="966" spans="21:22" x14ac:dyDescent="0.25">
      <c r="U966" s="211">
        <v>948</v>
      </c>
      <c r="V966" s="178">
        <v>3438347860.5977359</v>
      </c>
    </row>
    <row r="967" spans="21:22" x14ac:dyDescent="0.25">
      <c r="U967" s="211">
        <v>949</v>
      </c>
      <c r="V967" s="178">
        <v>3207709540.7284575</v>
      </c>
    </row>
    <row r="968" spans="21:22" x14ac:dyDescent="0.25">
      <c r="U968" s="211">
        <v>950</v>
      </c>
      <c r="V968" s="178">
        <v>3710845738.5792561</v>
      </c>
    </row>
    <row r="969" spans="21:22" x14ac:dyDescent="0.25">
      <c r="U969" s="211">
        <v>951</v>
      </c>
      <c r="V969" s="178">
        <v>4176007238.7971134</v>
      </c>
    </row>
    <row r="970" spans="21:22" x14ac:dyDescent="0.25">
      <c r="U970" s="211">
        <v>952</v>
      </c>
      <c r="V970" s="178">
        <v>3455741515.2174506</v>
      </c>
    </row>
    <row r="971" spans="21:22" x14ac:dyDescent="0.25">
      <c r="U971" s="211">
        <v>953</v>
      </c>
      <c r="V971" s="178">
        <v>3784955748.6189065</v>
      </c>
    </row>
    <row r="972" spans="21:22" x14ac:dyDescent="0.25">
      <c r="U972" s="211">
        <v>954</v>
      </c>
      <c r="V972" s="178">
        <v>3536472142.0139322</v>
      </c>
    </row>
    <row r="973" spans="21:22" x14ac:dyDescent="0.25">
      <c r="U973" s="211">
        <v>955</v>
      </c>
      <c r="V973" s="178">
        <v>4219260526.4241481</v>
      </c>
    </row>
    <row r="974" spans="21:22" x14ac:dyDescent="0.25">
      <c r="U974" s="211">
        <v>956</v>
      </c>
      <c r="V974" s="178">
        <v>3533937337.5016651</v>
      </c>
    </row>
    <row r="975" spans="21:22" x14ac:dyDescent="0.25">
      <c r="U975" s="211">
        <v>957</v>
      </c>
      <c r="V975" s="178">
        <v>3904524057.0907845</v>
      </c>
    </row>
    <row r="976" spans="21:22" x14ac:dyDescent="0.25">
      <c r="U976" s="211">
        <v>958</v>
      </c>
      <c r="V976" s="178">
        <v>3883473923.5871854</v>
      </c>
    </row>
    <row r="977" spans="21:22" x14ac:dyDescent="0.25">
      <c r="U977" s="211">
        <v>959</v>
      </c>
      <c r="V977" s="178">
        <v>4038575276.218224</v>
      </c>
    </row>
    <row r="978" spans="21:22" x14ac:dyDescent="0.25">
      <c r="U978" s="211">
        <v>960</v>
      </c>
      <c r="V978" s="178">
        <v>3419046699.3221321</v>
      </c>
    </row>
    <row r="979" spans="21:22" x14ac:dyDescent="0.25">
      <c r="U979" s="211">
        <v>961</v>
      </c>
      <c r="V979" s="178">
        <v>3273230518.4954963</v>
      </c>
    </row>
    <row r="980" spans="21:22" x14ac:dyDescent="0.25">
      <c r="U980" s="211">
        <v>962</v>
      </c>
      <c r="V980" s="178">
        <v>3986798594.9265385</v>
      </c>
    </row>
    <row r="981" spans="21:22" x14ac:dyDescent="0.25">
      <c r="U981" s="211">
        <v>963</v>
      </c>
      <c r="V981" s="178">
        <v>3549538176.9739203</v>
      </c>
    </row>
    <row r="982" spans="21:22" x14ac:dyDescent="0.25">
      <c r="U982" s="211">
        <v>964</v>
      </c>
      <c r="V982" s="178">
        <v>3447814526.5112715</v>
      </c>
    </row>
    <row r="983" spans="21:22" x14ac:dyDescent="0.25">
      <c r="U983" s="211">
        <v>965</v>
      </c>
      <c r="V983" s="178">
        <v>3644129417.8949518</v>
      </c>
    </row>
    <row r="984" spans="21:22" x14ac:dyDescent="0.25">
      <c r="U984" s="211">
        <v>966</v>
      </c>
      <c r="V984" s="178">
        <v>3508435622.2492118</v>
      </c>
    </row>
    <row r="985" spans="21:22" x14ac:dyDescent="0.25">
      <c r="U985" s="211">
        <v>967</v>
      </c>
      <c r="V985" s="178">
        <v>3741160207.8631072</v>
      </c>
    </row>
    <row r="986" spans="21:22" x14ac:dyDescent="0.25">
      <c r="U986" s="211">
        <v>968</v>
      </c>
      <c r="V986" s="178">
        <v>3346008887.0217271</v>
      </c>
    </row>
    <row r="987" spans="21:22" x14ac:dyDescent="0.25">
      <c r="U987" s="211">
        <v>969</v>
      </c>
      <c r="V987" s="178">
        <v>3546380632.7144418</v>
      </c>
    </row>
    <row r="988" spans="21:22" x14ac:dyDescent="0.25">
      <c r="U988" s="211">
        <v>970</v>
      </c>
      <c r="V988" s="178">
        <v>3615555620.2767587</v>
      </c>
    </row>
    <row r="989" spans="21:22" x14ac:dyDescent="0.25">
      <c r="U989" s="211">
        <v>971</v>
      </c>
      <c r="V989" s="178">
        <v>3541809055.6922197</v>
      </c>
    </row>
    <row r="990" spans="21:22" x14ac:dyDescent="0.25">
      <c r="U990" s="211">
        <v>972</v>
      </c>
      <c r="V990" s="178">
        <v>3359520004.3375816</v>
      </c>
    </row>
    <row r="991" spans="21:22" x14ac:dyDescent="0.25">
      <c r="U991" s="211">
        <v>973</v>
      </c>
      <c r="V991" s="178">
        <v>3873547576.2790456</v>
      </c>
    </row>
    <row r="992" spans="21:22" x14ac:dyDescent="0.25">
      <c r="U992" s="211">
        <v>974</v>
      </c>
      <c r="V992" s="178">
        <v>4145824434.5770116</v>
      </c>
    </row>
    <row r="993" spans="21:22" x14ac:dyDescent="0.25">
      <c r="U993" s="211">
        <v>975</v>
      </c>
      <c r="V993" s="178">
        <v>3501721142.6198616</v>
      </c>
    </row>
    <row r="994" spans="21:22" x14ac:dyDescent="0.25">
      <c r="U994" s="211">
        <v>976</v>
      </c>
      <c r="V994" s="178">
        <v>4155888561.0534191</v>
      </c>
    </row>
    <row r="995" spans="21:22" x14ac:dyDescent="0.25">
      <c r="U995" s="211">
        <v>977</v>
      </c>
      <c r="V995" s="178">
        <v>3776261924.8215227</v>
      </c>
    </row>
    <row r="996" spans="21:22" x14ac:dyDescent="0.25">
      <c r="U996" s="211">
        <v>978</v>
      </c>
      <c r="V996" s="178">
        <v>3465092719.0717015</v>
      </c>
    </row>
    <row r="997" spans="21:22" x14ac:dyDescent="0.25">
      <c r="U997" s="211">
        <v>979</v>
      </c>
      <c r="V997" s="178">
        <v>3187716236.2705269</v>
      </c>
    </row>
    <row r="998" spans="21:22" x14ac:dyDescent="0.25">
      <c r="U998" s="211">
        <v>980</v>
      </c>
      <c r="V998" s="178">
        <v>3898255212.728498</v>
      </c>
    </row>
    <row r="999" spans="21:22" x14ac:dyDescent="0.25">
      <c r="U999" s="211">
        <v>981</v>
      </c>
      <c r="V999" s="178">
        <v>3427637391.9089627</v>
      </c>
    </row>
    <row r="1000" spans="21:22" x14ac:dyDescent="0.25">
      <c r="U1000" s="211">
        <v>982</v>
      </c>
      <c r="V1000" s="178">
        <v>3533167153.5971594</v>
      </c>
    </row>
    <row r="1001" spans="21:22" x14ac:dyDescent="0.25">
      <c r="U1001" s="211">
        <v>983</v>
      </c>
      <c r="V1001" s="178">
        <v>3226400524.9868135</v>
      </c>
    </row>
    <row r="1002" spans="21:22" x14ac:dyDescent="0.25">
      <c r="U1002" s="211">
        <v>984</v>
      </c>
      <c r="V1002" s="178">
        <v>3713807298.0443931</v>
      </c>
    </row>
    <row r="1003" spans="21:22" x14ac:dyDescent="0.25">
      <c r="U1003" s="211">
        <v>985</v>
      </c>
      <c r="V1003" s="178">
        <v>4019155410.2886143</v>
      </c>
    </row>
    <row r="1004" spans="21:22" x14ac:dyDescent="0.25">
      <c r="U1004" s="211">
        <v>986</v>
      </c>
      <c r="V1004" s="178">
        <v>4329131600.3096027</v>
      </c>
    </row>
    <row r="1005" spans="21:22" x14ac:dyDescent="0.25">
      <c r="U1005" s="211">
        <v>987</v>
      </c>
      <c r="V1005" s="178">
        <v>3455466372.335475</v>
      </c>
    </row>
    <row r="1006" spans="21:22" x14ac:dyDescent="0.25">
      <c r="U1006" s="211">
        <v>988</v>
      </c>
      <c r="V1006" s="178">
        <v>3629019951.1851416</v>
      </c>
    </row>
    <row r="1007" spans="21:22" x14ac:dyDescent="0.25">
      <c r="U1007" s="211">
        <v>989</v>
      </c>
      <c r="V1007" s="178">
        <v>3445911373.6819706</v>
      </c>
    </row>
    <row r="1008" spans="21:22" x14ac:dyDescent="0.25">
      <c r="U1008" s="211">
        <v>990</v>
      </c>
      <c r="V1008" s="178">
        <v>3471916402.3812532</v>
      </c>
    </row>
    <row r="1009" spans="21:22" x14ac:dyDescent="0.25">
      <c r="U1009" s="211">
        <v>991</v>
      </c>
      <c r="V1009" s="178">
        <v>3344392933.4677405</v>
      </c>
    </row>
    <row r="1010" spans="21:22" x14ac:dyDescent="0.25">
      <c r="U1010" s="211">
        <v>992</v>
      </c>
      <c r="V1010" s="178">
        <v>3184633299.1887341</v>
      </c>
    </row>
    <row r="1011" spans="21:22" x14ac:dyDescent="0.25">
      <c r="U1011" s="211">
        <v>993</v>
      </c>
      <c r="V1011" s="178">
        <v>3762607007.6270914</v>
      </c>
    </row>
    <row r="1012" spans="21:22" x14ac:dyDescent="0.25">
      <c r="U1012" s="211">
        <v>994</v>
      </c>
      <c r="V1012" s="178">
        <v>3683294520.895875</v>
      </c>
    </row>
    <row r="1013" spans="21:22" x14ac:dyDescent="0.25">
      <c r="U1013" s="211">
        <v>995</v>
      </c>
      <c r="V1013" s="178">
        <v>3203057506.0067186</v>
      </c>
    </row>
    <row r="1014" spans="21:22" x14ac:dyDescent="0.25">
      <c r="U1014" s="211">
        <v>996</v>
      </c>
      <c r="V1014" s="178">
        <v>4034804304.2849331</v>
      </c>
    </row>
    <row r="1015" spans="21:22" x14ac:dyDescent="0.25">
      <c r="U1015" s="211">
        <v>997</v>
      </c>
      <c r="V1015" s="178">
        <v>3737761444.8599796</v>
      </c>
    </row>
    <row r="1016" spans="21:22" x14ac:dyDescent="0.25">
      <c r="U1016" s="211">
        <v>998</v>
      </c>
      <c r="V1016" s="178">
        <v>3928680338.0325789</v>
      </c>
    </row>
    <row r="1017" spans="21:22" x14ac:dyDescent="0.25">
      <c r="U1017" s="211">
        <v>999</v>
      </c>
      <c r="V1017" s="178">
        <v>3930382221.1501865</v>
      </c>
    </row>
    <row r="1018" spans="21:22" x14ac:dyDescent="0.25">
      <c r="U1018" s="211">
        <v>1000</v>
      </c>
      <c r="V1018" s="178">
        <v>3919888416.8660932</v>
      </c>
    </row>
  </sheetData>
  <mergeCells count="19">
    <mergeCell ref="B6:C6"/>
    <mergeCell ref="B1:D1"/>
    <mergeCell ref="F1:K1"/>
    <mergeCell ref="B2:C2"/>
    <mergeCell ref="B3:C3"/>
    <mergeCell ref="B4:C4"/>
    <mergeCell ref="B5:C5"/>
    <mergeCell ref="N17:P17"/>
    <mergeCell ref="B7:C7"/>
    <mergeCell ref="B8:C8"/>
    <mergeCell ref="B9:C9"/>
    <mergeCell ref="B10:C10"/>
    <mergeCell ref="B11:C11"/>
    <mergeCell ref="B12:C12"/>
    <mergeCell ref="B13:C13"/>
    <mergeCell ref="B14:C14"/>
    <mergeCell ref="F17:H17"/>
    <mergeCell ref="I17:J17"/>
    <mergeCell ref="K17:M17"/>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3BE9C-C859-4147-A83B-F380D351B73E}">
  <dimension ref="B1:H17"/>
  <sheetViews>
    <sheetView showGridLines="0" topLeftCell="B1" workbookViewId="0">
      <selection activeCell="E6" sqref="E6"/>
    </sheetView>
  </sheetViews>
  <sheetFormatPr defaultRowHeight="13.2" x14ac:dyDescent="0.25"/>
  <cols>
    <col min="2" max="2" width="37.21875" bestFit="1" customWidth="1"/>
    <col min="3" max="3" width="21.44140625" customWidth="1"/>
    <col min="4" max="4" width="23.5546875" customWidth="1"/>
    <col min="6" max="6" width="37.21875" bestFit="1" customWidth="1"/>
    <col min="7" max="7" width="18.88671875" bestFit="1" customWidth="1"/>
    <col min="8" max="8" width="24.44140625" bestFit="1" customWidth="1"/>
    <col min="9" max="9" width="19.88671875" bestFit="1" customWidth="1"/>
  </cols>
  <sheetData>
    <row r="1" spans="2:8" ht="19.8" customHeight="1" thickTop="1" thickBot="1" x14ac:dyDescent="0.3">
      <c r="B1" s="444" t="s">
        <v>497</v>
      </c>
      <c r="C1" s="445"/>
      <c r="D1" s="446"/>
      <c r="F1" s="444" t="s">
        <v>498</v>
      </c>
      <c r="G1" s="445"/>
      <c r="H1" s="446"/>
    </row>
    <row r="2" spans="2:8" ht="19.2" customHeight="1" thickBot="1" x14ac:dyDescent="0.35">
      <c r="B2" s="447" t="s">
        <v>500</v>
      </c>
      <c r="C2" s="448"/>
      <c r="D2" s="449"/>
      <c r="F2" s="447" t="s">
        <v>500</v>
      </c>
      <c r="G2" s="448"/>
      <c r="H2" s="449"/>
    </row>
    <row r="3" spans="2:8" ht="13.8" thickBot="1" x14ac:dyDescent="0.3">
      <c r="B3" s="236" t="s">
        <v>484</v>
      </c>
      <c r="C3" s="237"/>
      <c r="D3" s="238"/>
      <c r="F3" s="236" t="s">
        <v>493</v>
      </c>
      <c r="G3" s="237"/>
      <c r="H3" s="238"/>
    </row>
    <row r="4" spans="2:8" ht="14.4" thickBot="1" x14ac:dyDescent="0.3">
      <c r="B4" s="240" t="s">
        <v>492</v>
      </c>
      <c r="C4" s="200">
        <f>'7.5. Stage 5&amp;6 budget'!O382*3/4</f>
        <v>851053518.62978673</v>
      </c>
      <c r="D4" s="230"/>
      <c r="F4" s="240" t="s">
        <v>492</v>
      </c>
      <c r="G4" s="200">
        <f>'7.5. Stage 5&amp;6 budget'!O24*3/4</f>
        <v>662719184.43256068</v>
      </c>
      <c r="H4" s="230"/>
    </row>
    <row r="5" spans="2:8" ht="13.8" thickBot="1" x14ac:dyDescent="0.3">
      <c r="B5" s="236" t="s">
        <v>488</v>
      </c>
      <c r="C5" s="237"/>
      <c r="D5" s="238"/>
      <c r="F5" s="236" t="s">
        <v>488</v>
      </c>
      <c r="G5" s="237"/>
      <c r="H5" s="238"/>
    </row>
    <row r="6" spans="2:8" ht="14.4" thickBot="1" x14ac:dyDescent="0.3">
      <c r="B6" s="240" t="s">
        <v>486</v>
      </c>
      <c r="C6" s="200">
        <v>44000000</v>
      </c>
      <c r="D6" s="231"/>
      <c r="E6" s="124" t="s">
        <v>80</v>
      </c>
      <c r="F6" s="240" t="s">
        <v>486</v>
      </c>
      <c r="G6" s="200">
        <v>44000000</v>
      </c>
      <c r="H6" s="231"/>
    </row>
    <row r="7" spans="2:8" ht="13.8" thickBot="1" x14ac:dyDescent="0.3">
      <c r="B7" s="236" t="s">
        <v>489</v>
      </c>
      <c r="C7" s="237"/>
      <c r="D7" s="238"/>
      <c r="F7" s="236" t="s">
        <v>489</v>
      </c>
      <c r="G7" s="237"/>
      <c r="H7" s="238"/>
    </row>
    <row r="8" spans="2:8" ht="14.4" thickBot="1" x14ac:dyDescent="0.3">
      <c r="B8" s="240" t="s">
        <v>82</v>
      </c>
      <c r="C8" s="200">
        <v>2637630311.1145859</v>
      </c>
      <c r="D8" s="231"/>
      <c r="F8" s="240" t="s">
        <v>82</v>
      </c>
      <c r="G8" s="200">
        <f>'6. Mortgage payment'!H85</f>
        <v>4029419059.1450815</v>
      </c>
      <c r="H8" s="231"/>
    </row>
    <row r="9" spans="2:8" ht="13.8" thickBot="1" x14ac:dyDescent="0.3">
      <c r="B9" s="236" t="s">
        <v>485</v>
      </c>
      <c r="C9" s="237"/>
      <c r="D9" s="239">
        <f>C4+C6+C8</f>
        <v>3532683829.7443724</v>
      </c>
      <c r="F9" s="236" t="s">
        <v>485</v>
      </c>
      <c r="G9" s="237"/>
      <c r="H9" s="239">
        <f>G4+G6+G8</f>
        <v>4736138243.5776424</v>
      </c>
    </row>
    <row r="10" spans="2:8" ht="19.2" customHeight="1" thickBot="1" x14ac:dyDescent="0.35">
      <c r="B10" s="447" t="s">
        <v>499</v>
      </c>
      <c r="C10" s="448"/>
      <c r="D10" s="449"/>
      <c r="F10" s="447" t="s">
        <v>499</v>
      </c>
      <c r="G10" s="448"/>
      <c r="H10" s="449"/>
    </row>
    <row r="11" spans="2:8" ht="14.4" thickBot="1" x14ac:dyDescent="0.3">
      <c r="B11" s="240" t="s">
        <v>490</v>
      </c>
      <c r="C11" s="200">
        <f>'3.2. My wife''s Tax Calc'!P30</f>
        <v>764259189.01284719</v>
      </c>
      <c r="D11" s="230"/>
      <c r="F11" s="240" t="s">
        <v>490</v>
      </c>
      <c r="G11" s="200">
        <f>'3.2. My wife''s Tax Calc'!P20</f>
        <v>730599211.19622779</v>
      </c>
      <c r="H11" s="230"/>
    </row>
    <row r="12" spans="2:8" ht="14.4" thickBot="1" x14ac:dyDescent="0.3">
      <c r="B12" s="241" t="s">
        <v>491</v>
      </c>
      <c r="C12" s="200">
        <f>10*1800000</f>
        <v>18000000</v>
      </c>
      <c r="D12" s="230"/>
      <c r="F12" s="241" t="s">
        <v>491</v>
      </c>
      <c r="G12" s="200">
        <f>10*1800000</f>
        <v>18000000</v>
      </c>
      <c r="H12" s="230"/>
    </row>
    <row r="13" spans="2:8" ht="13.8" x14ac:dyDescent="0.25">
      <c r="B13" s="242" t="s">
        <v>14</v>
      </c>
      <c r="C13" s="200">
        <f>SUM('14.3. More funds to invest'!C2:C30)*80%</f>
        <v>3760848081.1431308</v>
      </c>
      <c r="D13" s="232"/>
      <c r="F13" s="242" t="s">
        <v>14</v>
      </c>
      <c r="G13" s="200">
        <f>SUM('14.3. More funds to invest'!C2:C20)</f>
        <v>2096581022.2740014</v>
      </c>
      <c r="H13" s="232"/>
    </row>
    <row r="14" spans="2:8" x14ac:dyDescent="0.25">
      <c r="B14" s="248" t="s">
        <v>485</v>
      </c>
      <c r="C14" s="243"/>
      <c r="D14" s="244">
        <f>C11+C12+C13</f>
        <v>4543107270.1559782</v>
      </c>
      <c r="F14" s="248" t="s">
        <v>485</v>
      </c>
      <c r="G14" s="243"/>
      <c r="H14" s="244">
        <f>G11+G12+G13</f>
        <v>2845180233.4702291</v>
      </c>
    </row>
    <row r="15" spans="2:8" x14ac:dyDescent="0.25">
      <c r="B15" s="245" t="s">
        <v>487</v>
      </c>
      <c r="C15" s="246"/>
      <c r="D15" s="247">
        <f>D14-D9</f>
        <v>1010423440.4116058</v>
      </c>
      <c r="F15" s="245" t="s">
        <v>487</v>
      </c>
      <c r="G15" s="246"/>
      <c r="H15" s="247">
        <f>H14-H9</f>
        <v>-1890958010.1074133</v>
      </c>
    </row>
    <row r="16" spans="2:8" ht="26.4" x14ac:dyDescent="0.25">
      <c r="D16" s="233" t="s">
        <v>495</v>
      </c>
      <c r="H16" s="234" t="s">
        <v>494</v>
      </c>
    </row>
    <row r="17" spans="6:8" ht="13.8" x14ac:dyDescent="0.25">
      <c r="F17" s="450" t="s">
        <v>496</v>
      </c>
      <c r="G17" s="450"/>
      <c r="H17" s="235">
        <f>-H15</f>
        <v>1890958010.1074133</v>
      </c>
    </row>
  </sheetData>
  <mergeCells count="7">
    <mergeCell ref="B1:D1"/>
    <mergeCell ref="B10:D10"/>
    <mergeCell ref="F1:H1"/>
    <mergeCell ref="F10:H10"/>
    <mergeCell ref="F17:G17"/>
    <mergeCell ref="B2:D2"/>
    <mergeCell ref="F2:H2"/>
  </mergeCells>
  <hyperlinks>
    <hyperlink ref="E6" r:id="rId1" xr:uid="{AA91DC54-5266-4067-9324-1F9353BFBA42}"/>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71429-0647-496A-A41E-534520DFBDDC}">
  <dimension ref="E1:F14"/>
  <sheetViews>
    <sheetView showGridLines="0" workbookViewId="0">
      <selection activeCell="M10" sqref="M10"/>
    </sheetView>
  </sheetViews>
  <sheetFormatPr defaultRowHeight="13.2" x14ac:dyDescent="0.25"/>
  <cols>
    <col min="1" max="4" width="8.88671875" style="11"/>
    <col min="5" max="5" width="47.88671875" style="11" customWidth="1"/>
    <col min="6" max="6" width="33.33203125" style="11" customWidth="1"/>
    <col min="7" max="16384" width="8.88671875" style="11"/>
  </cols>
  <sheetData>
    <row r="1" spans="5:6" ht="15.6" x14ac:dyDescent="0.25">
      <c r="E1" s="454" t="s">
        <v>501</v>
      </c>
      <c r="F1" s="455"/>
    </row>
    <row r="2" spans="5:6" x14ac:dyDescent="0.25">
      <c r="E2" s="456" t="s">
        <v>510</v>
      </c>
      <c r="F2" s="456"/>
    </row>
    <row r="3" spans="5:6" x14ac:dyDescent="0.25">
      <c r="E3" s="456"/>
      <c r="F3" s="456"/>
    </row>
    <row r="4" spans="5:6" ht="15.6" x14ac:dyDescent="0.25">
      <c r="E4" s="457" t="s">
        <v>502</v>
      </c>
      <c r="F4" s="458"/>
    </row>
    <row r="5" spans="5:6" ht="32.4" customHeight="1" x14ac:dyDescent="0.25">
      <c r="E5" s="453" t="s">
        <v>506</v>
      </c>
      <c r="F5" s="453"/>
    </row>
    <row r="6" spans="5:6" ht="15.6" x14ac:dyDescent="0.25">
      <c r="E6" s="451" t="s">
        <v>503</v>
      </c>
      <c r="F6" s="452"/>
    </row>
    <row r="7" spans="5:6" ht="15.6" x14ac:dyDescent="0.25">
      <c r="E7" s="249" t="s">
        <v>508</v>
      </c>
      <c r="F7" s="185">
        <f>'11.My pension value'!D2*5+'7.7. Stage 9&amp;10&amp;11'!N862</f>
        <v>3871648690.5712833</v>
      </c>
    </row>
    <row r="8" spans="5:6" ht="15.6" x14ac:dyDescent="0.25">
      <c r="E8" s="249" t="s">
        <v>509</v>
      </c>
      <c r="F8" s="185">
        <f>'14.4. Monte Carlo (case 1)'!X21</f>
        <v>4752668776.1959934</v>
      </c>
    </row>
    <row r="9" spans="5:6" ht="15.6" x14ac:dyDescent="0.25">
      <c r="E9" s="451" t="s">
        <v>504</v>
      </c>
      <c r="F9" s="452"/>
    </row>
    <row r="10" spans="5:6" ht="62.4" customHeight="1" x14ac:dyDescent="0.25">
      <c r="E10" s="249" t="s">
        <v>507</v>
      </c>
      <c r="F10" s="185">
        <f>1000000000*5</f>
        <v>5000000000</v>
      </c>
    </row>
    <row r="11" spans="5:6" ht="16.2" x14ac:dyDescent="0.25">
      <c r="E11" s="272" t="s">
        <v>505</v>
      </c>
      <c r="F11" s="273">
        <f>F7+F8-F10</f>
        <v>3624317466.7672768</v>
      </c>
    </row>
    <row r="12" spans="5:6" ht="15.6" x14ac:dyDescent="0.25">
      <c r="E12" s="274" t="s">
        <v>512</v>
      </c>
      <c r="F12" s="252" t="str">
        <f>IF(F11&gt;0,"No, therefore no action needed","Facing longevity risk ")</f>
        <v>No, therefore no action needed</v>
      </c>
    </row>
    <row r="14" spans="5:6" ht="13.8" x14ac:dyDescent="0.25">
      <c r="E14" s="251" t="s">
        <v>511</v>
      </c>
      <c r="F14" s="250">
        <f>IF(F11&gt;0,0,-F11)</f>
        <v>0</v>
      </c>
    </row>
  </sheetData>
  <mergeCells count="6">
    <mergeCell ref="E9:F9"/>
    <mergeCell ref="E5:F5"/>
    <mergeCell ref="E1:F1"/>
    <mergeCell ref="E2:F3"/>
    <mergeCell ref="E4:F4"/>
    <mergeCell ref="E6:F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10E17-5106-40C3-92C4-2FA2E80CD40D}">
  <dimension ref="A1:Q34"/>
  <sheetViews>
    <sheetView showGridLines="0" topLeftCell="A7" zoomScale="70" zoomScaleNormal="70" workbookViewId="0">
      <selection activeCell="O6" sqref="O6"/>
    </sheetView>
  </sheetViews>
  <sheetFormatPr defaultRowHeight="13.8" x14ac:dyDescent="0.25"/>
  <cols>
    <col min="1" max="1" width="47.33203125" style="170" customWidth="1"/>
    <col min="2" max="2" width="19.44140625" style="170" customWidth="1"/>
    <col min="3" max="3" width="14.5546875" style="170" customWidth="1"/>
    <col min="4" max="4" width="14.88671875" style="170" customWidth="1"/>
    <col min="5" max="5" width="15.21875" style="170" customWidth="1"/>
    <col min="6" max="6" width="16.33203125" style="170" bestFit="1" customWidth="1"/>
    <col min="7" max="7" width="17.5546875" style="170" customWidth="1"/>
    <col min="8" max="8" width="16.33203125" style="170" bestFit="1" customWidth="1"/>
    <col min="9" max="9" width="15.109375" style="170" customWidth="1"/>
    <col min="10" max="10" width="15.5546875" style="170" customWidth="1"/>
    <col min="11" max="12" width="17.44140625" style="170" customWidth="1"/>
    <col min="13" max="13" width="23.88671875" style="170" customWidth="1"/>
    <col min="14" max="15" width="8.88671875" style="170"/>
    <col min="16" max="16" width="27.77734375" style="170" customWidth="1"/>
    <col min="17" max="17" width="12.6640625" style="170" bestFit="1" customWidth="1"/>
    <col min="18" max="16384" width="8.88671875" style="170"/>
  </cols>
  <sheetData>
    <row r="1" spans="1:17" ht="14.4" thickBot="1" x14ac:dyDescent="0.3">
      <c r="A1" s="459" t="s">
        <v>513</v>
      </c>
      <c r="B1" s="460"/>
      <c r="C1" s="460"/>
      <c r="D1" s="460"/>
      <c r="E1" s="460"/>
      <c r="F1" s="460"/>
      <c r="G1" s="460"/>
      <c r="H1" s="460"/>
      <c r="I1" s="460"/>
      <c r="J1" s="460"/>
      <c r="K1" s="460"/>
      <c r="L1" s="460"/>
      <c r="M1" s="461"/>
    </row>
    <row r="2" spans="1:17" x14ac:dyDescent="0.25">
      <c r="A2" s="462" t="s">
        <v>535</v>
      </c>
      <c r="B2" s="464" t="s">
        <v>514</v>
      </c>
      <c r="C2" s="464" t="s">
        <v>515</v>
      </c>
      <c r="D2" s="464" t="s">
        <v>516</v>
      </c>
      <c r="E2" s="464" t="s">
        <v>517</v>
      </c>
      <c r="F2" s="464" t="s">
        <v>518</v>
      </c>
      <c r="G2" s="464" t="s">
        <v>519</v>
      </c>
      <c r="H2" s="464" t="s">
        <v>520</v>
      </c>
      <c r="I2" s="464" t="s">
        <v>521</v>
      </c>
      <c r="J2" s="464" t="s">
        <v>522</v>
      </c>
      <c r="K2" s="464" t="s">
        <v>523</v>
      </c>
      <c r="L2" s="464" t="s">
        <v>524</v>
      </c>
      <c r="M2" s="464" t="s">
        <v>525</v>
      </c>
    </row>
    <row r="3" spans="1:17" ht="14.4" thickBot="1" x14ac:dyDescent="0.3">
      <c r="A3" s="463"/>
      <c r="B3" s="464"/>
      <c r="C3" s="464"/>
      <c r="D3" s="464"/>
      <c r="E3" s="464"/>
      <c r="F3" s="464"/>
      <c r="G3" s="464"/>
      <c r="H3" s="464"/>
      <c r="I3" s="464"/>
      <c r="J3" s="464"/>
      <c r="K3" s="464"/>
      <c r="L3" s="464"/>
      <c r="M3" s="464"/>
    </row>
    <row r="4" spans="1:17" ht="45" customHeight="1" thickBot="1" x14ac:dyDescent="0.3">
      <c r="A4" s="266" t="s">
        <v>182</v>
      </c>
      <c r="B4" s="261">
        <f>29-22+1</f>
        <v>8</v>
      </c>
      <c r="C4" s="261">
        <f>34-30+1</f>
        <v>5</v>
      </c>
      <c r="D4" s="261">
        <f>39-35+1</f>
        <v>5</v>
      </c>
      <c r="E4" s="261">
        <f>44-40+1</f>
        <v>5</v>
      </c>
      <c r="F4" s="261">
        <f>49-45+1</f>
        <v>5</v>
      </c>
      <c r="G4" s="261">
        <f>54-50+1</f>
        <v>5</v>
      </c>
      <c r="H4" s="261">
        <f>59-55+1</f>
        <v>5</v>
      </c>
      <c r="I4" s="261">
        <f>64-60+1</f>
        <v>5</v>
      </c>
      <c r="J4" s="261">
        <f>69-65+1</f>
        <v>5</v>
      </c>
      <c r="K4" s="261">
        <f>74-70+1</f>
        <v>5</v>
      </c>
      <c r="L4" s="261">
        <f>79-75+1</f>
        <v>5</v>
      </c>
      <c r="M4" s="261">
        <f>85-80+1</f>
        <v>6</v>
      </c>
    </row>
    <row r="5" spans="1:17" ht="44.4" customHeight="1" thickBot="1" x14ac:dyDescent="0.3">
      <c r="A5" s="264" t="s">
        <v>548</v>
      </c>
      <c r="B5" s="255">
        <f>B22</f>
        <v>0.03</v>
      </c>
      <c r="C5" s="255">
        <f t="shared" ref="C5:M5" si="0">C22</f>
        <v>3.5000000000000003E-2</v>
      </c>
      <c r="D5" s="255">
        <f t="shared" si="0"/>
        <v>3.9E-2</v>
      </c>
      <c r="E5" s="255">
        <f t="shared" si="0"/>
        <v>4.1999999999999996E-2</v>
      </c>
      <c r="F5" s="255">
        <f t="shared" si="0"/>
        <v>0.05</v>
      </c>
      <c r="G5" s="255">
        <f t="shared" si="0"/>
        <v>4.8000000000000001E-2</v>
      </c>
      <c r="H5" s="255">
        <f t="shared" si="0"/>
        <v>5.5E-2</v>
      </c>
      <c r="I5" s="255">
        <f t="shared" si="0"/>
        <v>7.5000000000000011E-2</v>
      </c>
      <c r="J5" s="255">
        <f t="shared" si="0"/>
        <v>0.10500000000000001</v>
      </c>
      <c r="K5" s="255">
        <f t="shared" si="0"/>
        <v>0.155</v>
      </c>
      <c r="L5" s="255">
        <f t="shared" si="0"/>
        <v>0.155</v>
      </c>
      <c r="M5" s="255">
        <f t="shared" si="0"/>
        <v>0.14500000000000002</v>
      </c>
      <c r="O5" s="256" t="s">
        <v>80</v>
      </c>
      <c r="P5" s="265" t="s">
        <v>537</v>
      </c>
      <c r="Q5" s="254">
        <v>4272</v>
      </c>
    </row>
    <row r="6" spans="1:17" ht="63.6" customHeight="1" thickBot="1" x14ac:dyDescent="0.3">
      <c r="A6" s="264" t="s">
        <v>551</v>
      </c>
      <c r="B6" s="257">
        <f>$Q$7*B5*B4</f>
        <v>24950188.800000001</v>
      </c>
      <c r="C6" s="257">
        <f t="shared" ref="C6:M6" si="1">$Q$7*C5*C4</f>
        <v>18192846</v>
      </c>
      <c r="D6" s="257">
        <f t="shared" si="1"/>
        <v>20272028.400000002</v>
      </c>
      <c r="E6" s="257">
        <f t="shared" si="1"/>
        <v>21831415.199999996</v>
      </c>
      <c r="F6" s="257">
        <f t="shared" si="1"/>
        <v>25989780</v>
      </c>
      <c r="G6" s="257">
        <f t="shared" si="1"/>
        <v>24950188.799999997</v>
      </c>
      <c r="H6" s="257">
        <f t="shared" si="1"/>
        <v>28588758</v>
      </c>
      <c r="I6" s="257">
        <f t="shared" si="1"/>
        <v>38984670.000000007</v>
      </c>
      <c r="J6" s="257">
        <f t="shared" si="1"/>
        <v>54578538.000000007</v>
      </c>
      <c r="K6" s="257">
        <f t="shared" si="1"/>
        <v>80568318</v>
      </c>
      <c r="L6" s="257">
        <f t="shared" si="1"/>
        <v>80568318</v>
      </c>
      <c r="M6" s="257">
        <f t="shared" si="1"/>
        <v>90444434.400000006</v>
      </c>
      <c r="O6" s="256" t="s">
        <v>80</v>
      </c>
      <c r="P6" s="265" t="s">
        <v>539</v>
      </c>
      <c r="Q6" s="257">
        <v>24335</v>
      </c>
    </row>
    <row r="7" spans="1:17" ht="44.4" customHeight="1" thickBot="1" x14ac:dyDescent="0.3">
      <c r="A7" s="262" t="s">
        <v>549</v>
      </c>
      <c r="B7" s="255">
        <f>B23</f>
        <v>0.03</v>
      </c>
      <c r="C7" s="255">
        <f t="shared" ref="C7:M7" si="2">C23</f>
        <v>3.5000000000000003E-2</v>
      </c>
      <c r="D7" s="255">
        <f t="shared" si="2"/>
        <v>3.9E-2</v>
      </c>
      <c r="E7" s="255">
        <f t="shared" si="2"/>
        <v>4.1999999999999996E-2</v>
      </c>
      <c r="F7" s="255">
        <f t="shared" si="2"/>
        <v>0.05</v>
      </c>
      <c r="G7" s="255">
        <f t="shared" si="2"/>
        <v>4.8000000000000001E-2</v>
      </c>
      <c r="H7" s="255">
        <f t="shared" si="2"/>
        <v>5.5E-2</v>
      </c>
      <c r="I7" s="255">
        <f t="shared" si="2"/>
        <v>9.0000000000000011E-2</v>
      </c>
      <c r="J7" s="255">
        <f t="shared" si="2"/>
        <v>0.125</v>
      </c>
      <c r="K7" s="255">
        <f t="shared" si="2"/>
        <v>0.17500000000000002</v>
      </c>
      <c r="L7" s="255">
        <f t="shared" si="2"/>
        <v>0.17500000000000002</v>
      </c>
      <c r="M7" s="255">
        <f t="shared" si="2"/>
        <v>0.16500000000000001</v>
      </c>
      <c r="O7" s="256"/>
      <c r="P7" s="265" t="s">
        <v>538</v>
      </c>
      <c r="Q7" s="257">
        <f>Q5*Q6</f>
        <v>103959120</v>
      </c>
    </row>
    <row r="8" spans="1:17" ht="48" customHeight="1" thickBot="1" x14ac:dyDescent="0.3">
      <c r="A8" s="262" t="s">
        <v>550</v>
      </c>
      <c r="B8" s="257">
        <f>$Q$7*B7*B4</f>
        <v>24950188.800000001</v>
      </c>
      <c r="C8" s="257">
        <f t="shared" ref="C8:M8" si="3">$Q$7*C7*C4</f>
        <v>18192846</v>
      </c>
      <c r="D8" s="257">
        <f t="shared" si="3"/>
        <v>20272028.400000002</v>
      </c>
      <c r="E8" s="257">
        <f t="shared" si="3"/>
        <v>21831415.199999996</v>
      </c>
      <c r="F8" s="257">
        <f t="shared" si="3"/>
        <v>25989780</v>
      </c>
      <c r="G8" s="257">
        <f t="shared" si="3"/>
        <v>24950188.799999997</v>
      </c>
      <c r="H8" s="257">
        <f t="shared" si="3"/>
        <v>28588758</v>
      </c>
      <c r="I8" s="257">
        <f t="shared" si="3"/>
        <v>46781604</v>
      </c>
      <c r="J8" s="257">
        <f t="shared" si="3"/>
        <v>64974450</v>
      </c>
      <c r="K8" s="257">
        <f t="shared" si="3"/>
        <v>90964230</v>
      </c>
      <c r="L8" s="257">
        <f t="shared" si="3"/>
        <v>90964230</v>
      </c>
      <c r="M8" s="257">
        <f t="shared" si="3"/>
        <v>102919528.80000001</v>
      </c>
    </row>
    <row r="9" spans="1:17" ht="46.8" customHeight="1" thickBot="1" x14ac:dyDescent="0.3">
      <c r="A9" s="263" t="s">
        <v>536</v>
      </c>
      <c r="B9" s="257">
        <f>B8-B6</f>
        <v>0</v>
      </c>
      <c r="C9" s="257">
        <f t="shared" ref="C9:M9" si="4">C8-C6</f>
        <v>0</v>
      </c>
      <c r="D9" s="257">
        <f t="shared" si="4"/>
        <v>0</v>
      </c>
      <c r="E9" s="257">
        <f t="shared" si="4"/>
        <v>0</v>
      </c>
      <c r="F9" s="257">
        <f t="shared" si="4"/>
        <v>0</v>
      </c>
      <c r="G9" s="257">
        <f t="shared" si="4"/>
        <v>0</v>
      </c>
      <c r="H9" s="257">
        <f t="shared" si="4"/>
        <v>0</v>
      </c>
      <c r="I9" s="257">
        <f t="shared" si="4"/>
        <v>7796933.9999999925</v>
      </c>
      <c r="J9" s="257">
        <f t="shared" si="4"/>
        <v>10395911.999999993</v>
      </c>
      <c r="K9" s="257">
        <f t="shared" si="4"/>
        <v>10395912</v>
      </c>
      <c r="L9" s="257">
        <f t="shared" si="4"/>
        <v>10395912</v>
      </c>
      <c r="M9" s="257">
        <f t="shared" si="4"/>
        <v>12475094.400000006</v>
      </c>
    </row>
    <row r="10" spans="1:17" ht="46.8" customHeight="1" x14ac:dyDescent="0.25">
      <c r="A10" s="269"/>
      <c r="B10" s="268"/>
      <c r="C10" s="268"/>
      <c r="D10" s="267"/>
      <c r="E10" s="267"/>
      <c r="F10" s="267"/>
      <c r="G10" s="267"/>
      <c r="H10" s="267"/>
      <c r="I10" s="267"/>
      <c r="J10" s="267"/>
      <c r="K10" s="267"/>
      <c r="L10" s="267"/>
      <c r="M10" s="267"/>
    </row>
    <row r="11" spans="1:17" ht="46.8" customHeight="1" x14ac:dyDescent="0.25">
      <c r="A11" s="271" t="str">
        <f>IF(SUM(B9:M9)&gt;0, "Facing Health Risk due to Positive Variation in costs")</f>
        <v>Facing Health Risk due to Positive Variation in costs</v>
      </c>
      <c r="B11" s="467" t="s">
        <v>552</v>
      </c>
      <c r="C11" s="467"/>
      <c r="D11" s="267"/>
      <c r="E11" s="267"/>
      <c r="F11" s="267"/>
      <c r="G11" s="267"/>
      <c r="H11" s="267"/>
      <c r="I11" s="267"/>
      <c r="J11" s="267"/>
      <c r="K11" s="267"/>
      <c r="L11" s="267"/>
      <c r="M11" s="267"/>
    </row>
    <row r="12" spans="1:17" ht="14.4" thickBot="1" x14ac:dyDescent="0.3">
      <c r="A12" s="270"/>
      <c r="B12" s="260"/>
      <c r="C12" s="260"/>
      <c r="D12" s="260"/>
      <c r="E12" s="260"/>
      <c r="F12" s="260"/>
      <c r="G12" s="260"/>
      <c r="H12" s="260"/>
      <c r="I12" s="260"/>
      <c r="J12" s="260"/>
      <c r="K12" s="260"/>
      <c r="L12" s="260"/>
      <c r="M12" s="260"/>
    </row>
    <row r="13" spans="1:17" ht="14.4" thickBot="1" x14ac:dyDescent="0.3">
      <c r="A13" s="468" t="s">
        <v>542</v>
      </c>
      <c r="B13" s="469"/>
      <c r="C13" s="469"/>
      <c r="D13" s="469"/>
      <c r="E13" s="469"/>
      <c r="F13" s="469"/>
      <c r="G13" s="469"/>
      <c r="H13" s="469"/>
      <c r="I13" s="469"/>
      <c r="J13" s="469"/>
      <c r="K13" s="469"/>
      <c r="L13" s="469"/>
      <c r="M13" s="470"/>
    </row>
    <row r="14" spans="1:17" ht="14.4" thickBot="1" x14ac:dyDescent="0.3">
      <c r="A14" s="253" t="s">
        <v>535</v>
      </c>
      <c r="B14" s="254" t="s">
        <v>514</v>
      </c>
      <c r="C14" s="254" t="s">
        <v>515</v>
      </c>
      <c r="D14" s="254" t="s">
        <v>516</v>
      </c>
      <c r="E14" s="254" t="s">
        <v>517</v>
      </c>
      <c r="F14" s="254" t="s">
        <v>518</v>
      </c>
      <c r="G14" s="254" t="s">
        <v>519</v>
      </c>
      <c r="H14" s="254" t="s">
        <v>520</v>
      </c>
      <c r="I14" s="254" t="s">
        <v>521</v>
      </c>
      <c r="J14" s="254" t="s">
        <v>522</v>
      </c>
      <c r="K14" s="254" t="s">
        <v>523</v>
      </c>
      <c r="L14" s="254" t="s">
        <v>526</v>
      </c>
      <c r="M14" s="254" t="s">
        <v>525</v>
      </c>
    </row>
    <row r="15" spans="1:17" ht="14.4" thickBot="1" x14ac:dyDescent="0.3">
      <c r="A15" s="253" t="s">
        <v>527</v>
      </c>
      <c r="B15" s="255">
        <v>1.4999999999999999E-2</v>
      </c>
      <c r="C15" s="255">
        <v>0.02</v>
      </c>
      <c r="D15" s="255">
        <v>2.5000000000000001E-2</v>
      </c>
      <c r="E15" s="255">
        <v>0.03</v>
      </c>
      <c r="F15" s="255">
        <v>0.04</v>
      </c>
      <c r="G15" s="255">
        <v>0.04</v>
      </c>
      <c r="H15" s="255">
        <v>0.05</v>
      </c>
      <c r="I15" s="255">
        <v>7.0000000000000007E-2</v>
      </c>
      <c r="J15" s="255">
        <v>0.1</v>
      </c>
      <c r="K15" s="255">
        <v>0.15</v>
      </c>
      <c r="L15" s="255">
        <v>0.15</v>
      </c>
      <c r="M15" s="255">
        <v>0.14000000000000001</v>
      </c>
    </row>
    <row r="16" spans="1:17" ht="14.4" thickBot="1" x14ac:dyDescent="0.3">
      <c r="A16" s="253" t="s">
        <v>540</v>
      </c>
      <c r="B16" s="255">
        <v>1.4999999999999999E-2</v>
      </c>
      <c r="C16" s="255">
        <v>0.02</v>
      </c>
      <c r="D16" s="255">
        <v>2.5000000000000001E-2</v>
      </c>
      <c r="E16" s="255">
        <v>0.03</v>
      </c>
      <c r="F16" s="255">
        <v>0.04</v>
      </c>
      <c r="G16" s="255">
        <v>0.04</v>
      </c>
      <c r="H16" s="255">
        <v>0.05</v>
      </c>
      <c r="I16" s="255">
        <v>8.5000000000000006E-2</v>
      </c>
      <c r="J16" s="255">
        <v>0.12</v>
      </c>
      <c r="K16" s="255">
        <v>0.17</v>
      </c>
      <c r="L16" s="255">
        <v>0.17</v>
      </c>
      <c r="M16" s="255">
        <v>0.16</v>
      </c>
    </row>
    <row r="17" spans="1:13" ht="14.4" thickBot="1" x14ac:dyDescent="0.3">
      <c r="A17" s="471" t="s">
        <v>543</v>
      </c>
      <c r="B17" s="472"/>
      <c r="C17" s="472"/>
      <c r="D17" s="472"/>
      <c r="E17" s="472"/>
      <c r="F17" s="472"/>
      <c r="G17" s="472"/>
      <c r="H17" s="472"/>
      <c r="I17" s="472"/>
      <c r="J17" s="472"/>
      <c r="K17" s="472"/>
      <c r="L17" s="472"/>
      <c r="M17" s="473"/>
    </row>
    <row r="18" spans="1:13" ht="14.4" thickBot="1" x14ac:dyDescent="0.3">
      <c r="A18" s="253" t="s">
        <v>9</v>
      </c>
      <c r="B18" s="254" t="s">
        <v>528</v>
      </c>
      <c r="C18" s="254" t="s">
        <v>529</v>
      </c>
      <c r="D18" s="254" t="s">
        <v>530</v>
      </c>
      <c r="E18" s="254" t="s">
        <v>531</v>
      </c>
      <c r="F18" s="254" t="s">
        <v>532</v>
      </c>
      <c r="G18" s="254" t="s">
        <v>533</v>
      </c>
      <c r="H18" s="254" t="s">
        <v>534</v>
      </c>
      <c r="I18" s="254" t="s">
        <v>546</v>
      </c>
      <c r="J18" s="254" t="s">
        <v>547</v>
      </c>
      <c r="K18" s="254" t="s">
        <v>547</v>
      </c>
      <c r="L18" s="254" t="s">
        <v>547</v>
      </c>
      <c r="M18" s="254" t="s">
        <v>547</v>
      </c>
    </row>
    <row r="19" spans="1:13" ht="14.4" thickBot="1" x14ac:dyDescent="0.3">
      <c r="A19" s="253" t="s">
        <v>541</v>
      </c>
      <c r="B19" s="255">
        <v>1.4999999999999999E-2</v>
      </c>
      <c r="C19" s="255">
        <v>1.4999999999999999E-2</v>
      </c>
      <c r="D19" s="255">
        <v>1.4E-2</v>
      </c>
      <c r="E19" s="255">
        <v>1.2E-2</v>
      </c>
      <c r="F19" s="255">
        <v>0.01</v>
      </c>
      <c r="G19" s="255">
        <v>8.0000000000000002E-3</v>
      </c>
      <c r="H19" s="255">
        <v>5.0000000000000001E-3</v>
      </c>
      <c r="I19" s="255">
        <v>5.0000000000000001E-3</v>
      </c>
      <c r="J19" s="255">
        <v>5.0000000000000001E-3</v>
      </c>
      <c r="K19" s="255">
        <v>5.0000000000000001E-3</v>
      </c>
      <c r="L19" s="255">
        <v>5.0000000000000001E-3</v>
      </c>
      <c r="M19" s="255">
        <v>5.0000000000000001E-3</v>
      </c>
    </row>
    <row r="20" spans="1:13" ht="14.4" thickBot="1" x14ac:dyDescent="0.3">
      <c r="A20" s="474" t="s">
        <v>544</v>
      </c>
      <c r="B20" s="475"/>
      <c r="C20" s="475"/>
      <c r="D20" s="475"/>
      <c r="E20" s="475"/>
      <c r="F20" s="475"/>
      <c r="G20" s="475"/>
      <c r="H20" s="475"/>
      <c r="I20" s="475"/>
      <c r="J20" s="475"/>
      <c r="K20" s="475"/>
      <c r="L20" s="475"/>
      <c r="M20" s="476"/>
    </row>
    <row r="21" spans="1:13" ht="14.4" thickBot="1" x14ac:dyDescent="0.3">
      <c r="A21" s="253" t="s">
        <v>535</v>
      </c>
      <c r="B21" s="254" t="s">
        <v>514</v>
      </c>
      <c r="C21" s="254" t="s">
        <v>515</v>
      </c>
      <c r="D21" s="254" t="s">
        <v>516</v>
      </c>
      <c r="E21" s="254" t="s">
        <v>517</v>
      </c>
      <c r="F21" s="254" t="s">
        <v>518</v>
      </c>
      <c r="G21" s="254" t="s">
        <v>519</v>
      </c>
      <c r="H21" s="254" t="s">
        <v>520</v>
      </c>
      <c r="I21" s="254" t="s">
        <v>521</v>
      </c>
      <c r="J21" s="254" t="s">
        <v>522</v>
      </c>
      <c r="K21" s="254" t="s">
        <v>523</v>
      </c>
      <c r="L21" s="254" t="s">
        <v>526</v>
      </c>
      <c r="M21" s="254" t="s">
        <v>525</v>
      </c>
    </row>
    <row r="22" spans="1:13" ht="14.4" thickBot="1" x14ac:dyDescent="0.3">
      <c r="A22" s="253" t="s">
        <v>527</v>
      </c>
      <c r="B22" s="255">
        <f>B15+B19</f>
        <v>0.03</v>
      </c>
      <c r="C22" s="255">
        <f t="shared" ref="C22:M22" si="5">C15+C19</f>
        <v>3.5000000000000003E-2</v>
      </c>
      <c r="D22" s="255">
        <f t="shared" si="5"/>
        <v>3.9E-2</v>
      </c>
      <c r="E22" s="255">
        <f t="shared" si="5"/>
        <v>4.1999999999999996E-2</v>
      </c>
      <c r="F22" s="255">
        <f t="shared" si="5"/>
        <v>0.05</v>
      </c>
      <c r="G22" s="255">
        <f t="shared" si="5"/>
        <v>4.8000000000000001E-2</v>
      </c>
      <c r="H22" s="255">
        <f t="shared" si="5"/>
        <v>5.5E-2</v>
      </c>
      <c r="I22" s="255">
        <f t="shared" si="5"/>
        <v>7.5000000000000011E-2</v>
      </c>
      <c r="J22" s="255">
        <f t="shared" si="5"/>
        <v>0.10500000000000001</v>
      </c>
      <c r="K22" s="255">
        <f t="shared" si="5"/>
        <v>0.155</v>
      </c>
      <c r="L22" s="255">
        <f t="shared" si="5"/>
        <v>0.155</v>
      </c>
      <c r="M22" s="255">
        <f t="shared" si="5"/>
        <v>0.14500000000000002</v>
      </c>
    </row>
    <row r="23" spans="1:13" ht="14.4" thickBot="1" x14ac:dyDescent="0.3">
      <c r="A23" s="253" t="s">
        <v>540</v>
      </c>
      <c r="B23" s="255">
        <f>B16+B19</f>
        <v>0.03</v>
      </c>
      <c r="C23" s="255">
        <f t="shared" ref="C23:M23" si="6">C16+C19</f>
        <v>3.5000000000000003E-2</v>
      </c>
      <c r="D23" s="255">
        <f t="shared" si="6"/>
        <v>3.9E-2</v>
      </c>
      <c r="E23" s="255">
        <f t="shared" si="6"/>
        <v>4.1999999999999996E-2</v>
      </c>
      <c r="F23" s="255">
        <f t="shared" si="6"/>
        <v>0.05</v>
      </c>
      <c r="G23" s="255">
        <f t="shared" si="6"/>
        <v>4.8000000000000001E-2</v>
      </c>
      <c r="H23" s="255">
        <f t="shared" si="6"/>
        <v>5.5E-2</v>
      </c>
      <c r="I23" s="255">
        <f t="shared" si="6"/>
        <v>9.0000000000000011E-2</v>
      </c>
      <c r="J23" s="255">
        <f t="shared" si="6"/>
        <v>0.125</v>
      </c>
      <c r="K23" s="255">
        <f t="shared" si="6"/>
        <v>0.17500000000000002</v>
      </c>
      <c r="L23" s="255">
        <f t="shared" si="6"/>
        <v>0.17500000000000002</v>
      </c>
      <c r="M23" s="255">
        <f t="shared" si="6"/>
        <v>0.16500000000000001</v>
      </c>
    </row>
    <row r="24" spans="1:13" x14ac:dyDescent="0.25">
      <c r="A24" s="465" t="s">
        <v>545</v>
      </c>
      <c r="B24" s="466"/>
      <c r="C24" s="466"/>
      <c r="D24" s="466"/>
      <c r="E24" s="466"/>
      <c r="F24" s="466"/>
      <c r="G24" s="466"/>
      <c r="H24" s="466"/>
      <c r="I24" s="466"/>
      <c r="J24" s="466"/>
      <c r="K24" s="466"/>
      <c r="L24" s="466"/>
      <c r="M24" s="466"/>
    </row>
    <row r="25" spans="1:13" x14ac:dyDescent="0.25">
      <c r="A25" s="258"/>
      <c r="B25" s="259"/>
      <c r="C25" s="259"/>
      <c r="D25" s="259"/>
      <c r="E25" s="259"/>
      <c r="F25" s="259"/>
      <c r="G25" s="259"/>
      <c r="H25" s="259"/>
      <c r="I25" s="259"/>
      <c r="J25" s="259"/>
      <c r="K25" s="259"/>
      <c r="L25" s="259"/>
      <c r="M25" s="259"/>
    </row>
    <row r="26" spans="1:13" x14ac:dyDescent="0.25">
      <c r="A26" s="258"/>
      <c r="B26" s="259"/>
      <c r="C26" s="259"/>
      <c r="D26" s="259"/>
      <c r="E26" s="259"/>
      <c r="F26" s="259"/>
      <c r="G26" s="259"/>
      <c r="H26" s="259"/>
      <c r="I26" s="259"/>
      <c r="J26" s="259"/>
      <c r="K26" s="259"/>
      <c r="L26" s="259"/>
      <c r="M26" s="259"/>
    </row>
    <row r="27" spans="1:13" x14ac:dyDescent="0.25">
      <c r="A27" s="258"/>
      <c r="B27" s="259"/>
      <c r="C27" s="259"/>
      <c r="D27" s="259"/>
      <c r="E27" s="259"/>
      <c r="F27" s="259"/>
      <c r="G27" s="259"/>
      <c r="H27" s="259"/>
      <c r="I27" s="259"/>
      <c r="J27" s="259"/>
      <c r="K27" s="259"/>
      <c r="L27" s="259"/>
      <c r="M27" s="259"/>
    </row>
    <row r="28" spans="1:13" x14ac:dyDescent="0.25">
      <c r="A28" s="258"/>
      <c r="B28" s="259"/>
      <c r="C28" s="259"/>
      <c r="D28" s="259"/>
      <c r="E28" s="259"/>
      <c r="F28" s="259"/>
      <c r="G28" s="259"/>
      <c r="H28" s="259"/>
      <c r="I28" s="259"/>
      <c r="J28" s="259"/>
      <c r="K28" s="259"/>
      <c r="L28" s="259"/>
      <c r="M28" s="259"/>
    </row>
    <row r="29" spans="1:13" x14ac:dyDescent="0.25">
      <c r="A29" s="258"/>
      <c r="B29" s="259"/>
      <c r="C29" s="259"/>
      <c r="D29" s="259"/>
      <c r="E29" s="259"/>
      <c r="F29" s="259"/>
      <c r="G29" s="259"/>
      <c r="H29" s="259"/>
      <c r="I29" s="259"/>
      <c r="J29" s="259"/>
      <c r="K29" s="259"/>
      <c r="L29" s="259"/>
      <c r="M29" s="259"/>
    </row>
    <row r="30" spans="1:13" x14ac:dyDescent="0.25">
      <c r="A30" s="258"/>
      <c r="B30" s="259"/>
      <c r="C30" s="259"/>
      <c r="D30" s="259"/>
      <c r="E30" s="259"/>
      <c r="F30" s="259"/>
      <c r="G30" s="259"/>
      <c r="H30" s="259"/>
      <c r="I30" s="259"/>
      <c r="J30" s="259"/>
      <c r="K30" s="259"/>
      <c r="L30" s="259"/>
      <c r="M30" s="259"/>
    </row>
    <row r="31" spans="1:13" x14ac:dyDescent="0.25">
      <c r="A31" s="258"/>
      <c r="B31" s="259"/>
      <c r="C31" s="259"/>
      <c r="D31" s="259"/>
      <c r="E31" s="259"/>
      <c r="F31" s="259"/>
      <c r="G31" s="259"/>
      <c r="H31" s="259"/>
      <c r="I31" s="259"/>
      <c r="J31" s="259"/>
      <c r="K31" s="259"/>
      <c r="L31" s="259"/>
      <c r="M31" s="259"/>
    </row>
    <row r="32" spans="1:13" x14ac:dyDescent="0.25">
      <c r="A32" s="258"/>
      <c r="B32" s="259"/>
      <c r="C32" s="259"/>
      <c r="D32" s="259"/>
      <c r="E32" s="259"/>
      <c r="F32" s="259"/>
      <c r="G32" s="259"/>
      <c r="H32" s="259"/>
      <c r="I32" s="259"/>
      <c r="J32" s="259"/>
      <c r="K32" s="259"/>
      <c r="L32" s="259"/>
      <c r="M32" s="259"/>
    </row>
    <row r="33" spans="1:13" x14ac:dyDescent="0.25">
      <c r="A33" s="258"/>
      <c r="B33" s="259"/>
      <c r="C33" s="259"/>
      <c r="D33" s="259"/>
      <c r="E33" s="259"/>
      <c r="F33" s="259"/>
      <c r="G33" s="259"/>
      <c r="H33" s="259"/>
      <c r="I33" s="259"/>
      <c r="J33" s="259"/>
      <c r="K33" s="259"/>
      <c r="L33" s="259"/>
      <c r="M33" s="259"/>
    </row>
    <row r="34" spans="1:13" x14ac:dyDescent="0.25">
      <c r="A34" s="258"/>
      <c r="B34" s="259"/>
      <c r="C34" s="259"/>
      <c r="D34" s="259"/>
      <c r="E34" s="259"/>
      <c r="F34" s="259"/>
      <c r="G34" s="259"/>
      <c r="H34" s="259"/>
      <c r="I34" s="259"/>
      <c r="J34" s="259"/>
      <c r="K34" s="259"/>
      <c r="L34" s="259"/>
      <c r="M34" s="259"/>
    </row>
  </sheetData>
  <mergeCells count="19">
    <mergeCell ref="A24:M24"/>
    <mergeCell ref="B11:C11"/>
    <mergeCell ref="M2:M3"/>
    <mergeCell ref="A13:M13"/>
    <mergeCell ref="A17:M17"/>
    <mergeCell ref="A20:M20"/>
    <mergeCell ref="G2:G3"/>
    <mergeCell ref="H2:H3"/>
    <mergeCell ref="I2:I3"/>
    <mergeCell ref="J2:J3"/>
    <mergeCell ref="K2:K3"/>
    <mergeCell ref="L2:L3"/>
    <mergeCell ref="A1:M1"/>
    <mergeCell ref="A2:A3"/>
    <mergeCell ref="B2:B3"/>
    <mergeCell ref="C2:C3"/>
    <mergeCell ref="D2:D3"/>
    <mergeCell ref="E2:E3"/>
    <mergeCell ref="F2:F3"/>
  </mergeCells>
  <hyperlinks>
    <hyperlink ref="O5" r:id="rId1" location=":~:text=Vietnam%20had%20a%20GDP%20per,information%2C%20visit%20our%20dedicated%20page." xr:uid="{C148EA5E-D30F-43AD-9549-4657C6CEDFC5}"/>
    <hyperlink ref="O6" r:id="rId2" xr:uid="{38E190AB-312B-4CCC-ABBB-3C26086C59CB}"/>
    <hyperlink ref="A24:A34" r:id="rId3" display="Ref" xr:uid="{6BA9FA98-1CDA-4AF4-99C2-F02328B2E6A7}"/>
    <hyperlink ref="A24:M24" r:id="rId4" display="Data reference" xr:uid="{7E46D1FC-0B43-49B0-9B46-301DC7D71554}"/>
  </hyperlinks>
  <pageMargins left="0.7" right="0.7" top="0.75" bottom="0.75" header="0.3" footer="0.3"/>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C6B43D-F80F-45A7-AFA7-12DC92759F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Table of contents</vt:lpstr>
      <vt:lpstr>1.1 Financial Goals</vt:lpstr>
      <vt:lpstr>1.2. Current personal status</vt:lpstr>
      <vt:lpstr>1.3. My career path</vt:lpstr>
      <vt:lpstr>1.4. My wife's career path</vt:lpstr>
      <vt:lpstr>1.5. Timeline Breakdown</vt:lpstr>
      <vt:lpstr>2. Inflation assumption</vt:lpstr>
      <vt:lpstr>3.1. My Income Tax Calculation</vt:lpstr>
      <vt:lpstr>3.2. My wife's Tax Calc</vt:lpstr>
      <vt:lpstr>4. Car</vt:lpstr>
      <vt:lpstr>5. Down payment savings</vt:lpstr>
      <vt:lpstr>6. Mortgage payment</vt:lpstr>
      <vt:lpstr>7.1. Stage 1 budget</vt:lpstr>
      <vt:lpstr>7.2. Stage 2 budget</vt:lpstr>
      <vt:lpstr>7.3. Stage 3 budget</vt:lpstr>
      <vt:lpstr>7.4. Stage 4 budget</vt:lpstr>
      <vt:lpstr>7.5. Stage 5&amp;6 budget</vt:lpstr>
      <vt:lpstr>7.6. Stage 7&amp;8 budget</vt:lpstr>
      <vt:lpstr>7.7. Stage 9&amp;10&amp;11</vt:lpstr>
      <vt:lpstr>8. Lifetime consumption</vt:lpstr>
      <vt:lpstr>9.1. My human capital</vt:lpstr>
      <vt:lpstr>9.2. My wife's human capital</vt:lpstr>
      <vt:lpstr>10.1. My retirement salary</vt:lpstr>
      <vt:lpstr>10.2. Wife's retirement salary</vt:lpstr>
      <vt:lpstr>11.My pension value</vt:lpstr>
      <vt:lpstr>12. Balance Sheet</vt:lpstr>
      <vt:lpstr>13. Insurance package</vt:lpstr>
      <vt:lpstr>14.1. Asset Allocation</vt:lpstr>
      <vt:lpstr>14.2. Risk &amp; Return</vt:lpstr>
      <vt:lpstr>14.3. More funds to invest</vt:lpstr>
      <vt:lpstr>14.4. Monte Carlo (case 1)</vt:lpstr>
      <vt:lpstr>14.5. Monte Carlo (case 2)</vt:lpstr>
      <vt:lpstr>14.6. Monte Carlo (case 3)</vt:lpstr>
      <vt:lpstr>15.1. Premature mortality risk</vt:lpstr>
      <vt:lpstr>15.2. Longevity risk</vt:lpstr>
      <vt:lpstr>15.3. Health risk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Trần Trung Chiến</cp:lastModifiedBy>
  <dcterms:created xsi:type="dcterms:W3CDTF">2023-12-28T11:17:58Z</dcterms:created>
  <dcterms:modified xsi:type="dcterms:W3CDTF">2024-01-03T17:06:19Z</dcterms:modified>
</cp:coreProperties>
</file>