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0" yWindow="2040" windowWidth="11865" windowHeight="8220" tabRatio="1000" firstSheet="1" activeTab="1"/>
  </bookViews>
  <sheets>
    <sheet name="Introduction" sheetId="18" r:id="rId1"/>
    <sheet name="The Roadmap" sheetId="2" r:id="rId2"/>
    <sheet name="1.  Downloading Statements" sheetId="19" r:id="rId3"/>
    <sheet name="2.  Reformulation" sheetId="8" r:id="rId4"/>
    <sheet name="3.  Summary of steps" sheetId="24" r:id="rId5"/>
    <sheet name="Nike Statement of SE" sheetId="13" r:id="rId6"/>
    <sheet name="Nike Balance Sheet" sheetId="11" r:id="rId7"/>
    <sheet name="Nike Income Statement" sheetId="12" r:id="rId8"/>
    <sheet name="Nike Statement of Cash Flows" sheetId="10" r:id="rId9"/>
    <sheet name="Reformulation Checks" sheetId="22" r:id="rId10"/>
    <sheet name="3. Financial Statement Analysis" sheetId="4" r:id="rId11"/>
    <sheet name="Profitability and Growth" sheetId="21" r:id="rId12"/>
    <sheet name="Common Size and Trend Analysis" sheetId="15" r:id="rId13"/>
    <sheet name="Charts" sheetId="23" r:id="rId14"/>
    <sheet name="4. Valuation - Essentials" sheetId="14" r:id="rId15"/>
    <sheet name="Simple Forecasts and Valuations" sheetId="3" r:id="rId16"/>
    <sheet name="Full Forecasting and Valuation" sheetId="16" r:id="rId17"/>
    <sheet name="Abnormal OI Growth Model" sheetId="20" r:id="rId18"/>
    <sheet name="5.  Bells and Whistles" sheetId="17" r:id="rId19"/>
  </sheets>
  <definedNames>
    <definedName name="_xlnm.Print_Area" localSheetId="10">'3. Financial Statement Analysis'!$B$2:$K$27,'3. Financial Statement Analysis'!$B$30:$K$51</definedName>
    <definedName name="_xlnm.Print_Area" localSheetId="17">'Abnormal OI Growth Model'!$A$2:$J$23,'Abnormal OI Growth Model'!$A$25:$J$83,'Abnormal OI Growth Model'!$A$85:$J$159,'Abnormal OI Growth Model'!#REF!,'Abnormal OI Growth Model'!#REF!,'Abnormal OI Growth Model'!#REF!,'Abnormal OI Growth Model'!#REF!,'Abnormal OI Growth Model'!$A$161:$J$190</definedName>
    <definedName name="_xlnm.Print_Area" localSheetId="13">Charts!$A$9:$Y$71,Charts!$A$73:$M$102</definedName>
    <definedName name="_xlnm.Print_Area" localSheetId="12">'Common Size and Trend Analysis'!$B$2:$K$52,'Common Size and Trend Analysis'!$Q$15:$W$54,'Common Size and Trend Analysis'!$B$60:$K$101,'Common Size and Trend Analysis'!$Q$60:$W$97</definedName>
    <definedName name="_xlnm.Print_Area" localSheetId="16">'Full Forecasting and Valuation'!$B$2:$I$29,'Full Forecasting and Valuation'!$B$33:$I$74</definedName>
    <definedName name="_xlnm.Print_Area" localSheetId="0">Introduction!$B$2:$M$23</definedName>
    <definedName name="_xlnm.Print_Area" localSheetId="6">'Nike Balance Sheet'!$B$2:$L$51,'Nike Balance Sheet'!$O$10:$X$48</definedName>
    <definedName name="_xlnm.Print_Area" localSheetId="7">'Nike Income Statement'!$R$14:$Y$51</definedName>
    <definedName name="_xlnm.Print_Area" localSheetId="8">'Nike Statement of Cash Flows'!$B$2:$K$60,'Nike Statement of Cash Flows'!$R$11:$T$41</definedName>
    <definedName name="_xlnm.Print_Area" localSheetId="5">'Nike Statement of SE'!$B$2:$K$124,'Nike Statement of SE'!$N$11:$Q$94</definedName>
    <definedName name="_xlnm.Print_Area" localSheetId="11">'Profitability and Growth'!$B$2:$K$27,'Profitability and Growth'!$B$31:$L$51,'Profitability and Growth'!$B$53:$L$64,'Profitability and Growth'!$B$67:$K$87,'Profitability and Growth'!$B$90:$J$108</definedName>
    <definedName name="_xlnm.Print_Area" localSheetId="15">'Simple Forecasts and Valuations'!$B$2:$G$26,'Simple Forecasts and Valuations'!$B$28:$G$59,'Simple Forecasts and Valuations'!$B$62:$G$92</definedName>
  </definedNames>
  <calcPr calcId="125725" iterate="1"/>
</workbook>
</file>

<file path=xl/calcChain.xml><?xml version="1.0" encoding="utf-8"?>
<calcChain xmlns="http://schemas.openxmlformats.org/spreadsheetml/2006/main">
  <c r="P45" i="13"/>
  <c r="P46"/>
  <c r="P48"/>
  <c r="Q49"/>
  <c r="P41"/>
  <c r="P42"/>
  <c r="P43"/>
  <c r="Q43"/>
  <c r="P34"/>
  <c r="K35"/>
  <c r="P35" s="1"/>
  <c r="Q38" s="1"/>
  <c r="P37"/>
  <c r="P30"/>
  <c r="P32"/>
  <c r="Q32"/>
  <c r="Q17"/>
  <c r="P19"/>
  <c r="Q21" s="1"/>
  <c r="Q28" s="1"/>
  <c r="P20"/>
  <c r="P21"/>
  <c r="P23"/>
  <c r="Q27" s="1"/>
  <c r="P24"/>
  <c r="P26"/>
  <c r="O58"/>
  <c r="P59"/>
  <c r="P52" s="1"/>
  <c r="Q54" s="1"/>
  <c r="P53"/>
  <c r="P54"/>
  <c r="P56"/>
  <c r="P57"/>
  <c r="Q60" s="1"/>
  <c r="K61"/>
  <c r="O69"/>
  <c r="P70" s="1"/>
  <c r="P63" s="1"/>
  <c r="Q65" s="1"/>
  <c r="P64"/>
  <c r="P65"/>
  <c r="P67"/>
  <c r="Q71" s="1"/>
  <c r="I66"/>
  <c r="P68"/>
  <c r="O80"/>
  <c r="P81"/>
  <c r="P74" s="1"/>
  <c r="Q76" s="1"/>
  <c r="P75"/>
  <c r="P76"/>
  <c r="P78"/>
  <c r="P79"/>
  <c r="Q82" s="1"/>
  <c r="O91"/>
  <c r="P92"/>
  <c r="P85" s="1"/>
  <c r="Q87" s="1"/>
  <c r="P86"/>
  <c r="P87"/>
  <c r="P89"/>
  <c r="P90"/>
  <c r="Q93" s="1"/>
  <c r="O102"/>
  <c r="P103"/>
  <c r="P96" s="1"/>
  <c r="Q98" s="1"/>
  <c r="P97"/>
  <c r="P98"/>
  <c r="P100"/>
  <c r="P101"/>
  <c r="Q104" s="1"/>
  <c r="O113"/>
  <c r="P114"/>
  <c r="P107" s="1"/>
  <c r="Q109" s="1"/>
  <c r="P108"/>
  <c r="P109"/>
  <c r="P111"/>
  <c r="P112"/>
  <c r="Q115" s="1"/>
  <c r="J21" i="4" s="1"/>
  <c r="P118" i="13"/>
  <c r="Q120"/>
  <c r="P123"/>
  <c r="Q126"/>
  <c r="P129"/>
  <c r="Q131" s="1"/>
  <c r="P133"/>
  <c r="Q137" s="1"/>
  <c r="P134"/>
  <c r="P136"/>
  <c r="X17" i="11"/>
  <c r="X18"/>
  <c r="X25" s="1"/>
  <c r="X19"/>
  <c r="X20"/>
  <c r="X21"/>
  <c r="X22"/>
  <c r="X23"/>
  <c r="X24"/>
  <c r="X27"/>
  <c r="X28"/>
  <c r="X31" s="1"/>
  <c r="X29"/>
  <c r="X30"/>
  <c r="X36"/>
  <c r="X37"/>
  <c r="X38"/>
  <c r="X40"/>
  <c r="X41"/>
  <c r="X45" s="1"/>
  <c r="X46" s="1"/>
  <c r="X43"/>
  <c r="X44"/>
  <c r="W15" i="12"/>
  <c r="W16"/>
  <c r="W17" s="1"/>
  <c r="W24" s="1"/>
  <c r="W19"/>
  <c r="W22"/>
  <c r="W23"/>
  <c r="W26"/>
  <c r="W27"/>
  <c r="W45"/>
  <c r="W46" s="1"/>
  <c r="Y17" i="11"/>
  <c r="Y18"/>
  <c r="Y25" s="1"/>
  <c r="Y19"/>
  <c r="Y20"/>
  <c r="Y21"/>
  <c r="Y22"/>
  <c r="Y23"/>
  <c r="Y24"/>
  <c r="Y27"/>
  <c r="Y28"/>
  <c r="Y31" s="1"/>
  <c r="Y29"/>
  <c r="Y30"/>
  <c r="C52" i="14"/>
  <c r="C55"/>
  <c r="E80" i="13"/>
  <c r="E95" s="1"/>
  <c r="E109" s="1"/>
  <c r="E123" s="1"/>
  <c r="S160"/>
  <c r="G36" i="22"/>
  <c r="S32"/>
  <c r="S35"/>
  <c r="S37" s="1"/>
  <c r="R32"/>
  <c r="R35"/>
  <c r="R37" s="1"/>
  <c r="Q32"/>
  <c r="Q35"/>
  <c r="P32"/>
  <c r="P35"/>
  <c r="P37"/>
  <c r="O32"/>
  <c r="O35"/>
  <c r="O37" s="1"/>
  <c r="K80" i="13"/>
  <c r="N32" i="22" s="1"/>
  <c r="N35"/>
  <c r="K95" i="13"/>
  <c r="M32" i="22" s="1"/>
  <c r="M35"/>
  <c r="K109" i="13"/>
  <c r="L32" i="22" s="1"/>
  <c r="L34"/>
  <c r="L35"/>
  <c r="K34"/>
  <c r="K35"/>
  <c r="J32"/>
  <c r="J34"/>
  <c r="J35"/>
  <c r="K150" i="13"/>
  <c r="K151"/>
  <c r="K153"/>
  <c r="I32" i="22" s="1"/>
  <c r="I34"/>
  <c r="I35"/>
  <c r="K157" i="13"/>
  <c r="K163"/>
  <c r="K164"/>
  <c r="K165"/>
  <c r="K166"/>
  <c r="K168"/>
  <c r="K169" s="1"/>
  <c r="H34" i="22"/>
  <c r="H35"/>
  <c r="G34"/>
  <c r="G35"/>
  <c r="P151" i="13"/>
  <c r="P153"/>
  <c r="P152"/>
  <c r="Q153" s="1"/>
  <c r="P156"/>
  <c r="P158"/>
  <c r="Q159"/>
  <c r="T30" i="11"/>
  <c r="T127" i="13"/>
  <c r="P140"/>
  <c r="S72"/>
  <c r="T72" s="1"/>
  <c r="S17"/>
  <c r="T17" s="1"/>
  <c r="H80"/>
  <c r="H95" s="1"/>
  <c r="H109" s="1"/>
  <c r="C37" i="16"/>
  <c r="D37" s="1"/>
  <c r="E25"/>
  <c r="F25"/>
  <c r="G25" s="1"/>
  <c r="E26"/>
  <c r="F26"/>
  <c r="G26" s="1"/>
  <c r="E28"/>
  <c r="F28" s="1"/>
  <c r="G28" s="1"/>
  <c r="W28" i="11"/>
  <c r="W30"/>
  <c r="W27"/>
  <c r="W29"/>
  <c r="W17"/>
  <c r="W18"/>
  <c r="W19"/>
  <c r="W20"/>
  <c r="W21"/>
  <c r="W22"/>
  <c r="W23"/>
  <c r="W24"/>
  <c r="W25"/>
  <c r="V15" i="12"/>
  <c r="G39" i="21"/>
  <c r="V28" i="11"/>
  <c r="V30"/>
  <c r="V27"/>
  <c r="V29"/>
  <c r="V31" s="1"/>
  <c r="V17"/>
  <c r="V18"/>
  <c r="V19"/>
  <c r="V20"/>
  <c r="V21"/>
  <c r="V22"/>
  <c r="V23"/>
  <c r="V24"/>
  <c r="V25"/>
  <c r="U15" i="12"/>
  <c r="F39" i="21"/>
  <c r="U28" i="11"/>
  <c r="U30"/>
  <c r="U27"/>
  <c r="U29"/>
  <c r="U17"/>
  <c r="U18"/>
  <c r="U19"/>
  <c r="U20"/>
  <c r="U21"/>
  <c r="U22"/>
  <c r="U23"/>
  <c r="U24"/>
  <c r="U25"/>
  <c r="T15" i="12"/>
  <c r="E39" i="21"/>
  <c r="T28" i="11"/>
  <c r="T27"/>
  <c r="T29"/>
  <c r="T31"/>
  <c r="C80" i="15" s="1"/>
  <c r="T17" i="11"/>
  <c r="T18"/>
  <c r="T25" s="1"/>
  <c r="T19"/>
  <c r="T20"/>
  <c r="T21"/>
  <c r="T22"/>
  <c r="T23"/>
  <c r="T24"/>
  <c r="S15" i="12"/>
  <c r="D39" i="21" s="1"/>
  <c r="V35" i="12"/>
  <c r="V34"/>
  <c r="V39"/>
  <c r="V16"/>
  <c r="V17"/>
  <c r="V19"/>
  <c r="V22"/>
  <c r="V23" s="1"/>
  <c r="V26"/>
  <c r="V27"/>
  <c r="V28"/>
  <c r="V29"/>
  <c r="U35"/>
  <c r="U34"/>
  <c r="U39"/>
  <c r="U16"/>
  <c r="U17"/>
  <c r="U24" s="1"/>
  <c r="U26"/>
  <c r="U29" s="1"/>
  <c r="E34" i="15" s="1"/>
  <c r="U27" i="12"/>
  <c r="U28"/>
  <c r="T35"/>
  <c r="T34"/>
  <c r="T39" s="1"/>
  <c r="D44" i="15" s="1"/>
  <c r="T16" i="12"/>
  <c r="T17" s="1"/>
  <c r="T26"/>
  <c r="T27"/>
  <c r="T28"/>
  <c r="T29"/>
  <c r="S35"/>
  <c r="S34"/>
  <c r="S39"/>
  <c r="S16"/>
  <c r="S17"/>
  <c r="S24" s="1"/>
  <c r="S26"/>
  <c r="S29" s="1"/>
  <c r="C34" i="15" s="1"/>
  <c r="S27" i="12"/>
  <c r="S28"/>
  <c r="F98" i="23"/>
  <c r="E98"/>
  <c r="D98"/>
  <c r="C98"/>
  <c r="W36" i="11"/>
  <c r="W37"/>
  <c r="W40"/>
  <c r="F90" i="15" s="1"/>
  <c r="W41" i="11"/>
  <c r="W43"/>
  <c r="F93" i="15" s="1"/>
  <c r="W44" i="11"/>
  <c r="W45"/>
  <c r="F95" i="15" s="1"/>
  <c r="V36" i="11"/>
  <c r="V37"/>
  <c r="V38"/>
  <c r="V40"/>
  <c r="V41"/>
  <c r="V45" s="1"/>
  <c r="V43"/>
  <c r="V44"/>
  <c r="U36"/>
  <c r="U37"/>
  <c r="U40"/>
  <c r="D90" i="15" s="1"/>
  <c r="U41" i="11"/>
  <c r="U43"/>
  <c r="D93" i="15" s="1"/>
  <c r="U44" i="11"/>
  <c r="U45"/>
  <c r="D95" i="15" s="1"/>
  <c r="T36" i="11"/>
  <c r="T37"/>
  <c r="T38"/>
  <c r="T40"/>
  <c r="T41"/>
  <c r="T45" s="1"/>
  <c r="T43"/>
  <c r="T44"/>
  <c r="E88" i="15"/>
  <c r="C88"/>
  <c r="E87"/>
  <c r="C87"/>
  <c r="E86"/>
  <c r="C86"/>
  <c r="C81"/>
  <c r="C79"/>
  <c r="C77"/>
  <c r="F75"/>
  <c r="E75"/>
  <c r="D75"/>
  <c r="F74"/>
  <c r="E74"/>
  <c r="D74"/>
  <c r="F73"/>
  <c r="E73"/>
  <c r="D73"/>
  <c r="F72"/>
  <c r="E72"/>
  <c r="D72"/>
  <c r="F71"/>
  <c r="E71"/>
  <c r="D71"/>
  <c r="F70"/>
  <c r="E70"/>
  <c r="D70"/>
  <c r="F69"/>
  <c r="E69"/>
  <c r="D69"/>
  <c r="F68"/>
  <c r="E68"/>
  <c r="D68"/>
  <c r="F67"/>
  <c r="E67"/>
  <c r="D67"/>
  <c r="E56"/>
  <c r="D56"/>
  <c r="C56"/>
  <c r="F54"/>
  <c r="E54"/>
  <c r="D54"/>
  <c r="C54"/>
  <c r="F53"/>
  <c r="E53"/>
  <c r="D53"/>
  <c r="C53"/>
  <c r="F52"/>
  <c r="E52"/>
  <c r="D52"/>
  <c r="C52"/>
  <c r="F51"/>
  <c r="E51"/>
  <c r="D51"/>
  <c r="C51"/>
  <c r="F50"/>
  <c r="E50"/>
  <c r="D50"/>
  <c r="C50"/>
  <c r="F49"/>
  <c r="E49"/>
  <c r="D49"/>
  <c r="C49"/>
  <c r="F48"/>
  <c r="E48"/>
  <c r="D48"/>
  <c r="C48"/>
  <c r="F44"/>
  <c r="E44"/>
  <c r="C44"/>
  <c r="F43"/>
  <c r="E43"/>
  <c r="D43"/>
  <c r="C43"/>
  <c r="F42"/>
  <c r="E42"/>
  <c r="D42"/>
  <c r="C42"/>
  <c r="F41"/>
  <c r="E41"/>
  <c r="D41"/>
  <c r="C41"/>
  <c r="F40"/>
  <c r="E40"/>
  <c r="D40"/>
  <c r="C40"/>
  <c r="F39"/>
  <c r="E39"/>
  <c r="D39"/>
  <c r="C39"/>
  <c r="F38"/>
  <c r="E38"/>
  <c r="D38"/>
  <c r="C38"/>
  <c r="F37"/>
  <c r="E37"/>
  <c r="D37"/>
  <c r="C37"/>
  <c r="F34"/>
  <c r="D34"/>
  <c r="F33"/>
  <c r="E33"/>
  <c r="D33"/>
  <c r="C33"/>
  <c r="F32"/>
  <c r="E32"/>
  <c r="D32"/>
  <c r="C32"/>
  <c r="F31"/>
  <c r="E31"/>
  <c r="D31"/>
  <c r="C31"/>
  <c r="E28"/>
  <c r="D28"/>
  <c r="C28"/>
  <c r="F27"/>
  <c r="E27"/>
  <c r="D27"/>
  <c r="C27"/>
  <c r="F26"/>
  <c r="E26"/>
  <c r="D26"/>
  <c r="C26"/>
  <c r="F25"/>
  <c r="E25"/>
  <c r="D25"/>
  <c r="C25"/>
  <c r="F24"/>
  <c r="U19" i="12"/>
  <c r="E24" i="15"/>
  <c r="T19" i="12"/>
  <c r="D24" i="15"/>
  <c r="S19" i="12"/>
  <c r="C24" i="15"/>
  <c r="F22"/>
  <c r="E22"/>
  <c r="C22"/>
  <c r="F21"/>
  <c r="E21"/>
  <c r="D21"/>
  <c r="C21"/>
  <c r="F20"/>
  <c r="E20"/>
  <c r="D20"/>
  <c r="C20"/>
  <c r="F19"/>
  <c r="E19"/>
  <c r="D19"/>
  <c r="C19"/>
  <c r="F41" i="21"/>
  <c r="E41"/>
  <c r="D41"/>
  <c r="W35" i="12"/>
  <c r="W39" s="1"/>
  <c r="W36"/>
  <c r="W37"/>
  <c r="G42" i="15" s="1"/>
  <c r="W38" i="12"/>
  <c r="W34"/>
  <c r="E59" i="21"/>
  <c r="Y36" i="11"/>
  <c r="Y38" s="1"/>
  <c r="Y46" s="1"/>
  <c r="Y40"/>
  <c r="Y41"/>
  <c r="Y43"/>
  <c r="Y44"/>
  <c r="Y45"/>
  <c r="H39" i="21"/>
  <c r="G57" s="1"/>
  <c r="F57"/>
  <c r="E57"/>
  <c r="Z28" i="11"/>
  <c r="Z27"/>
  <c r="Z29"/>
  <c r="Z30"/>
  <c r="Z17"/>
  <c r="Z36" s="1"/>
  <c r="Z18"/>
  <c r="Z19"/>
  <c r="Z20"/>
  <c r="Z21"/>
  <c r="Z22"/>
  <c r="Z23"/>
  <c r="Z24"/>
  <c r="Z25"/>
  <c r="Z40"/>
  <c r="Z41"/>
  <c r="Z43"/>
  <c r="Z44"/>
  <c r="Z45"/>
  <c r="AA28"/>
  <c r="AA27"/>
  <c r="AA31" s="1"/>
  <c r="J78" i="15" s="1"/>
  <c r="AA29" i="11"/>
  <c r="AA30"/>
  <c r="AA17"/>
  <c r="AA18"/>
  <c r="AA19"/>
  <c r="AA20"/>
  <c r="AA21"/>
  <c r="AA22"/>
  <c r="AA23"/>
  <c r="AA24"/>
  <c r="AA25"/>
  <c r="AA36"/>
  <c r="AA38" s="1"/>
  <c r="AA46" s="1"/>
  <c r="AA40"/>
  <c r="AA41"/>
  <c r="AA43"/>
  <c r="AA44"/>
  <c r="AA45"/>
  <c r="AB28"/>
  <c r="AB31" s="1"/>
  <c r="AB27"/>
  <c r="AB30"/>
  <c r="AB17"/>
  <c r="AB18"/>
  <c r="AB19"/>
  <c r="AB20"/>
  <c r="AB21"/>
  <c r="AB22"/>
  <c r="AB23"/>
  <c r="AB24"/>
  <c r="AB36"/>
  <c r="AB38" s="1"/>
  <c r="AB45"/>
  <c r="AC17"/>
  <c r="AC36" s="1"/>
  <c r="L86" i="15" s="1"/>
  <c r="AC18" i="11"/>
  <c r="AC19"/>
  <c r="AC20"/>
  <c r="AC21"/>
  <c r="AC22"/>
  <c r="AC23"/>
  <c r="AC24"/>
  <c r="AC25"/>
  <c r="AC32" s="1"/>
  <c r="AC27"/>
  <c r="AC30"/>
  <c r="AC31" s="1"/>
  <c r="AC38"/>
  <c r="L88" i="15" s="1"/>
  <c r="AC45" i="11"/>
  <c r="AC46"/>
  <c r="AD17"/>
  <c r="AD36" s="1"/>
  <c r="AD18"/>
  <c r="AD19"/>
  <c r="AD20"/>
  <c r="AD21"/>
  <c r="AD22"/>
  <c r="AD23"/>
  <c r="AD24"/>
  <c r="AD25"/>
  <c r="AD27"/>
  <c r="AD30"/>
  <c r="AD31" s="1"/>
  <c r="AD32"/>
  <c r="AD48" s="1"/>
  <c r="M101" i="15" s="1"/>
  <c r="AD38" i="11"/>
  <c r="AD45"/>
  <c r="AD46"/>
  <c r="AE17"/>
  <c r="AE36" s="1"/>
  <c r="AE18"/>
  <c r="AE19"/>
  <c r="AE20"/>
  <c r="AE21"/>
  <c r="AE22"/>
  <c r="AE23"/>
  <c r="AE24"/>
  <c r="AE25"/>
  <c r="AE27"/>
  <c r="AE30"/>
  <c r="AE31" s="1"/>
  <c r="AE32"/>
  <c r="AE48" s="1"/>
  <c r="N100" i="15" s="1"/>
  <c r="AE38" i="11"/>
  <c r="AE45"/>
  <c r="AE46"/>
  <c r="N37" i="21"/>
  <c r="AF17" i="11"/>
  <c r="AF36" s="1"/>
  <c r="AF18"/>
  <c r="AF19"/>
  <c r="AF20"/>
  <c r="AF21"/>
  <c r="AF22"/>
  <c r="AF23"/>
  <c r="AF24"/>
  <c r="AF25"/>
  <c r="AF27"/>
  <c r="AF30"/>
  <c r="AF31" s="1"/>
  <c r="AF32"/>
  <c r="AF48" s="1"/>
  <c r="O101" i="15" s="1"/>
  <c r="AF38" i="11"/>
  <c r="AF45"/>
  <c r="AF46"/>
  <c r="O37" i="21"/>
  <c r="G42"/>
  <c r="F42"/>
  <c r="E42"/>
  <c r="D42"/>
  <c r="Q142" i="13"/>
  <c r="P145"/>
  <c r="P147"/>
  <c r="Q148" s="1"/>
  <c r="F21" i="4"/>
  <c r="G21"/>
  <c r="I21"/>
  <c r="F20"/>
  <c r="G20"/>
  <c r="G24" s="1"/>
  <c r="I20"/>
  <c r="I24" s="1"/>
  <c r="F23" i="12"/>
  <c r="F24"/>
  <c r="F26" s="1"/>
  <c r="F28" s="1"/>
  <c r="E23"/>
  <c r="E24" s="1"/>
  <c r="E26" s="1"/>
  <c r="E28" s="1"/>
  <c r="F24" i="11"/>
  <c r="F29" s="1"/>
  <c r="D23" i="12"/>
  <c r="D24"/>
  <c r="D26" s="1"/>
  <c r="D28" s="1"/>
  <c r="E24" i="11"/>
  <c r="E29"/>
  <c r="C23" i="12"/>
  <c r="C24" s="1"/>
  <c r="C26" s="1"/>
  <c r="C28" s="1"/>
  <c r="D24" i="11"/>
  <c r="D29" s="1"/>
  <c r="I41" i="4"/>
  <c r="H41"/>
  <c r="G41"/>
  <c r="F41"/>
  <c r="I46"/>
  <c r="H46"/>
  <c r="G46"/>
  <c r="F46"/>
  <c r="H37"/>
  <c r="G37"/>
  <c r="F37"/>
  <c r="F24"/>
  <c r="J20"/>
  <c r="J20" i="22"/>
  <c r="K122" i="13"/>
  <c r="J122"/>
  <c r="I122"/>
  <c r="J80"/>
  <c r="J95"/>
  <c r="J109" s="1"/>
  <c r="J123" s="1"/>
  <c r="J138" s="1"/>
  <c r="J153" s="1"/>
  <c r="J169" s="1"/>
  <c r="J188" s="1"/>
  <c r="I80"/>
  <c r="I95"/>
  <c r="I109" s="1"/>
  <c r="I123" s="1"/>
  <c r="I138" s="1"/>
  <c r="I153" s="1"/>
  <c r="I169" s="1"/>
  <c r="I188" s="1"/>
  <c r="I108"/>
  <c r="G80"/>
  <c r="G95" s="1"/>
  <c r="G109" s="1"/>
  <c r="G123" s="1"/>
  <c r="F80"/>
  <c r="F95" s="1"/>
  <c r="F109" s="1"/>
  <c r="F123" s="1"/>
  <c r="F138" s="1"/>
  <c r="F153" s="1"/>
  <c r="F169" s="1"/>
  <c r="F188" s="1"/>
  <c r="D80"/>
  <c r="D95" s="1"/>
  <c r="D109" s="1"/>
  <c r="D123" s="1"/>
  <c r="D138" s="1"/>
  <c r="D153" s="1"/>
  <c r="D169" s="1"/>
  <c r="D188" s="1"/>
  <c r="C80"/>
  <c r="C95" s="1"/>
  <c r="C109" s="1"/>
  <c r="C123" s="1"/>
  <c r="K137"/>
  <c r="J137"/>
  <c r="J108"/>
  <c r="I23" i="22"/>
  <c r="H23"/>
  <c r="G23"/>
  <c r="I20"/>
  <c r="H20"/>
  <c r="G20"/>
  <c r="T138" i="13"/>
  <c r="I15" i="22"/>
  <c r="H15"/>
  <c r="H16" s="1"/>
  <c r="G15"/>
  <c r="G14"/>
  <c r="G16" s="1"/>
  <c r="H14"/>
  <c r="I14"/>
  <c r="J14"/>
  <c r="I16"/>
  <c r="R141" i="13"/>
  <c r="V96" i="15"/>
  <c r="V95"/>
  <c r="U95"/>
  <c r="T95"/>
  <c r="S95"/>
  <c r="R95"/>
  <c r="V94"/>
  <c r="U94"/>
  <c r="T94"/>
  <c r="S94"/>
  <c r="R94"/>
  <c r="V93"/>
  <c r="U93"/>
  <c r="T93"/>
  <c r="S93"/>
  <c r="R93"/>
  <c r="V92"/>
  <c r="U92"/>
  <c r="T92"/>
  <c r="S92"/>
  <c r="R92"/>
  <c r="V91"/>
  <c r="U91"/>
  <c r="T91"/>
  <c r="S91"/>
  <c r="R91"/>
  <c r="V90"/>
  <c r="U90"/>
  <c r="T90"/>
  <c r="S90"/>
  <c r="R90"/>
  <c r="V88"/>
  <c r="T88"/>
  <c r="R88"/>
  <c r="V86"/>
  <c r="U86"/>
  <c r="T86"/>
  <c r="S86"/>
  <c r="R86"/>
  <c r="V80"/>
  <c r="U80"/>
  <c r="T80"/>
  <c r="S80"/>
  <c r="R80"/>
  <c r="V79"/>
  <c r="U79"/>
  <c r="T79"/>
  <c r="S79"/>
  <c r="R79"/>
  <c r="V78"/>
  <c r="U78"/>
  <c r="T78"/>
  <c r="S78"/>
  <c r="R78"/>
  <c r="V77"/>
  <c r="U77"/>
  <c r="T77"/>
  <c r="S77"/>
  <c r="R77"/>
  <c r="V75"/>
  <c r="U75"/>
  <c r="T75"/>
  <c r="S75"/>
  <c r="R75"/>
  <c r="V74"/>
  <c r="U74"/>
  <c r="T74"/>
  <c r="S74"/>
  <c r="R74"/>
  <c r="V73"/>
  <c r="U73"/>
  <c r="T73"/>
  <c r="S73"/>
  <c r="R73"/>
  <c r="V72"/>
  <c r="U72"/>
  <c r="T72"/>
  <c r="S72"/>
  <c r="R72"/>
  <c r="V71"/>
  <c r="U71"/>
  <c r="T71"/>
  <c r="S71"/>
  <c r="R71"/>
  <c r="V70"/>
  <c r="U70"/>
  <c r="T70"/>
  <c r="S70"/>
  <c r="R70"/>
  <c r="V69"/>
  <c r="U69"/>
  <c r="T69"/>
  <c r="S69"/>
  <c r="R69"/>
  <c r="V68"/>
  <c r="U68"/>
  <c r="T68"/>
  <c r="S68"/>
  <c r="R68"/>
  <c r="V67"/>
  <c r="U67"/>
  <c r="T67"/>
  <c r="S67"/>
  <c r="R67"/>
  <c r="W96"/>
  <c r="W95"/>
  <c r="W94"/>
  <c r="W93"/>
  <c r="W92"/>
  <c r="W91"/>
  <c r="W90"/>
  <c r="W88"/>
  <c r="W86"/>
  <c r="W80"/>
  <c r="W79"/>
  <c r="W78"/>
  <c r="W77"/>
  <c r="W75"/>
  <c r="W74"/>
  <c r="W73"/>
  <c r="W72"/>
  <c r="W71"/>
  <c r="W70"/>
  <c r="W69"/>
  <c r="W68"/>
  <c r="W67"/>
  <c r="U64"/>
  <c r="T64"/>
  <c r="S64"/>
  <c r="R64"/>
  <c r="X37" i="12"/>
  <c r="X38"/>
  <c r="H43" i="15" s="1"/>
  <c r="X34" i="12"/>
  <c r="X39"/>
  <c r="U44" i="15" s="1"/>
  <c r="X15" i="12"/>
  <c r="X16"/>
  <c r="X17" s="1"/>
  <c r="X19"/>
  <c r="V24" i="15" s="1"/>
  <c r="X22" i="12"/>
  <c r="X23"/>
  <c r="V28" i="15" s="1"/>
  <c r="X26" i="12"/>
  <c r="V31" i="15" s="1"/>
  <c r="X27" i="12"/>
  <c r="X43"/>
  <c r="X45" s="1"/>
  <c r="V49" i="15"/>
  <c r="U49"/>
  <c r="T49"/>
  <c r="S49"/>
  <c r="R49"/>
  <c r="V48"/>
  <c r="T48"/>
  <c r="R48"/>
  <c r="T44"/>
  <c r="V40"/>
  <c r="U40"/>
  <c r="T40"/>
  <c r="S40"/>
  <c r="R40"/>
  <c r="U31"/>
  <c r="S31"/>
  <c r="U28"/>
  <c r="S28"/>
  <c r="V27"/>
  <c r="U27"/>
  <c r="T27"/>
  <c r="S27"/>
  <c r="R27"/>
  <c r="V26"/>
  <c r="U26"/>
  <c r="T26"/>
  <c r="S26"/>
  <c r="R26"/>
  <c r="V25"/>
  <c r="U25"/>
  <c r="T25"/>
  <c r="S25"/>
  <c r="R25"/>
  <c r="U24"/>
  <c r="S24"/>
  <c r="U21"/>
  <c r="S21"/>
  <c r="V20"/>
  <c r="U20"/>
  <c r="T20"/>
  <c r="S20"/>
  <c r="R20"/>
  <c r="W49"/>
  <c r="W40"/>
  <c r="W31"/>
  <c r="W28"/>
  <c r="W27"/>
  <c r="W26"/>
  <c r="W25"/>
  <c r="W24"/>
  <c r="W21"/>
  <c r="W20"/>
  <c r="U19"/>
  <c r="T19"/>
  <c r="S19"/>
  <c r="R19"/>
  <c r="T149" i="13"/>
  <c r="S61"/>
  <c r="T61"/>
  <c r="O40" i="10"/>
  <c r="N40"/>
  <c r="M40"/>
  <c r="L40"/>
  <c r="K40"/>
  <c r="J40"/>
  <c r="I40"/>
  <c r="H40"/>
  <c r="G40"/>
  <c r="F40"/>
  <c r="E40"/>
  <c r="D40"/>
  <c r="C40"/>
  <c r="I185" i="13"/>
  <c r="K185"/>
  <c r="K167"/>
  <c r="I167"/>
  <c r="I152"/>
  <c r="K152"/>
  <c r="D50" i="11"/>
  <c r="E50"/>
  <c r="C153" i="13"/>
  <c r="D30" i="10"/>
  <c r="D49"/>
  <c r="D52"/>
  <c r="E30"/>
  <c r="E49"/>
  <c r="E52" s="1"/>
  <c r="E54" s="1"/>
  <c r="D53" s="1"/>
  <c r="E53"/>
  <c r="C30"/>
  <c r="C49"/>
  <c r="C52" s="1"/>
  <c r="E37" i="11"/>
  <c r="E51"/>
  <c r="D37"/>
  <c r="D51"/>
  <c r="F37"/>
  <c r="F51"/>
  <c r="J152" i="13"/>
  <c r="G23" i="12"/>
  <c r="G24" s="1"/>
  <c r="G26" s="1"/>
  <c r="H23"/>
  <c r="H24"/>
  <c r="H26" s="1"/>
  <c r="I26"/>
  <c r="H153" i="13"/>
  <c r="H169"/>
  <c r="H188" s="1"/>
  <c r="G153"/>
  <c r="G169" s="1"/>
  <c r="G188" s="1"/>
  <c r="E153"/>
  <c r="E169"/>
  <c r="E188" s="1"/>
  <c r="C169"/>
  <c r="C188" s="1"/>
  <c r="J185"/>
  <c r="J167"/>
  <c r="I137"/>
  <c r="H98" i="23"/>
  <c r="I98"/>
  <c r="J98"/>
  <c r="K98"/>
  <c r="Y37" i="12"/>
  <c r="Y38"/>
  <c r="Y34"/>
  <c r="Y39"/>
  <c r="I44" i="15" s="1"/>
  <c r="Y19" i="12"/>
  <c r="Y22"/>
  <c r="Y23" s="1"/>
  <c r="Y15"/>
  <c r="Y16"/>
  <c r="Y17"/>
  <c r="Y43"/>
  <c r="Y45" s="1"/>
  <c r="Y46" s="1"/>
  <c r="Y26"/>
  <c r="Y27"/>
  <c r="Z37"/>
  <c r="Z34"/>
  <c r="Z39" s="1"/>
  <c r="J44" i="15" s="1"/>
  <c r="Z19" i="12"/>
  <c r="Z22"/>
  <c r="Z23"/>
  <c r="Z15"/>
  <c r="Z16"/>
  <c r="Z17" s="1"/>
  <c r="Z24" s="1"/>
  <c r="Z43"/>
  <c r="Z45"/>
  <c r="Z46" s="1"/>
  <c r="Z28" s="1"/>
  <c r="J33" i="15" s="1"/>
  <c r="Z26" i="12"/>
  <c r="Z27"/>
  <c r="Z29" s="1"/>
  <c r="AA35"/>
  <c r="K40" i="15" s="1"/>
  <c r="AA37" i="12"/>
  <c r="AA32"/>
  <c r="AA33" s="1"/>
  <c r="K38" i="15" s="1"/>
  <c r="AA19" i="12"/>
  <c r="AA22"/>
  <c r="AA23"/>
  <c r="AA17"/>
  <c r="AA24"/>
  <c r="AA45"/>
  <c r="AA46" s="1"/>
  <c r="AB37"/>
  <c r="P20" i="22" s="1"/>
  <c r="AB32" i="12"/>
  <c r="AB33"/>
  <c r="AB34" s="1"/>
  <c r="AB39" s="1"/>
  <c r="L44" i="15" s="1"/>
  <c r="AB19" i="12"/>
  <c r="AB22"/>
  <c r="AB23" s="1"/>
  <c r="L28" i="15" s="1"/>
  <c r="AB17" i="12"/>
  <c r="AB27"/>
  <c r="AB45"/>
  <c r="AB46"/>
  <c r="AB28" s="1"/>
  <c r="AC19"/>
  <c r="AC22"/>
  <c r="AC23"/>
  <c r="AC17"/>
  <c r="AC24"/>
  <c r="AC32"/>
  <c r="AC33"/>
  <c r="AC27" s="1"/>
  <c r="AC45"/>
  <c r="AC46" s="1"/>
  <c r="N35" i="21"/>
  <c r="AD19" i="12"/>
  <c r="AD22"/>
  <c r="AD23" s="1"/>
  <c r="N28" i="15" s="1"/>
  <c r="AD17" i="12"/>
  <c r="AD32"/>
  <c r="AD33" s="1"/>
  <c r="AD45"/>
  <c r="AD46"/>
  <c r="AD28" s="1"/>
  <c r="N33" i="15" s="1"/>
  <c r="AE19" i="12"/>
  <c r="AE22"/>
  <c r="AE23"/>
  <c r="AE17"/>
  <c r="AE24"/>
  <c r="AE32"/>
  <c r="AE33"/>
  <c r="AE27" s="1"/>
  <c r="AE45"/>
  <c r="AE46" s="1"/>
  <c r="P35" i="21"/>
  <c r="I39"/>
  <c r="J39"/>
  <c r="I57" s="1"/>
  <c r="K39"/>
  <c r="L39"/>
  <c r="M39"/>
  <c r="N39"/>
  <c r="N48" s="1"/>
  <c r="O39"/>
  <c r="P39"/>
  <c r="O57" s="1"/>
  <c r="P48"/>
  <c r="G98" i="23"/>
  <c r="C13" i="20"/>
  <c r="C14"/>
  <c r="C15"/>
  <c r="C46"/>
  <c r="D33"/>
  <c r="D46" s="1"/>
  <c r="D30"/>
  <c r="D31"/>
  <c r="D32"/>
  <c r="E33"/>
  <c r="E30"/>
  <c r="E31"/>
  <c r="E32"/>
  <c r="D37"/>
  <c r="D38"/>
  <c r="D39"/>
  <c r="D40"/>
  <c r="F33"/>
  <c r="F30"/>
  <c r="F31"/>
  <c r="F32"/>
  <c r="E37"/>
  <c r="E38"/>
  <c r="E39"/>
  <c r="E40"/>
  <c r="G33"/>
  <c r="G30"/>
  <c r="G31"/>
  <c r="G32"/>
  <c r="F37"/>
  <c r="F38"/>
  <c r="F39"/>
  <c r="F40"/>
  <c r="H33"/>
  <c r="H30"/>
  <c r="H31"/>
  <c r="H32"/>
  <c r="G37"/>
  <c r="G38"/>
  <c r="G39"/>
  <c r="G40"/>
  <c r="C77"/>
  <c r="C19"/>
  <c r="C17"/>
  <c r="C21"/>
  <c r="C30"/>
  <c r="I30"/>
  <c r="C31"/>
  <c r="I31"/>
  <c r="I32"/>
  <c r="C33"/>
  <c r="I33"/>
  <c r="C36"/>
  <c r="D36"/>
  <c r="E36"/>
  <c r="F36"/>
  <c r="G36"/>
  <c r="H36"/>
  <c r="I36"/>
  <c r="C37"/>
  <c r="H25" i="16"/>
  <c r="H37" i="20"/>
  <c r="I25" i="16"/>
  <c r="I37" i="20"/>
  <c r="C38"/>
  <c r="H26" i="16"/>
  <c r="H38" i="20" s="1"/>
  <c r="I26" i="16"/>
  <c r="I38" i="20" s="1"/>
  <c r="C39"/>
  <c r="H39"/>
  <c r="I39"/>
  <c r="C59"/>
  <c r="C58"/>
  <c r="C57"/>
  <c r="H28" i="16"/>
  <c r="H40" i="20" s="1"/>
  <c r="C44"/>
  <c r="C87" s="1"/>
  <c r="C165" s="1"/>
  <c r="D44"/>
  <c r="E44"/>
  <c r="E87" s="1"/>
  <c r="E165" s="1"/>
  <c r="F44"/>
  <c r="G44"/>
  <c r="G87" s="1"/>
  <c r="G165" s="1"/>
  <c r="H44"/>
  <c r="I44"/>
  <c r="I87" s="1"/>
  <c r="I165" s="1"/>
  <c r="C47"/>
  <c r="C48"/>
  <c r="C49"/>
  <c r="C50"/>
  <c r="D87"/>
  <c r="F87"/>
  <c r="H87"/>
  <c r="C109"/>
  <c r="D109" s="1"/>
  <c r="D169" s="1"/>
  <c r="E109"/>
  <c r="F109" s="1"/>
  <c r="F169" s="1"/>
  <c r="C93"/>
  <c r="D89"/>
  <c r="E108"/>
  <c r="F108"/>
  <c r="G108" s="1"/>
  <c r="H108"/>
  <c r="I108"/>
  <c r="C108"/>
  <c r="T35" i="10"/>
  <c r="C112" i="20" s="1"/>
  <c r="C131"/>
  <c r="C137"/>
  <c r="C140"/>
  <c r="C156"/>
  <c r="D165"/>
  <c r="F165"/>
  <c r="H165"/>
  <c r="C169"/>
  <c r="E169"/>
  <c r="C183"/>
  <c r="C186"/>
  <c r="C16" i="16"/>
  <c r="C17"/>
  <c r="C19"/>
  <c r="C24"/>
  <c r="D24"/>
  <c r="E24"/>
  <c r="F24"/>
  <c r="G24"/>
  <c r="H24"/>
  <c r="I24"/>
  <c r="C25"/>
  <c r="C26"/>
  <c r="C27"/>
  <c r="C50"/>
  <c r="C49"/>
  <c r="C48"/>
  <c r="C35"/>
  <c r="D35"/>
  <c r="E35"/>
  <c r="F35"/>
  <c r="G35"/>
  <c r="H35"/>
  <c r="I35"/>
  <c r="C38"/>
  <c r="C39"/>
  <c r="C40"/>
  <c r="D19" i="3"/>
  <c r="C38" i="14"/>
  <c r="C40"/>
  <c r="G19" i="15"/>
  <c r="H19"/>
  <c r="I19"/>
  <c r="J19"/>
  <c r="K19"/>
  <c r="L19"/>
  <c r="M19"/>
  <c r="N19"/>
  <c r="O19"/>
  <c r="V19"/>
  <c r="W19"/>
  <c r="G20"/>
  <c r="H20"/>
  <c r="I20"/>
  <c r="J20"/>
  <c r="K20"/>
  <c r="L20"/>
  <c r="M20"/>
  <c r="N20"/>
  <c r="O20"/>
  <c r="G21"/>
  <c r="H21"/>
  <c r="I21"/>
  <c r="J21"/>
  <c r="K21"/>
  <c r="L21"/>
  <c r="M21"/>
  <c r="N21"/>
  <c r="O21"/>
  <c r="G22"/>
  <c r="H22"/>
  <c r="I22"/>
  <c r="J22"/>
  <c r="K22"/>
  <c r="L22"/>
  <c r="M22"/>
  <c r="N22"/>
  <c r="O22"/>
  <c r="G24"/>
  <c r="H24"/>
  <c r="I24"/>
  <c r="J24"/>
  <c r="K24"/>
  <c r="L24"/>
  <c r="M24"/>
  <c r="N24"/>
  <c r="O24"/>
  <c r="G25"/>
  <c r="H25"/>
  <c r="I25"/>
  <c r="J25"/>
  <c r="K25"/>
  <c r="L25"/>
  <c r="M25"/>
  <c r="N25"/>
  <c r="O25"/>
  <c r="G26"/>
  <c r="H26"/>
  <c r="I26"/>
  <c r="J26"/>
  <c r="K26"/>
  <c r="L26"/>
  <c r="M26"/>
  <c r="N26"/>
  <c r="O26"/>
  <c r="G27"/>
  <c r="H27"/>
  <c r="I27"/>
  <c r="J27"/>
  <c r="K27"/>
  <c r="L27"/>
  <c r="M27"/>
  <c r="N27"/>
  <c r="O27"/>
  <c r="G28"/>
  <c r="H28"/>
  <c r="I28"/>
  <c r="J28"/>
  <c r="K28"/>
  <c r="M28"/>
  <c r="O28"/>
  <c r="G29"/>
  <c r="J29"/>
  <c r="K29"/>
  <c r="M29"/>
  <c r="O29"/>
  <c r="G31"/>
  <c r="H31"/>
  <c r="I31"/>
  <c r="J31"/>
  <c r="K31"/>
  <c r="L31"/>
  <c r="M31"/>
  <c r="N31"/>
  <c r="O31"/>
  <c r="G32"/>
  <c r="H32"/>
  <c r="I32"/>
  <c r="J32"/>
  <c r="L32"/>
  <c r="J34"/>
  <c r="G37"/>
  <c r="H37"/>
  <c r="I37"/>
  <c r="J37"/>
  <c r="K37"/>
  <c r="L37"/>
  <c r="M37"/>
  <c r="N37"/>
  <c r="O37"/>
  <c r="G38"/>
  <c r="H38"/>
  <c r="I38"/>
  <c r="J38"/>
  <c r="L38"/>
  <c r="M38"/>
  <c r="O38"/>
  <c r="G39"/>
  <c r="H39"/>
  <c r="I39"/>
  <c r="J39"/>
  <c r="H40"/>
  <c r="I40"/>
  <c r="J40"/>
  <c r="L40"/>
  <c r="M40"/>
  <c r="N40"/>
  <c r="O40"/>
  <c r="G41"/>
  <c r="H41"/>
  <c r="I41"/>
  <c r="J41"/>
  <c r="K41"/>
  <c r="L41"/>
  <c r="M41"/>
  <c r="N41"/>
  <c r="O41"/>
  <c r="H42"/>
  <c r="I42"/>
  <c r="J42"/>
  <c r="K42"/>
  <c r="L42"/>
  <c r="M42"/>
  <c r="N42"/>
  <c r="O42"/>
  <c r="G43"/>
  <c r="I43"/>
  <c r="J43"/>
  <c r="K43"/>
  <c r="L43"/>
  <c r="M43"/>
  <c r="N43"/>
  <c r="O43"/>
  <c r="H44"/>
  <c r="G48"/>
  <c r="H48"/>
  <c r="I48"/>
  <c r="J48"/>
  <c r="K48"/>
  <c r="L48"/>
  <c r="M48"/>
  <c r="N48"/>
  <c r="O48"/>
  <c r="G49"/>
  <c r="H49"/>
  <c r="I49"/>
  <c r="J49"/>
  <c r="K49"/>
  <c r="L49"/>
  <c r="M49"/>
  <c r="N49"/>
  <c r="O49"/>
  <c r="G50"/>
  <c r="I50"/>
  <c r="J50"/>
  <c r="K50"/>
  <c r="L50"/>
  <c r="M50"/>
  <c r="N50"/>
  <c r="O50"/>
  <c r="G51"/>
  <c r="J51"/>
  <c r="L51"/>
  <c r="N51"/>
  <c r="Y47" i="12"/>
  <c r="I52" i="15" s="1"/>
  <c r="Z47" i="12"/>
  <c r="J52" i="15" s="1"/>
  <c r="AA47" i="12"/>
  <c r="K52" i="15" s="1"/>
  <c r="AB47" i="12"/>
  <c r="L52" i="15" s="1"/>
  <c r="AC47" i="12"/>
  <c r="M52" i="15" s="1"/>
  <c r="AD47" i="12"/>
  <c r="N52" i="15" s="1"/>
  <c r="AE47" i="12"/>
  <c r="O52" i="15" s="1"/>
  <c r="G53"/>
  <c r="H53"/>
  <c r="I53"/>
  <c r="J53"/>
  <c r="K53"/>
  <c r="L53"/>
  <c r="M53"/>
  <c r="N53"/>
  <c r="O53"/>
  <c r="Y49" i="12"/>
  <c r="I54" i="15" s="1"/>
  <c r="Z49" i="12"/>
  <c r="J54" i="15" s="1"/>
  <c r="AA49" i="12"/>
  <c r="K54" i="15" s="1"/>
  <c r="AB49" i="12"/>
  <c r="L54" i="15" s="1"/>
  <c r="AC49" i="12"/>
  <c r="M54" i="15" s="1"/>
  <c r="AD49" i="12"/>
  <c r="N54" i="15" s="1"/>
  <c r="AE49" i="12"/>
  <c r="O54" i="15" s="1"/>
  <c r="I64"/>
  <c r="V64"/>
  <c r="W64"/>
  <c r="G67"/>
  <c r="H67"/>
  <c r="I67"/>
  <c r="J67"/>
  <c r="M67"/>
  <c r="N67"/>
  <c r="O67"/>
  <c r="G68"/>
  <c r="H68"/>
  <c r="J68"/>
  <c r="L68"/>
  <c r="M68"/>
  <c r="N68"/>
  <c r="O68"/>
  <c r="G69"/>
  <c r="H69"/>
  <c r="I69"/>
  <c r="J69"/>
  <c r="M69"/>
  <c r="N69"/>
  <c r="O69"/>
  <c r="G70"/>
  <c r="H70"/>
  <c r="J70"/>
  <c r="L70"/>
  <c r="M70"/>
  <c r="N70"/>
  <c r="O70"/>
  <c r="G71"/>
  <c r="H71"/>
  <c r="I71"/>
  <c r="J71"/>
  <c r="M71"/>
  <c r="N71"/>
  <c r="O71"/>
  <c r="G72"/>
  <c r="H72"/>
  <c r="J72"/>
  <c r="L72"/>
  <c r="M72"/>
  <c r="N72"/>
  <c r="O72"/>
  <c r="G73"/>
  <c r="H73"/>
  <c r="I73"/>
  <c r="J73"/>
  <c r="M73"/>
  <c r="N73"/>
  <c r="O73"/>
  <c r="G74"/>
  <c r="H74"/>
  <c r="J74"/>
  <c r="L74"/>
  <c r="M74"/>
  <c r="N74"/>
  <c r="O74"/>
  <c r="G75"/>
  <c r="H75"/>
  <c r="I75"/>
  <c r="J75"/>
  <c r="M75"/>
  <c r="N75"/>
  <c r="O75"/>
  <c r="J77"/>
  <c r="L77"/>
  <c r="M77"/>
  <c r="N77"/>
  <c r="O77"/>
  <c r="L78"/>
  <c r="M78"/>
  <c r="N78"/>
  <c r="O78"/>
  <c r="J79"/>
  <c r="L79"/>
  <c r="M79"/>
  <c r="N79"/>
  <c r="O79"/>
  <c r="L80"/>
  <c r="M80"/>
  <c r="N80"/>
  <c r="O80"/>
  <c r="J81"/>
  <c r="L81"/>
  <c r="M81"/>
  <c r="N81"/>
  <c r="O81"/>
  <c r="G86"/>
  <c r="H86"/>
  <c r="M86"/>
  <c r="N86"/>
  <c r="O86"/>
  <c r="G87"/>
  <c r="H87"/>
  <c r="J87"/>
  <c r="L87"/>
  <c r="M87"/>
  <c r="N87"/>
  <c r="O87"/>
  <c r="G88"/>
  <c r="H88"/>
  <c r="M88"/>
  <c r="N88"/>
  <c r="O88"/>
  <c r="G90"/>
  <c r="H90"/>
  <c r="I90"/>
  <c r="J90"/>
  <c r="K90"/>
  <c r="L90"/>
  <c r="M90"/>
  <c r="N90"/>
  <c r="O90"/>
  <c r="G91"/>
  <c r="H91"/>
  <c r="I91"/>
  <c r="J91"/>
  <c r="K91"/>
  <c r="L91"/>
  <c r="M91"/>
  <c r="N91"/>
  <c r="O91"/>
  <c r="G92"/>
  <c r="H92"/>
  <c r="I92"/>
  <c r="J92"/>
  <c r="K92"/>
  <c r="L92"/>
  <c r="M92"/>
  <c r="N92"/>
  <c r="O92"/>
  <c r="G93"/>
  <c r="H93"/>
  <c r="I93"/>
  <c r="J93"/>
  <c r="K93"/>
  <c r="L93"/>
  <c r="M93"/>
  <c r="N93"/>
  <c r="O93"/>
  <c r="G94"/>
  <c r="H94"/>
  <c r="I94"/>
  <c r="J94"/>
  <c r="K94"/>
  <c r="L94"/>
  <c r="M94"/>
  <c r="N94"/>
  <c r="O94"/>
  <c r="G95"/>
  <c r="H95"/>
  <c r="I95"/>
  <c r="J95"/>
  <c r="K95"/>
  <c r="L95"/>
  <c r="M95"/>
  <c r="N95"/>
  <c r="O95"/>
  <c r="N99"/>
  <c r="M100"/>
  <c r="O100"/>
  <c r="N101"/>
  <c r="J41" i="4"/>
  <c r="H36" i="21"/>
  <c r="M36"/>
  <c r="N36"/>
  <c r="O36"/>
  <c r="O49" s="1"/>
  <c r="P36"/>
  <c r="P37"/>
  <c r="P49" s="1"/>
  <c r="K42"/>
  <c r="M42"/>
  <c r="M45" s="1"/>
  <c r="O42"/>
  <c r="O45"/>
  <c r="N49"/>
  <c r="H57"/>
  <c r="J57"/>
  <c r="L57"/>
  <c r="N57"/>
  <c r="I101"/>
  <c r="K14" i="22"/>
  <c r="L14"/>
  <c r="M14"/>
  <c r="N14"/>
  <c r="O14"/>
  <c r="P14"/>
  <c r="Q14"/>
  <c r="R14"/>
  <c r="S14"/>
  <c r="G28" i="12"/>
  <c r="K19" i="22"/>
  <c r="L19"/>
  <c r="I28" i="12"/>
  <c r="M19" i="22" s="1"/>
  <c r="J26" i="12"/>
  <c r="J28" s="1"/>
  <c r="N19" i="22" s="1"/>
  <c r="K26" i="12"/>
  <c r="K28"/>
  <c r="O19" i="22" s="1"/>
  <c r="L26" i="12"/>
  <c r="L28" s="1"/>
  <c r="P19" i="22" s="1"/>
  <c r="M26" i="12"/>
  <c r="M28"/>
  <c r="Q19" i="22" s="1"/>
  <c r="N26" i="12"/>
  <c r="N28" s="1"/>
  <c r="R19" i="22" s="1"/>
  <c r="O26" i="12"/>
  <c r="O28"/>
  <c r="S19" i="22" s="1"/>
  <c r="K20"/>
  <c r="M20"/>
  <c r="N20"/>
  <c r="O20"/>
  <c r="Q20"/>
  <c r="R20"/>
  <c r="S20"/>
  <c r="S27"/>
  <c r="R28"/>
  <c r="S38"/>
  <c r="S39"/>
  <c r="K20" i="4"/>
  <c r="K21"/>
  <c r="J24"/>
  <c r="K24"/>
  <c r="K41"/>
  <c r="J46"/>
  <c r="K46"/>
  <c r="I29" i="11"/>
  <c r="J51" i="4" s="1"/>
  <c r="J24" i="11"/>
  <c r="J29" s="1"/>
  <c r="K51" i="4" s="1"/>
  <c r="S32" i="10"/>
  <c r="S34"/>
  <c r="T34" s="1"/>
  <c r="J26" i="13"/>
  <c r="K26" s="1"/>
  <c r="T28"/>
  <c r="J36"/>
  <c r="K36"/>
  <c r="T39"/>
  <c r="T50"/>
  <c r="K65"/>
  <c r="J66"/>
  <c r="K66"/>
  <c r="I79"/>
  <c r="J79"/>
  <c r="K79"/>
  <c r="S83"/>
  <c r="T83"/>
  <c r="I94"/>
  <c r="J94"/>
  <c r="K94"/>
  <c r="S94"/>
  <c r="T94" s="1"/>
  <c r="K108"/>
  <c r="K77" i="15" l="1"/>
  <c r="K79"/>
  <c r="K81"/>
  <c r="K78"/>
  <c r="K80"/>
  <c r="V44"/>
  <c r="C44" i="16"/>
  <c r="G44" i="15"/>
  <c r="C53" i="20"/>
  <c r="T81" i="15"/>
  <c r="R81"/>
  <c r="W81"/>
  <c r="H78"/>
  <c r="H80"/>
  <c r="H77"/>
  <c r="H79"/>
  <c r="H81"/>
  <c r="L100"/>
  <c r="AC48" i="11"/>
  <c r="M35" i="21"/>
  <c r="M48" s="1"/>
  <c r="L99" i="15"/>
  <c r="AB46" i="11"/>
  <c r="K87" i="15"/>
  <c r="K86"/>
  <c r="K88"/>
  <c r="Z38" i="11"/>
  <c r="I86" i="15" s="1"/>
  <c r="V81"/>
  <c r="G77"/>
  <c r="G79"/>
  <c r="G81"/>
  <c r="J50" i="4"/>
  <c r="G78" i="15"/>
  <c r="G80"/>
  <c r="Q22" i="22"/>
  <c r="P22"/>
  <c r="M22"/>
  <c r="K22"/>
  <c r="S28"/>
  <c r="S29" s="1"/>
  <c r="Q28"/>
  <c r="L20"/>
  <c r="L22" s="1"/>
  <c r="S22"/>
  <c r="R22"/>
  <c r="O22"/>
  <c r="N22"/>
  <c r="M57" i="21"/>
  <c r="K57"/>
  <c r="O99" i="15"/>
  <c r="M99"/>
  <c r="J88"/>
  <c r="J86"/>
  <c r="J80"/>
  <c r="L75"/>
  <c r="I74"/>
  <c r="L73"/>
  <c r="I72"/>
  <c r="L71"/>
  <c r="I70"/>
  <c r="L69"/>
  <c r="I68"/>
  <c r="L67"/>
  <c r="G40"/>
  <c r="O35" i="21"/>
  <c r="O48" s="1"/>
  <c r="R44" i="15"/>
  <c r="AB25" i="11"/>
  <c r="Z31"/>
  <c r="C78" i="15"/>
  <c r="U38" i="11"/>
  <c r="S88" i="15" s="1"/>
  <c r="W38" i="11"/>
  <c r="U88" i="15" s="1"/>
  <c r="U31" i="11"/>
  <c r="W31"/>
  <c r="I37" i="22"/>
  <c r="L37"/>
  <c r="M37"/>
  <c r="N37"/>
  <c r="Q37"/>
  <c r="U32" i="11"/>
  <c r="S82" i="15" s="1"/>
  <c r="J37" i="22"/>
  <c r="Y32" i="11"/>
  <c r="X32"/>
  <c r="AE28" i="12"/>
  <c r="O33" i="15" s="1"/>
  <c r="O51"/>
  <c r="AC28" i="12"/>
  <c r="M33" i="15" s="1"/>
  <c r="M51"/>
  <c r="H19" i="22"/>
  <c r="H22" s="1"/>
  <c r="H24" s="1"/>
  <c r="G51" i="4"/>
  <c r="J19" i="22"/>
  <c r="J22" s="1"/>
  <c r="I51" i="4"/>
  <c r="O58" i="21"/>
  <c r="P42"/>
  <c r="P45" s="1"/>
  <c r="N42"/>
  <c r="N45" s="1"/>
  <c r="L42"/>
  <c r="J42"/>
  <c r="L39" i="15"/>
  <c r="G109" i="20"/>
  <c r="I28" i="16"/>
  <c r="I40" i="20" s="1"/>
  <c r="AD24" i="12"/>
  <c r="AB24"/>
  <c r="Z30"/>
  <c r="Y24"/>
  <c r="D49" i="20"/>
  <c r="E46"/>
  <c r="D57"/>
  <c r="D58"/>
  <c r="D59"/>
  <c r="D60"/>
  <c r="D47"/>
  <c r="D48" s="1"/>
  <c r="D50" s="1"/>
  <c r="AE29" i="12"/>
  <c r="O32" i="15"/>
  <c r="AD27" i="12"/>
  <c r="AD34"/>
  <c r="N38" i="15"/>
  <c r="AC29" i="12"/>
  <c r="M32" i="15"/>
  <c r="AB29" i="12"/>
  <c r="L34" i="15" s="1"/>
  <c r="L33"/>
  <c r="AA28" i="12"/>
  <c r="K33" i="15" s="1"/>
  <c r="K51"/>
  <c r="AA34" i="12"/>
  <c r="AA27"/>
  <c r="Y28"/>
  <c r="I51" i="15"/>
  <c r="X46" i="12"/>
  <c r="V50" i="15"/>
  <c r="T50"/>
  <c r="R50"/>
  <c r="X47" i="12"/>
  <c r="U50" i="15"/>
  <c r="S50"/>
  <c r="W50"/>
  <c r="H50"/>
  <c r="V22"/>
  <c r="T22"/>
  <c r="R22"/>
  <c r="X24" i="12"/>
  <c r="U22" i="15"/>
  <c r="S22"/>
  <c r="W22"/>
  <c r="F51" i="4"/>
  <c r="G19" i="22"/>
  <c r="G22" s="1"/>
  <c r="G24" s="1"/>
  <c r="H51" i="4"/>
  <c r="I19" i="22"/>
  <c r="I22" s="1"/>
  <c r="I24" s="1"/>
  <c r="D54" i="10"/>
  <c r="C53" s="1"/>
  <c r="C54" s="1"/>
  <c r="T46" i="11"/>
  <c r="C95" i="15"/>
  <c r="C94"/>
  <c r="C93"/>
  <c r="C92"/>
  <c r="C91"/>
  <c r="C90"/>
  <c r="U46" i="11"/>
  <c r="D88" i="15"/>
  <c r="D86"/>
  <c r="V46" i="11"/>
  <c r="E95" i="15"/>
  <c r="E94"/>
  <c r="E93"/>
  <c r="E92"/>
  <c r="E91"/>
  <c r="E90"/>
  <c r="W46" i="11"/>
  <c r="F88" i="15"/>
  <c r="F86"/>
  <c r="T24" i="12"/>
  <c r="D22" i="15"/>
  <c r="U30" i="12"/>
  <c r="E29" i="15"/>
  <c r="D57" i="21"/>
  <c r="D81" i="15"/>
  <c r="D80"/>
  <c r="D79"/>
  <c r="D78"/>
  <c r="D77"/>
  <c r="F81"/>
  <c r="F80"/>
  <c r="F79"/>
  <c r="F78"/>
  <c r="F77"/>
  <c r="S105" i="13"/>
  <c r="T105" s="1"/>
  <c r="H123"/>
  <c r="S116" s="1"/>
  <c r="H32" i="22"/>
  <c r="H37" s="1"/>
  <c r="K188" i="13"/>
  <c r="AE34" i="12"/>
  <c r="AC34"/>
  <c r="W44" i="15"/>
  <c r="W48"/>
  <c r="R21"/>
  <c r="T21"/>
  <c r="V21"/>
  <c r="R24"/>
  <c r="T24"/>
  <c r="R28"/>
  <c r="T28"/>
  <c r="R31"/>
  <c r="T31"/>
  <c r="S44"/>
  <c r="S48"/>
  <c r="U48"/>
  <c r="AA32" i="11"/>
  <c r="V32"/>
  <c r="E35" i="21" s="1"/>
  <c r="E48" s="1"/>
  <c r="D101" i="23" s="1"/>
  <c r="S30" i="12"/>
  <c r="C29" i="15"/>
  <c r="V24" i="12"/>
  <c r="F28" i="15"/>
  <c r="T32" i="11"/>
  <c r="C75" i="15"/>
  <c r="C74"/>
  <c r="C73"/>
  <c r="C72"/>
  <c r="C71"/>
  <c r="C70"/>
  <c r="C69"/>
  <c r="C68"/>
  <c r="C67"/>
  <c r="U48" i="11"/>
  <c r="D99" i="15" s="1"/>
  <c r="E81"/>
  <c r="E80"/>
  <c r="E79"/>
  <c r="E78"/>
  <c r="E77"/>
  <c r="E37" i="16"/>
  <c r="D49"/>
  <c r="D51"/>
  <c r="D38"/>
  <c r="D40"/>
  <c r="D48"/>
  <c r="D50"/>
  <c r="D39"/>
  <c r="E42" i="3"/>
  <c r="Y48" i="11"/>
  <c r="W28" i="12"/>
  <c r="W47"/>
  <c r="C41" i="16"/>
  <c r="C68"/>
  <c r="C56" i="14"/>
  <c r="C57" s="1"/>
  <c r="C58" s="1"/>
  <c r="E77" i="3"/>
  <c r="X48" i="11"/>
  <c r="J48" i="4"/>
  <c r="E76" i="3" s="1"/>
  <c r="E43"/>
  <c r="C52" i="16"/>
  <c r="H20" i="4"/>
  <c r="H24" s="1"/>
  <c r="H21"/>
  <c r="N58" i="21"/>
  <c r="W29" i="12"/>
  <c r="W30" s="1"/>
  <c r="Q39" i="13"/>
  <c r="D59" i="21"/>
  <c r="D87" i="15"/>
  <c r="F87"/>
  <c r="D91"/>
  <c r="F91"/>
  <c r="D92"/>
  <c r="F92"/>
  <c r="D94"/>
  <c r="F94"/>
  <c r="K123" i="13"/>
  <c r="C64" i="20" l="1"/>
  <c r="J45" i="4"/>
  <c r="E23" i="21" s="1"/>
  <c r="S19" i="10"/>
  <c r="V82" i="15"/>
  <c r="H35" i="21"/>
  <c r="C61" i="20"/>
  <c r="C55" i="16"/>
  <c r="H101" i="21"/>
  <c r="I50" i="4"/>
  <c r="H50"/>
  <c r="U81" i="15"/>
  <c r="AB32" i="11"/>
  <c r="K68" i="15"/>
  <c r="K70"/>
  <c r="K72"/>
  <c r="K74"/>
  <c r="K67"/>
  <c r="K69"/>
  <c r="K71"/>
  <c r="K73"/>
  <c r="K75"/>
  <c r="M37" i="21"/>
  <c r="L101" i="15"/>
  <c r="P28" i="22"/>
  <c r="D41" i="16"/>
  <c r="D52"/>
  <c r="D55" s="1"/>
  <c r="J38" i="4"/>
  <c r="I74" i="21"/>
  <c r="W82" i="15"/>
  <c r="S21" i="10"/>
  <c r="T21" s="1"/>
  <c r="G50" i="4"/>
  <c r="F50"/>
  <c r="S81" i="15"/>
  <c r="I77"/>
  <c r="I79"/>
  <c r="I81"/>
  <c r="I78"/>
  <c r="I80"/>
  <c r="Z46" i="11"/>
  <c r="I87" i="15"/>
  <c r="I88"/>
  <c r="L36" i="21"/>
  <c r="L45" s="1"/>
  <c r="C41" i="14"/>
  <c r="C42" s="1"/>
  <c r="K36" i="21"/>
  <c r="K45" s="1"/>
  <c r="W32" i="11"/>
  <c r="Z32"/>
  <c r="K38" i="4" s="1"/>
  <c r="K50"/>
  <c r="J34"/>
  <c r="E75" i="3" s="1"/>
  <c r="E41"/>
  <c r="W40" i="12"/>
  <c r="H47" i="21"/>
  <c r="G35" i="15"/>
  <c r="H74" i="21"/>
  <c r="E39" i="3"/>
  <c r="E74" s="1"/>
  <c r="C62" i="16"/>
  <c r="D18" i="3"/>
  <c r="D20" s="1"/>
  <c r="E40"/>
  <c r="H37" i="21"/>
  <c r="V98" i="15"/>
  <c r="J49" i="4"/>
  <c r="G100" i="15"/>
  <c r="J40" i="4"/>
  <c r="C101" i="21"/>
  <c r="K28" i="22"/>
  <c r="J39" i="4"/>
  <c r="G99" i="15"/>
  <c r="G101"/>
  <c r="W49" i="12"/>
  <c r="V52" i="15"/>
  <c r="G52"/>
  <c r="W98"/>
  <c r="K39" i="4"/>
  <c r="H99" i="15"/>
  <c r="H101"/>
  <c r="H100"/>
  <c r="L28" i="22"/>
  <c r="F29" i="15"/>
  <c r="V30" i="12"/>
  <c r="U29" i="15"/>
  <c r="F35" i="21"/>
  <c r="F48" s="1"/>
  <c r="E101" i="23" s="1"/>
  <c r="V48" i="11"/>
  <c r="E99" i="15" s="1"/>
  <c r="H48" i="4"/>
  <c r="H45"/>
  <c r="H38"/>
  <c r="T82" i="15"/>
  <c r="K32" i="22"/>
  <c r="K37" s="1"/>
  <c r="T116" i="13"/>
  <c r="Q50"/>
  <c r="R38" i="22"/>
  <c r="R39" s="1"/>
  <c r="R27"/>
  <c r="R29" s="1"/>
  <c r="C66" i="16"/>
  <c r="C51"/>
  <c r="C28" s="1"/>
  <c r="E79" i="3"/>
  <c r="E80" s="1"/>
  <c r="E84" s="1"/>
  <c r="G33" i="15"/>
  <c r="E38" i="16"/>
  <c r="E40"/>
  <c r="E48"/>
  <c r="E50"/>
  <c r="F37"/>
  <c r="E39"/>
  <c r="E41" s="1"/>
  <c r="E49"/>
  <c r="E51"/>
  <c r="D101" i="15"/>
  <c r="E37" i="21"/>
  <c r="H28" i="22"/>
  <c r="S98" i="15"/>
  <c r="G49" i="4"/>
  <c r="AC39" i="12"/>
  <c r="M44" i="15" s="1"/>
  <c r="M39"/>
  <c r="G32" i="22"/>
  <c r="G37" s="1"/>
  <c r="T160" i="13"/>
  <c r="G36" i="21"/>
  <c r="I35" i="4"/>
  <c r="U96" i="15"/>
  <c r="D100"/>
  <c r="E36" i="21"/>
  <c r="G35" i="4"/>
  <c r="G40"/>
  <c r="S96" i="15"/>
  <c r="V29"/>
  <c r="T29"/>
  <c r="R29"/>
  <c r="W29"/>
  <c r="H29"/>
  <c r="X49" i="12"/>
  <c r="T52" i="15"/>
  <c r="R52"/>
  <c r="U52"/>
  <c r="S52"/>
  <c r="W52"/>
  <c r="H52"/>
  <c r="U51"/>
  <c r="S51"/>
  <c r="W51"/>
  <c r="X28" i="12"/>
  <c r="V33" i="15" s="1"/>
  <c r="V51"/>
  <c r="T51"/>
  <c r="R51"/>
  <c r="H51"/>
  <c r="Y29" i="12"/>
  <c r="I34" i="15" s="1"/>
  <c r="I33"/>
  <c r="AA39" i="12"/>
  <c r="K44" i="15" s="1"/>
  <c r="K39"/>
  <c r="AC30" i="12"/>
  <c r="M34" i="15"/>
  <c r="AD39" i="12"/>
  <c r="N44" i="15" s="1"/>
  <c r="N39"/>
  <c r="Z40" i="12"/>
  <c r="J35" i="15"/>
  <c r="K47" i="21"/>
  <c r="AD30" i="12"/>
  <c r="N29" i="15"/>
  <c r="H109" i="20"/>
  <c r="G169"/>
  <c r="G45" i="4"/>
  <c r="G39"/>
  <c r="G48"/>
  <c r="D61" i="20"/>
  <c r="C32"/>
  <c r="C18" i="16"/>
  <c r="G34" i="15"/>
  <c r="C51" i="20"/>
  <c r="C52" s="1"/>
  <c r="C54" s="1"/>
  <c r="C63" s="1"/>
  <c r="C42" i="16"/>
  <c r="D42"/>
  <c r="D43" s="1"/>
  <c r="D45" s="1"/>
  <c r="D35" i="21"/>
  <c r="D48" s="1"/>
  <c r="C101" i="23" s="1"/>
  <c r="T48" i="11"/>
  <c r="C99" i="15" s="1"/>
  <c r="F48" i="4"/>
  <c r="F45"/>
  <c r="F38"/>
  <c r="R82" i="15"/>
  <c r="S40" i="12"/>
  <c r="C35" i="15"/>
  <c r="D47" i="21"/>
  <c r="F34" i="4"/>
  <c r="AA48" i="11"/>
  <c r="J99" i="15" s="1"/>
  <c r="J35" i="21"/>
  <c r="J48" s="1"/>
  <c r="I101" i="23" s="1"/>
  <c r="K35" i="21"/>
  <c r="K48" s="1"/>
  <c r="J101" i="23" s="1"/>
  <c r="AE39" i="12"/>
  <c r="O44" i="15" s="1"/>
  <c r="O39"/>
  <c r="U40" i="12"/>
  <c r="E35" i="15"/>
  <c r="F47" i="21"/>
  <c r="H34" i="4"/>
  <c r="D29" i="15"/>
  <c r="T30" i="12"/>
  <c r="S29" i="15"/>
  <c r="E100"/>
  <c r="F36" i="21"/>
  <c r="T96" i="15"/>
  <c r="H35" i="4"/>
  <c r="C100" i="15"/>
  <c r="D36" i="21"/>
  <c r="F40" i="4"/>
  <c r="R96" i="15"/>
  <c r="F35" i="4"/>
  <c r="AA29" i="12"/>
  <c r="K32" i="15"/>
  <c r="AD29" i="12"/>
  <c r="N34" i="15" s="1"/>
  <c r="N32"/>
  <c r="AE30" i="12"/>
  <c r="O34" i="15"/>
  <c r="E47" i="20"/>
  <c r="E48"/>
  <c r="E50" s="1"/>
  <c r="E49"/>
  <c r="F46"/>
  <c r="E57"/>
  <c r="E58"/>
  <c r="E59"/>
  <c r="E60"/>
  <c r="D51"/>
  <c r="D52" s="1"/>
  <c r="D54" s="1"/>
  <c r="Y30" i="12"/>
  <c r="I29" i="15"/>
  <c r="AB30" i="12"/>
  <c r="L29" i="15"/>
  <c r="C43" i="16"/>
  <c r="C45" s="1"/>
  <c r="C54" s="1"/>
  <c r="C56" s="1"/>
  <c r="G38" i="4"/>
  <c r="I48" l="1"/>
  <c r="U82" i="15"/>
  <c r="W48" i="11"/>
  <c r="I39" i="4" s="1"/>
  <c r="I38"/>
  <c r="I45"/>
  <c r="G35" i="21"/>
  <c r="G48" s="1"/>
  <c r="F101" i="23" s="1"/>
  <c r="F99" i="15"/>
  <c r="M49" i="21"/>
  <c r="M58"/>
  <c r="L35"/>
  <c r="L48" s="1"/>
  <c r="K101" i="23" s="1"/>
  <c r="AB48" i="11"/>
  <c r="C75" i="20"/>
  <c r="C60"/>
  <c r="C40" s="1"/>
  <c r="C92"/>
  <c r="E89" i="3"/>
  <c r="I35" i="21"/>
  <c r="I48" s="1"/>
  <c r="K45" i="4"/>
  <c r="Z48" i="11"/>
  <c r="I99" i="15"/>
  <c r="J36" i="21"/>
  <c r="J45" s="1"/>
  <c r="I100" i="15"/>
  <c r="I36" i="21"/>
  <c r="J108" s="1"/>
  <c r="H48"/>
  <c r="C104"/>
  <c r="K77"/>
  <c r="K48" i="4"/>
  <c r="D67" i="20"/>
  <c r="D68" s="1"/>
  <c r="D63"/>
  <c r="D58" i="16"/>
  <c r="D59" s="1"/>
  <c r="D54"/>
  <c r="D56" s="1"/>
  <c r="E85" i="3"/>
  <c r="E88"/>
  <c r="F49" i="20"/>
  <c r="G46"/>
  <c r="F57"/>
  <c r="F58"/>
  <c r="F59"/>
  <c r="F60"/>
  <c r="F47"/>
  <c r="F48" s="1"/>
  <c r="F50" s="1"/>
  <c r="F45" i="21"/>
  <c r="D40"/>
  <c r="C45" i="15"/>
  <c r="F33" i="4"/>
  <c r="F42" s="1"/>
  <c r="F36"/>
  <c r="F43"/>
  <c r="F44" s="1"/>
  <c r="C101" i="15"/>
  <c r="D37" i="21"/>
  <c r="D49" s="1"/>
  <c r="F49" i="4"/>
  <c r="G28" i="22"/>
  <c r="R98" i="15"/>
  <c r="AB40" i="12"/>
  <c r="L35" i="15"/>
  <c r="M47" i="21"/>
  <c r="Y40" i="12"/>
  <c r="I35" i="15"/>
  <c r="J47" i="21"/>
  <c r="AE40" i="12"/>
  <c r="O35" i="15"/>
  <c r="P47" i="21"/>
  <c r="AA30" i="12"/>
  <c r="K34" i="15"/>
  <c r="D45" i="21"/>
  <c r="T40" i="12"/>
  <c r="F47" i="4" s="1"/>
  <c r="D35" i="15"/>
  <c r="E47" i="21"/>
  <c r="G34" i="4"/>
  <c r="F40" i="21"/>
  <c r="E45" i="15"/>
  <c r="H33" i="4"/>
  <c r="H42" s="1"/>
  <c r="H36"/>
  <c r="H43"/>
  <c r="H44" s="1"/>
  <c r="K37" i="21"/>
  <c r="J100" i="15"/>
  <c r="J101"/>
  <c r="N28" i="22"/>
  <c r="J37" i="21"/>
  <c r="D64" i="20"/>
  <c r="D92"/>
  <c r="K40" i="21"/>
  <c r="J45" i="15"/>
  <c r="Z51" i="12"/>
  <c r="AC40"/>
  <c r="M35" i="15"/>
  <c r="N47" i="21"/>
  <c r="G45"/>
  <c r="E43"/>
  <c r="E60"/>
  <c r="G37" i="16"/>
  <c r="F48"/>
  <c r="F50"/>
  <c r="F38"/>
  <c r="F39" s="1"/>
  <c r="F41" s="1"/>
  <c r="F40"/>
  <c r="F49"/>
  <c r="F51"/>
  <c r="V54" i="15"/>
  <c r="G54"/>
  <c r="J35" i="4"/>
  <c r="C39" i="14" s="1"/>
  <c r="C43" s="1"/>
  <c r="C89" i="20"/>
  <c r="H42" i="21"/>
  <c r="H45" s="1"/>
  <c r="T31" i="10"/>
  <c r="T37" s="1"/>
  <c r="H49" i="21"/>
  <c r="I77"/>
  <c r="W51" i="12"/>
  <c r="H40" i="21"/>
  <c r="T18" i="10"/>
  <c r="T24" s="1"/>
  <c r="G45" i="15"/>
  <c r="J33" i="4"/>
  <c r="J43"/>
  <c r="J36"/>
  <c r="D23" i="21" s="1"/>
  <c r="E61" i="20"/>
  <c r="F39" i="4"/>
  <c r="E52" i="16"/>
  <c r="E55" s="1"/>
  <c r="H39" i="4"/>
  <c r="E51" i="20"/>
  <c r="E52"/>
  <c r="E54" s="1"/>
  <c r="C65"/>
  <c r="C88"/>
  <c r="H169"/>
  <c r="I109"/>
  <c r="I169" s="1"/>
  <c r="AD40" i="12"/>
  <c r="N35" i="15"/>
  <c r="O47" i="21"/>
  <c r="X29" i="12"/>
  <c r="T33" i="15"/>
  <c r="R33"/>
  <c r="U33"/>
  <c r="S33"/>
  <c r="W33"/>
  <c r="H33"/>
  <c r="U54"/>
  <c r="S54"/>
  <c r="W54"/>
  <c r="T54"/>
  <c r="R54"/>
  <c r="I42" i="21"/>
  <c r="I45" s="1"/>
  <c r="H54" i="15"/>
  <c r="K35" i="4"/>
  <c r="E45" i="21"/>
  <c r="E49"/>
  <c r="E42" i="16"/>
  <c r="E43"/>
  <c r="E45" s="1"/>
  <c r="Q61" i="13"/>
  <c r="Q38" i="22"/>
  <c r="Q39" s="1"/>
  <c r="Q27"/>
  <c r="Q29" s="1"/>
  <c r="E101" i="15"/>
  <c r="F37" i="21"/>
  <c r="H49" i="4"/>
  <c r="I28" i="22"/>
  <c r="T98" i="15"/>
  <c r="V40" i="12"/>
  <c r="F35" i="15"/>
  <c r="G47" i="21"/>
  <c r="I34" i="4"/>
  <c r="E46" i="3"/>
  <c r="E44"/>
  <c r="I101" i="15" l="1"/>
  <c r="M28" i="22"/>
  <c r="K40" i="4"/>
  <c r="I37" i="21"/>
  <c r="K49" i="4"/>
  <c r="H101" i="23"/>
  <c r="H108" i="21"/>
  <c r="C96" i="20"/>
  <c r="C94"/>
  <c r="C166"/>
  <c r="G101" i="23"/>
  <c r="H104" i="21"/>
  <c r="I108"/>
  <c r="K101" i="15"/>
  <c r="O28" i="22"/>
  <c r="L37" i="21"/>
  <c r="K100" i="15"/>
  <c r="K99"/>
  <c r="G37" i="21"/>
  <c r="U98" i="15"/>
  <c r="F100"/>
  <c r="F101"/>
  <c r="J28" i="22"/>
  <c r="I49" i="4"/>
  <c r="I40"/>
  <c r="H40"/>
  <c r="F42" i="16"/>
  <c r="F43" s="1"/>
  <c r="F45" s="1"/>
  <c r="F51" i="20"/>
  <c r="F52" s="1"/>
  <c r="F54" s="1"/>
  <c r="E47" i="3"/>
  <c r="E58"/>
  <c r="E58" i="16"/>
  <c r="E59" s="1"/>
  <c r="E60" s="1"/>
  <c r="E54"/>
  <c r="E56" s="1"/>
  <c r="E67" i="20"/>
  <c r="E68" s="1"/>
  <c r="E63"/>
  <c r="F45" i="15"/>
  <c r="G40" i="21"/>
  <c r="V51" i="12"/>
  <c r="I47" i="4"/>
  <c r="I43"/>
  <c r="I44" s="1"/>
  <c r="I33"/>
  <c r="I42" s="1"/>
  <c r="I36"/>
  <c r="F60" i="21"/>
  <c r="F58"/>
  <c r="F43"/>
  <c r="Q72" i="13"/>
  <c r="P38" i="22"/>
  <c r="P39" s="1"/>
  <c r="P27"/>
  <c r="P29" s="1"/>
  <c r="O40" i="21"/>
  <c r="N45" i="15"/>
  <c r="AD51" i="12"/>
  <c r="E92" i="20"/>
  <c r="E64"/>
  <c r="C67"/>
  <c r="C68" s="1"/>
  <c r="C58" i="16"/>
  <c r="C59" s="1"/>
  <c r="E90" i="3"/>
  <c r="C74" i="21"/>
  <c r="J42" i="4"/>
  <c r="F16" i="21"/>
  <c r="D19"/>
  <c r="H44"/>
  <c r="H46"/>
  <c r="G100" i="23" s="1"/>
  <c r="J56" i="15"/>
  <c r="K41" i="21"/>
  <c r="K43"/>
  <c r="N23" i="22"/>
  <c r="N24" s="1"/>
  <c r="N15"/>
  <c r="N16" s="1"/>
  <c r="K44" i="21"/>
  <c r="K46"/>
  <c r="J100" i="23" s="1"/>
  <c r="F46" i="21"/>
  <c r="E100" i="23" s="1"/>
  <c r="F44" i="21"/>
  <c r="P40"/>
  <c r="O45" i="15"/>
  <c r="AE51" i="12"/>
  <c r="M40" i="21"/>
  <c r="AB51" i="12"/>
  <c r="L45" i="15"/>
  <c r="D60" i="21"/>
  <c r="D58"/>
  <c r="D43"/>
  <c r="D46"/>
  <c r="C100" i="23" s="1"/>
  <c r="D44" i="21"/>
  <c r="G47" i="20"/>
  <c r="G48" s="1"/>
  <c r="G50" s="1"/>
  <c r="G49"/>
  <c r="H46"/>
  <c r="G57"/>
  <c r="G58"/>
  <c r="G59"/>
  <c r="G60"/>
  <c r="D60" i="16"/>
  <c r="D135" i="20"/>
  <c r="D69"/>
  <c r="E58" i="21"/>
  <c r="H47" i="4"/>
  <c r="F49" i="21"/>
  <c r="U34" i="15"/>
  <c r="S34"/>
  <c r="W34"/>
  <c r="T34"/>
  <c r="R34"/>
  <c r="H34"/>
  <c r="V34"/>
  <c r="X30" i="12"/>
  <c r="C167" i="20"/>
  <c r="C90"/>
  <c r="J44" i="4"/>
  <c r="F19" i="21"/>
  <c r="H41"/>
  <c r="G56" i="15"/>
  <c r="H43" i="21"/>
  <c r="K23" i="22"/>
  <c r="K24" s="1"/>
  <c r="J37" i="4"/>
  <c r="K15" i="22"/>
  <c r="K16" s="1"/>
  <c r="G48" i="16"/>
  <c r="G49"/>
  <c r="H37"/>
  <c r="G50"/>
  <c r="G51"/>
  <c r="G38"/>
  <c r="G39" s="1"/>
  <c r="G41" s="1"/>
  <c r="G40"/>
  <c r="N40" i="21"/>
  <c r="M45" i="15"/>
  <c r="AC51" i="12"/>
  <c r="D100" i="20"/>
  <c r="D93" s="1"/>
  <c r="D94"/>
  <c r="D166"/>
  <c r="J58" i="21"/>
  <c r="J49"/>
  <c r="K58"/>
  <c r="K49"/>
  <c r="D45" i="15"/>
  <c r="E40" i="21"/>
  <c r="G47" i="4"/>
  <c r="G43"/>
  <c r="G44" s="1"/>
  <c r="G33"/>
  <c r="G42" s="1"/>
  <c r="G36"/>
  <c r="AA40" i="12"/>
  <c r="L47" i="21"/>
  <c r="K35" i="15"/>
  <c r="J40" i="21"/>
  <c r="I45" i="15"/>
  <c r="Y51" i="12"/>
  <c r="D88" i="20"/>
  <c r="D65"/>
  <c r="F52" i="16"/>
  <c r="F55" s="1"/>
  <c r="F61" i="20"/>
  <c r="G58" i="21" l="1"/>
  <c r="G49"/>
  <c r="L49"/>
  <c r="L58"/>
  <c r="H58"/>
  <c r="C108"/>
  <c r="I58"/>
  <c r="I49"/>
  <c r="H84" s="1"/>
  <c r="G42" i="16"/>
  <c r="G43" s="1"/>
  <c r="G45" s="1"/>
  <c r="F58"/>
  <c r="F59" s="1"/>
  <c r="F54"/>
  <c r="F56" s="1"/>
  <c r="F67" i="20"/>
  <c r="F68" s="1"/>
  <c r="F63"/>
  <c r="F64"/>
  <c r="F92"/>
  <c r="J41" i="21"/>
  <c r="I56" i="15"/>
  <c r="M15" i="22"/>
  <c r="M16" s="1"/>
  <c r="J43" i="21"/>
  <c r="M23" i="22"/>
  <c r="M24" s="1"/>
  <c r="J44" i="21"/>
  <c r="J46"/>
  <c r="I100" i="23" s="1"/>
  <c r="D102" i="20"/>
  <c r="N41" i="21"/>
  <c r="N43"/>
  <c r="M56" i="15"/>
  <c r="Q15" i="22"/>
  <c r="Q16" s="1"/>
  <c r="Q23"/>
  <c r="Q24" s="1"/>
  <c r="N44" i="21"/>
  <c r="N50" s="1"/>
  <c r="N46"/>
  <c r="I64"/>
  <c r="M46"/>
  <c r="M44"/>
  <c r="M50" s="1"/>
  <c r="E99" i="23"/>
  <c r="F50" i="21"/>
  <c r="G99" i="23"/>
  <c r="H50" i="21"/>
  <c r="N56" i="15"/>
  <c r="O41" i="21"/>
  <c r="O43"/>
  <c r="R23" i="22"/>
  <c r="R24" s="1"/>
  <c r="R15"/>
  <c r="R16" s="1"/>
  <c r="O46" i="21"/>
  <c r="O44"/>
  <c r="O50" s="1"/>
  <c r="F56" i="15"/>
  <c r="G41" i="21"/>
  <c r="J23" i="22"/>
  <c r="J24" s="1"/>
  <c r="J15"/>
  <c r="J16" s="1"/>
  <c r="G43" i="21"/>
  <c r="I37" i="4"/>
  <c r="E69" i="20"/>
  <c r="E135"/>
  <c r="E57" i="3"/>
  <c r="E51"/>
  <c r="G52" i="16"/>
  <c r="G55" s="1"/>
  <c r="G61" i="20"/>
  <c r="C113"/>
  <c r="X40" i="12"/>
  <c r="W35" i="15"/>
  <c r="H35"/>
  <c r="I47" i="21"/>
  <c r="H77" s="1"/>
  <c r="K34" i="4"/>
  <c r="V35" i="15"/>
  <c r="T35"/>
  <c r="R35"/>
  <c r="S35"/>
  <c r="U35"/>
  <c r="D90" i="20"/>
  <c r="D115"/>
  <c r="D104"/>
  <c r="D167"/>
  <c r="L40" i="21"/>
  <c r="K45" i="15"/>
  <c r="AA51" i="12"/>
  <c r="E46" i="21"/>
  <c r="D100" i="23" s="1"/>
  <c r="E44" i="21"/>
  <c r="D96" i="20"/>
  <c r="D101"/>
  <c r="E89"/>
  <c r="H38" i="16"/>
  <c r="H40"/>
  <c r="H39"/>
  <c r="H49"/>
  <c r="H51"/>
  <c r="H50"/>
  <c r="H48"/>
  <c r="H60" i="21"/>
  <c r="H49" i="20"/>
  <c r="H47"/>
  <c r="H48" s="1"/>
  <c r="I46"/>
  <c r="H57"/>
  <c r="H58"/>
  <c r="H59"/>
  <c r="H60"/>
  <c r="G51"/>
  <c r="G52" s="1"/>
  <c r="G54" s="1"/>
  <c r="C99" i="23"/>
  <c r="D50" i="21"/>
  <c r="P15" i="22"/>
  <c r="P16" s="1"/>
  <c r="L56" i="15"/>
  <c r="M41" i="21"/>
  <c r="M43"/>
  <c r="P23" i="22"/>
  <c r="P24" s="1"/>
  <c r="S23"/>
  <c r="S24" s="1"/>
  <c r="O56" i="15"/>
  <c r="S15" i="22"/>
  <c r="S16" s="1"/>
  <c r="P41" i="21"/>
  <c r="P60" s="1"/>
  <c r="P43"/>
  <c r="P44"/>
  <c r="P50" s="1"/>
  <c r="P46"/>
  <c r="J99" i="23"/>
  <c r="K50" i="21"/>
  <c r="K60"/>
  <c r="E100" i="20"/>
  <c r="E93" s="1"/>
  <c r="E166"/>
  <c r="Q83" i="13"/>
  <c r="O38" i="22"/>
  <c r="O39" s="1"/>
  <c r="O27"/>
  <c r="O29" s="1"/>
  <c r="G46" i="21"/>
  <c r="F100" i="23" s="1"/>
  <c r="G44" i="21"/>
  <c r="E65" i="20"/>
  <c r="E88"/>
  <c r="J93" i="21"/>
  <c r="H50" i="20" l="1"/>
  <c r="F89"/>
  <c r="E96"/>
  <c r="E101"/>
  <c r="E94"/>
  <c r="G67"/>
  <c r="G68" s="1"/>
  <c r="G63"/>
  <c r="H52"/>
  <c r="H54" s="1"/>
  <c r="H51"/>
  <c r="G58" i="16"/>
  <c r="G59" s="1"/>
  <c r="G60" s="1"/>
  <c r="G54"/>
  <c r="G56" s="1"/>
  <c r="E104" i="20"/>
  <c r="E167"/>
  <c r="E90"/>
  <c r="E115"/>
  <c r="F99" i="23"/>
  <c r="G50" i="21"/>
  <c r="Q94" i="13"/>
  <c r="N38" i="22"/>
  <c r="N39" s="1"/>
  <c r="N27"/>
  <c r="N29" s="1"/>
  <c r="I47" i="20"/>
  <c r="I48"/>
  <c r="I50" s="1"/>
  <c r="I49"/>
  <c r="I58"/>
  <c r="I60"/>
  <c r="I57"/>
  <c r="I61" s="1"/>
  <c r="I59"/>
  <c r="D171"/>
  <c r="E173"/>
  <c r="G92"/>
  <c r="G64"/>
  <c r="E52" i="3"/>
  <c r="E56"/>
  <c r="O59" i="21"/>
  <c r="O60"/>
  <c r="J59"/>
  <c r="J60"/>
  <c r="F135" i="20"/>
  <c r="F69"/>
  <c r="F60" i="16"/>
  <c r="H52"/>
  <c r="H55" s="1"/>
  <c r="H41"/>
  <c r="M59" i="21"/>
  <c r="M60"/>
  <c r="D99" i="23"/>
  <c r="E50" i="21"/>
  <c r="O23" i="22"/>
  <c r="O24" s="1"/>
  <c r="K56" i="15"/>
  <c r="O15" i="22"/>
  <c r="O16" s="1"/>
  <c r="L41" i="21"/>
  <c r="L43"/>
  <c r="L44"/>
  <c r="L46"/>
  <c r="K100" i="23" s="1"/>
  <c r="D145" i="20"/>
  <c r="D105"/>
  <c r="D112"/>
  <c r="W45" i="15"/>
  <c r="X51" i="12"/>
  <c r="I40" i="21"/>
  <c r="K33" i="4"/>
  <c r="K42" s="1"/>
  <c r="K43"/>
  <c r="K44" s="1"/>
  <c r="H45" i="15"/>
  <c r="K36" i="4"/>
  <c r="K47"/>
  <c r="R45" i="15"/>
  <c r="T45"/>
  <c r="V45"/>
  <c r="J47" i="4"/>
  <c r="U45" i="15"/>
  <c r="S45"/>
  <c r="G59" i="21"/>
  <c r="G60"/>
  <c r="F59"/>
  <c r="N59"/>
  <c r="N60"/>
  <c r="I99" i="23"/>
  <c r="J50" i="21"/>
  <c r="F100" i="20"/>
  <c r="F93" s="1"/>
  <c r="F166"/>
  <c r="F65"/>
  <c r="F88"/>
  <c r="H61"/>
  <c r="G89" l="1"/>
  <c r="F96"/>
  <c r="F101"/>
  <c r="F94"/>
  <c r="H64"/>
  <c r="H92"/>
  <c r="I46" i="21"/>
  <c r="H100" i="23" s="1"/>
  <c r="I44" i="21"/>
  <c r="F90" i="20"/>
  <c r="F115"/>
  <c r="F104"/>
  <c r="F167"/>
  <c r="T56" i="15"/>
  <c r="R56"/>
  <c r="S56"/>
  <c r="W56"/>
  <c r="L15" i="22"/>
  <c r="L16" s="1"/>
  <c r="H56" i="15"/>
  <c r="I41" i="21"/>
  <c r="I43"/>
  <c r="L23" i="22"/>
  <c r="L24" s="1"/>
  <c r="K37" i="4"/>
  <c r="V56" i="15"/>
  <c r="U56"/>
  <c r="D113" i="20"/>
  <c r="D116"/>
  <c r="K99" i="23"/>
  <c r="L50" i="21"/>
  <c r="L59"/>
  <c r="L60"/>
  <c r="K59"/>
  <c r="H42" i="16"/>
  <c r="H43"/>
  <c r="H45" s="1"/>
  <c r="G166" i="20"/>
  <c r="G100"/>
  <c r="G93" s="1"/>
  <c r="E172"/>
  <c r="E175" s="1"/>
  <c r="E179" s="1"/>
  <c r="F173"/>
  <c r="E171"/>
  <c r="G65"/>
  <c r="G88"/>
  <c r="E102"/>
  <c r="F112"/>
  <c r="I92"/>
  <c r="I64"/>
  <c r="I51"/>
  <c r="I52" s="1"/>
  <c r="I54" s="1"/>
  <c r="I63" s="1"/>
  <c r="Q105" i="13"/>
  <c r="K25" i="4" s="1"/>
  <c r="M27" i="22"/>
  <c r="M29" s="1"/>
  <c r="M38"/>
  <c r="M39" s="1"/>
  <c r="K26" i="4"/>
  <c r="E105" i="20"/>
  <c r="E145"/>
  <c r="E112"/>
  <c r="H67"/>
  <c r="H63"/>
  <c r="G69"/>
  <c r="G135"/>
  <c r="I65" l="1"/>
  <c r="H89"/>
  <c r="G96"/>
  <c r="G101"/>
  <c r="G94"/>
  <c r="H88"/>
  <c r="H65"/>
  <c r="H68"/>
  <c r="I67"/>
  <c r="H64" i="21"/>
  <c r="C93"/>
  <c r="F171" i="20"/>
  <c r="F172"/>
  <c r="F175" s="1"/>
  <c r="F179" s="1"/>
  <c r="G173"/>
  <c r="H99" i="23"/>
  <c r="I50" i="21"/>
  <c r="C84" s="1"/>
  <c r="I93" s="1"/>
  <c r="C77"/>
  <c r="H93"/>
  <c r="H166" i="20"/>
  <c r="H100"/>
  <c r="H93" s="1"/>
  <c r="F102"/>
  <c r="E113"/>
  <c r="E116"/>
  <c r="Q116" i="13"/>
  <c r="L38" i="22"/>
  <c r="L39" s="1"/>
  <c r="L27"/>
  <c r="L29" s="1"/>
  <c r="K22" i="4"/>
  <c r="K27"/>
  <c r="K23"/>
  <c r="J26"/>
  <c r="I100" i="20"/>
  <c r="I166"/>
  <c r="F113"/>
  <c r="F116"/>
  <c r="G104"/>
  <c r="G167"/>
  <c r="G90"/>
  <c r="G115"/>
  <c r="H58" i="16"/>
  <c r="H54"/>
  <c r="H56" s="1"/>
  <c r="I59" i="21"/>
  <c r="I60"/>
  <c r="C64" s="1"/>
  <c r="H59"/>
  <c r="F145" i="20"/>
  <c r="F105"/>
  <c r="I89" l="1"/>
  <c r="I93"/>
  <c r="H96"/>
  <c r="H101"/>
  <c r="H94"/>
  <c r="G172"/>
  <c r="G175" s="1"/>
  <c r="G179" s="1"/>
  <c r="H173"/>
  <c r="G171"/>
  <c r="H59" i="16"/>
  <c r="I58"/>
  <c r="G105" i="20"/>
  <c r="G145"/>
  <c r="Q127" i="13"/>
  <c r="J27" i="4"/>
  <c r="I26"/>
  <c r="J25"/>
  <c r="D16" i="21" s="1"/>
  <c r="J22" i="4"/>
  <c r="J23"/>
  <c r="K38" i="22"/>
  <c r="K39" s="1"/>
  <c r="K27"/>
  <c r="K29" s="1"/>
  <c r="I68" i="20"/>
  <c r="H135"/>
  <c r="H69"/>
  <c r="C72"/>
  <c r="H90"/>
  <c r="H115"/>
  <c r="H104"/>
  <c r="H167"/>
  <c r="G102"/>
  <c r="G112"/>
  <c r="G113" l="1"/>
  <c r="G116"/>
  <c r="H145"/>
  <c r="H105"/>
  <c r="H73"/>
  <c r="C74" s="1"/>
  <c r="I88"/>
  <c r="I135"/>
  <c r="C135" s="1"/>
  <c r="C136" s="1"/>
  <c r="C139" s="1"/>
  <c r="C141" s="1"/>
  <c r="H171"/>
  <c r="I173"/>
  <c r="H172"/>
  <c r="H175" s="1"/>
  <c r="I59" i="16"/>
  <c r="H64" s="1"/>
  <c r="C65" s="1"/>
  <c r="H60"/>
  <c r="C63"/>
  <c r="C67" s="1"/>
  <c r="C70" s="1"/>
  <c r="C72" s="1"/>
  <c r="H102" i="20"/>
  <c r="H112"/>
  <c r="C76"/>
  <c r="Q138" i="13"/>
  <c r="I25" i="4"/>
  <c r="I22"/>
  <c r="J38" i="22"/>
  <c r="J39" s="1"/>
  <c r="J27"/>
  <c r="J29" s="1"/>
  <c r="I27" i="4"/>
  <c r="H26"/>
  <c r="I23"/>
  <c r="I96" i="20"/>
  <c r="I101"/>
  <c r="I94"/>
  <c r="I102" s="1"/>
  <c r="C79" l="1"/>
  <c r="C98"/>
  <c r="D98" s="1"/>
  <c r="E98" s="1"/>
  <c r="F98" s="1"/>
  <c r="G98" s="1"/>
  <c r="H98" s="1"/>
  <c r="I98" s="1"/>
  <c r="H22" i="4"/>
  <c r="H23"/>
  <c r="Q149" i="13"/>
  <c r="H27" i="4"/>
  <c r="G26"/>
  <c r="I38" i="22"/>
  <c r="I39" s="1"/>
  <c r="I27"/>
  <c r="I29" s="1"/>
  <c r="H25" i="4"/>
  <c r="H113" i="20"/>
  <c r="H116"/>
  <c r="H179"/>
  <c r="H176"/>
  <c r="I104"/>
  <c r="I167"/>
  <c r="I90"/>
  <c r="I115"/>
  <c r="I105" l="1"/>
  <c r="I145"/>
  <c r="I112"/>
  <c r="G25" i="4"/>
  <c r="G23"/>
  <c r="H38" i="22"/>
  <c r="H39" s="1"/>
  <c r="H27"/>
  <c r="H29" s="1"/>
  <c r="Q160" i="13"/>
  <c r="G27" i="4"/>
  <c r="G22"/>
  <c r="F26"/>
  <c r="C18" i="20"/>
  <c r="C20" s="1"/>
  <c r="C16" s="1"/>
  <c r="C110" s="1"/>
  <c r="C81"/>
  <c r="C97"/>
  <c r="D97" s="1"/>
  <c r="E97" s="1"/>
  <c r="F97" s="1"/>
  <c r="G97" s="1"/>
  <c r="H97" s="1"/>
  <c r="I97" s="1"/>
  <c r="I172"/>
  <c r="I175" s="1"/>
  <c r="I171"/>
  <c r="I176" l="1"/>
  <c r="I180"/>
  <c r="C181" s="1"/>
  <c r="C182" s="1"/>
  <c r="C185" s="1"/>
  <c r="C187" s="1"/>
  <c r="D110"/>
  <c r="F27" i="4"/>
  <c r="F22"/>
  <c r="F25"/>
  <c r="F23"/>
  <c r="G38" i="22"/>
  <c r="G39" s="1"/>
  <c r="G27"/>
  <c r="G29" s="1"/>
  <c r="I113" i="20"/>
  <c r="I116"/>
  <c r="E110" l="1"/>
  <c r="D152"/>
  <c r="D148"/>
  <c r="D118"/>
  <c r="D127" s="1"/>
  <c r="D144"/>
  <c r="D146" s="1"/>
  <c r="F110" l="1"/>
  <c r="E148"/>
  <c r="E118"/>
  <c r="E144"/>
  <c r="E149" l="1"/>
  <c r="E152" s="1"/>
  <c r="E146"/>
  <c r="E127"/>
  <c r="E119"/>
  <c r="G110"/>
  <c r="F148"/>
  <c r="F144"/>
  <c r="F118"/>
  <c r="H110" l="1"/>
  <c r="G148"/>
  <c r="G118"/>
  <c r="G144"/>
  <c r="F146"/>
  <c r="F149"/>
  <c r="F119"/>
  <c r="F127"/>
  <c r="F150" l="1"/>
  <c r="F152"/>
  <c r="G127"/>
  <c r="G119"/>
  <c r="I110"/>
  <c r="H148"/>
  <c r="H144"/>
  <c r="H118"/>
  <c r="G149"/>
  <c r="G146"/>
  <c r="H119" l="1"/>
  <c r="I119" s="1"/>
  <c r="H127"/>
  <c r="G150"/>
  <c r="G152"/>
  <c r="H146"/>
  <c r="H149"/>
  <c r="I148"/>
  <c r="I144"/>
  <c r="I149" l="1"/>
  <c r="I146"/>
  <c r="H152"/>
  <c r="H150"/>
  <c r="I118"/>
  <c r="I127" s="1"/>
  <c r="C127" s="1"/>
  <c r="C128" s="1"/>
  <c r="C130" s="1"/>
  <c r="C132" s="1"/>
  <c r="I150" l="1"/>
  <c r="I152" s="1"/>
  <c r="C152" s="1"/>
  <c r="C153" s="1"/>
  <c r="C155" s="1"/>
  <c r="C157" s="1"/>
</calcChain>
</file>

<file path=xl/comments1.xml><?xml version="1.0" encoding="utf-8"?>
<comments xmlns="http://schemas.openxmlformats.org/spreadsheetml/2006/main">
  <authors>
    <author>remarkable Hanna</author>
    <author>Feng Chen</author>
  </authors>
  <commentList>
    <comment ref="H14" authorId="0">
      <text>
        <r>
          <rPr>
            <sz val="8"/>
            <color indexed="81"/>
            <rFont val="Tahoma"/>
            <charset val="1"/>
          </rPr>
          <t xml:space="preserve">Contra-equity account, which should be instead accounted for as an asset, as a kind of prepaid compensation expense. 
</t>
        </r>
      </text>
    </comment>
    <comment ref="R15" authorId="0">
      <text>
        <r>
          <rPr>
            <sz val="8"/>
            <color indexed="81"/>
            <rFont val="Tahoma"/>
            <charset val="1"/>
          </rPr>
          <t>Three adjustments to beginning and ending balance of shareholders' equity.
1) Dividends payable - take out from other liabilities, and add to the shareholders' equity
2) Stock compensation (before 2006, "unearned compensation"; after 2006, "stock compensation expense", but adjust this only to the end of 2008 balance due to complications from accounting rule change) - take out (or make opposite adjustment) from shareholders' equity. In pre-2006, include it in "prepaid expense" (opposite sign from the original amount). For post-2006, include in other liabilities (same sign as the original amount)
3) Preferred stock - take out from shareholders' equity and add to financial liabilities</t>
        </r>
      </text>
    </comment>
    <comment ref="R16" authorId="0">
      <text>
        <r>
          <rPr>
            <sz val="8"/>
            <color indexed="81"/>
            <rFont val="Tahoma"/>
            <charset val="1"/>
          </rPr>
          <t xml:space="preserve">Take out from Accrued Liabilities, because it is not truly a liability in the stockholders' perspective. Instead, add this amount to the balances of shareholders' equity.
This amount should come from Accrued Liabilities notes. This information is not always available, in which case, safe to assume that the amount is immaterial
</t>
        </r>
      </text>
    </comment>
    <comment ref="S16" authorId="0">
      <text>
        <r>
          <rPr>
            <sz val="8"/>
            <color indexed="81"/>
            <rFont val="Tahoma"/>
            <charset val="1"/>
          </rPr>
          <t xml:space="preserve">Deduct from shareholders' equity because this is an asset (prepaid expense) for shareholders.
</t>
        </r>
      </text>
    </comment>
    <comment ref="R17" authorId="1">
      <text>
        <r>
          <rPr>
            <sz val="8"/>
            <color indexed="81"/>
            <rFont val="Tahoma"/>
          </rPr>
          <t>The amount of dividends payable was not available in some years.</t>
        </r>
      </text>
    </comment>
    <comment ref="B18" authorId="0">
      <text>
        <r>
          <rPr>
            <sz val="8"/>
            <color indexed="81"/>
            <rFont val="Tahoma"/>
            <family val="2"/>
          </rPr>
          <t xml:space="preserve">Stock issues
</t>
        </r>
      </text>
    </comment>
    <comment ref="B19" authorId="0">
      <text>
        <r>
          <rPr>
            <sz val="8"/>
            <color indexed="81"/>
            <rFont val="Tahoma"/>
            <family val="2"/>
          </rPr>
          <t>No effect on shareholders' equity amount</t>
        </r>
      </text>
    </comment>
    <comment ref="B20" authorId="0">
      <text>
        <r>
          <rPr>
            <sz val="8"/>
            <color indexed="81"/>
            <rFont val="Tahoma"/>
            <family val="2"/>
          </rPr>
          <t>stock repurchases</t>
        </r>
      </text>
    </comment>
    <comment ref="B21" authorId="0">
      <text>
        <r>
          <rPr>
            <sz val="8"/>
            <color indexed="81"/>
            <rFont val="Tahoma"/>
            <family val="2"/>
          </rPr>
          <t>No effect on change in shareholders' equity</t>
        </r>
      </text>
    </comment>
    <comment ref="B22" authorId="0">
      <text>
        <r>
          <rPr>
            <sz val="8"/>
            <color indexed="81"/>
            <rFont val="Tahoma"/>
            <family val="2"/>
          </rPr>
          <t>Common dividends</t>
        </r>
      </text>
    </comment>
    <comment ref="B23" authorId="0">
      <text>
        <r>
          <rPr>
            <sz val="8"/>
            <color indexed="81"/>
            <rFont val="Tahoma"/>
            <family val="2"/>
          </rPr>
          <t xml:space="preserve">Items that belong here other than NI is part of dirty surplus - accounts that increase book (shareholders' equity) without going through the income statement. </t>
        </r>
      </text>
    </comment>
    <comment ref="N26" authorId="1">
      <text>
        <r>
          <rPr>
            <sz val="8"/>
            <color indexed="81"/>
            <rFont val="Tahoma"/>
          </rPr>
          <t>The information is from Cash Flow Statement.</t>
        </r>
      </text>
    </comment>
    <comment ref="N27" authorId="0">
      <text>
        <r>
          <rPr>
            <sz val="8"/>
            <color indexed="81"/>
            <rFont val="Tahoma"/>
            <family val="2"/>
          </rPr>
          <t>Preferred dividends should be classified as "Comprehensive income", since this is transaction with preferred shareholders' who are more like debtholders in the common shareholders' perspective</t>
        </r>
      </text>
    </comment>
    <comment ref="B28" authorId="0">
      <text>
        <r>
          <rPr>
            <sz val="8"/>
            <color indexed="81"/>
            <rFont val="Tahoma"/>
            <family val="2"/>
          </rPr>
          <t xml:space="preserve">Stock issues
</t>
        </r>
      </text>
    </comment>
    <comment ref="B29" authorId="0">
      <text>
        <r>
          <rPr>
            <sz val="8"/>
            <color indexed="81"/>
            <rFont val="Tahoma"/>
            <family val="2"/>
          </rPr>
          <t>No effect on change in shareholders' equity</t>
        </r>
      </text>
    </comment>
    <comment ref="B30" authorId="0">
      <text>
        <r>
          <rPr>
            <sz val="8"/>
            <color indexed="81"/>
            <rFont val="Tahoma"/>
            <family val="2"/>
          </rPr>
          <t>No effect on change in shareholders' equity</t>
        </r>
      </text>
    </comment>
    <comment ref="B31" authorId="0">
      <text>
        <r>
          <rPr>
            <sz val="8"/>
            <color indexed="81"/>
            <rFont val="Tahoma"/>
            <family val="2"/>
          </rPr>
          <t>Common dividends</t>
        </r>
      </text>
    </comment>
    <comment ref="B33" authorId="0">
      <text>
        <r>
          <rPr>
            <sz val="8"/>
            <color indexed="81"/>
            <rFont val="Tahoma"/>
            <family val="2"/>
          </rPr>
          <t xml:space="preserve">Items that belong here other than NI is part of dirty surplus - accounts that increase book (shareholders' equity) without going through the income statement. </t>
        </r>
      </text>
    </comment>
    <comment ref="N37" authorId="1">
      <text>
        <r>
          <rPr>
            <sz val="8"/>
            <color indexed="81"/>
            <rFont val="Tahoma"/>
          </rPr>
          <t>The information is from Cash Flow Statement.</t>
        </r>
      </text>
    </comment>
    <comment ref="B38" authorId="0">
      <text>
        <r>
          <rPr>
            <sz val="8"/>
            <color indexed="81"/>
            <rFont val="Tahoma"/>
            <family val="2"/>
          </rPr>
          <t xml:space="preserve">Stock issues
</t>
        </r>
      </text>
    </comment>
    <comment ref="N38" authorId="0">
      <text>
        <r>
          <rPr>
            <sz val="8"/>
            <color indexed="81"/>
            <rFont val="Tahoma"/>
            <family val="2"/>
          </rPr>
          <t>Preferred dividends should be classified as "Comprehensive income", since this is transaction with preferred shareholders' who are more like debtholders in the common shareholders' perspective</t>
        </r>
      </text>
    </comment>
    <comment ref="B39" authorId="0">
      <text>
        <r>
          <rPr>
            <sz val="8"/>
            <color indexed="81"/>
            <rFont val="Tahoma"/>
            <family val="2"/>
          </rPr>
          <t>No effect on change in shareholders' equity</t>
        </r>
      </text>
    </comment>
    <comment ref="B40" authorId="0">
      <text>
        <r>
          <rPr>
            <sz val="8"/>
            <color indexed="81"/>
            <rFont val="Tahoma"/>
            <family val="2"/>
          </rPr>
          <t>stock repurchases</t>
        </r>
      </text>
    </comment>
    <comment ref="B41" authorId="0">
      <text>
        <r>
          <rPr>
            <sz val="8"/>
            <color indexed="81"/>
            <rFont val="Tahoma"/>
            <family val="2"/>
          </rPr>
          <t>Common dividends</t>
        </r>
      </text>
    </comment>
    <comment ref="B42" authorId="0">
      <text>
        <r>
          <rPr>
            <sz val="8"/>
            <color indexed="81"/>
            <rFont val="Tahoma"/>
            <family val="2"/>
          </rPr>
          <t xml:space="preserve">Items that belong here other than NI is part of dirty surplus - accounts that increase book (shareholders' equity) without going through the income statement. </t>
        </r>
      </text>
    </comment>
    <comment ref="B47" authorId="0">
      <text>
        <r>
          <rPr>
            <sz val="8"/>
            <color indexed="81"/>
            <rFont val="Tahoma"/>
            <family val="2"/>
          </rPr>
          <t xml:space="preserve">Stock issues
</t>
        </r>
      </text>
    </comment>
    <comment ref="B48" authorId="0">
      <text>
        <r>
          <rPr>
            <sz val="8"/>
            <color indexed="81"/>
            <rFont val="Tahoma"/>
            <family val="2"/>
          </rPr>
          <t>No effect on change in shareholders' equity</t>
        </r>
      </text>
    </comment>
    <comment ref="N48" authorId="1">
      <text>
        <r>
          <rPr>
            <sz val="8"/>
            <color indexed="81"/>
            <rFont val="Tahoma"/>
          </rPr>
          <t>The information is from Cash Flow Statement.</t>
        </r>
      </text>
    </comment>
    <comment ref="B49" authorId="0">
      <text>
        <r>
          <rPr>
            <sz val="8"/>
            <color indexed="81"/>
            <rFont val="Tahoma"/>
            <family val="2"/>
          </rPr>
          <t>stock repurchases</t>
        </r>
      </text>
    </comment>
    <comment ref="N49" authorId="0">
      <text>
        <r>
          <rPr>
            <sz val="8"/>
            <color indexed="81"/>
            <rFont val="Tahoma"/>
            <family val="2"/>
          </rPr>
          <t>Preferred dividends should be classified as "Comprehensive income", since this is transaction with preferred shareholders' who are more like debtholders in the common shareholders' perspective</t>
        </r>
      </text>
    </comment>
    <comment ref="B50" authorId="0">
      <text>
        <r>
          <rPr>
            <sz val="8"/>
            <color indexed="81"/>
            <rFont val="Tahoma"/>
            <family val="2"/>
          </rPr>
          <t>Common dividends</t>
        </r>
      </text>
    </comment>
    <comment ref="B51" authorId="0">
      <text>
        <r>
          <rPr>
            <sz val="8"/>
            <color indexed="81"/>
            <rFont val="Tahoma"/>
            <family val="2"/>
          </rPr>
          <t xml:space="preserve">Items that belong here other than NI is part of dirty surplus - accounts that increase book (shareholders' equity) without going through the income statement. </t>
        </r>
      </text>
    </comment>
    <comment ref="B56" authorId="0">
      <text>
        <r>
          <rPr>
            <sz val="8"/>
            <color indexed="81"/>
            <rFont val="Tahoma"/>
            <family val="2"/>
          </rPr>
          <t xml:space="preserve">Stock issues
</t>
        </r>
      </text>
    </comment>
    <comment ref="B57" authorId="0">
      <text>
        <r>
          <rPr>
            <sz val="8"/>
            <color indexed="81"/>
            <rFont val="Tahoma"/>
            <family val="2"/>
          </rPr>
          <t>No effect on change in shareholders' equity</t>
        </r>
      </text>
    </comment>
    <comment ref="B58" authorId="0">
      <text>
        <r>
          <rPr>
            <sz val="8"/>
            <color indexed="81"/>
            <rFont val="Tahoma"/>
            <family val="2"/>
          </rPr>
          <t>stock repurchases</t>
        </r>
      </text>
    </comment>
    <comment ref="B59" authorId="0">
      <text>
        <r>
          <rPr>
            <sz val="8"/>
            <color indexed="81"/>
            <rFont val="Tahoma"/>
            <family val="2"/>
          </rPr>
          <t>Common dividends</t>
        </r>
      </text>
    </comment>
    <comment ref="N59" authorId="1">
      <text>
        <r>
          <rPr>
            <sz val="8"/>
            <color indexed="81"/>
            <rFont val="Tahoma"/>
          </rPr>
          <t>The information is from Cash Flow Statement.</t>
        </r>
      </text>
    </comment>
    <comment ref="B60" authorId="0">
      <text>
        <r>
          <rPr>
            <sz val="8"/>
            <color indexed="81"/>
            <rFont val="Tahoma"/>
            <family val="2"/>
          </rPr>
          <t>Stock issues (net amount after accounting for unearned stock compensation)</t>
        </r>
      </text>
    </comment>
    <comment ref="N60" authorId="0">
      <text>
        <r>
          <rPr>
            <sz val="8"/>
            <color indexed="81"/>
            <rFont val="Tahoma"/>
            <family val="2"/>
          </rPr>
          <t>Preferred dividends should be classified as "Comprehensive income", since this is transaction with preferred shareholders' who are more like debtholders in the common shareholders' perspective</t>
        </r>
      </text>
    </comment>
    <comment ref="B61" authorId="0">
      <text>
        <r>
          <rPr>
            <sz val="8"/>
            <color indexed="81"/>
            <rFont val="Tahoma"/>
            <family val="2"/>
          </rPr>
          <t>Accounting for reduction in Unearned stock compensation</t>
        </r>
      </text>
    </comment>
    <comment ref="B63" authorId="0">
      <text>
        <r>
          <rPr>
            <sz val="8"/>
            <color indexed="81"/>
            <rFont val="Tahoma"/>
            <family val="2"/>
          </rPr>
          <t xml:space="preserve">Items that belong here other than NI are part of dirty surplus - accounts that increase book (shareholders' equity) without going through the income statement. </t>
        </r>
      </text>
    </comment>
    <comment ref="B68" authorId="0">
      <text>
        <r>
          <rPr>
            <sz val="8"/>
            <color indexed="81"/>
            <rFont val="Tahoma"/>
            <family val="2"/>
          </rPr>
          <t xml:space="preserve">Stock issues
</t>
        </r>
      </text>
    </comment>
    <comment ref="B69" authorId="0">
      <text>
        <r>
          <rPr>
            <sz val="8"/>
            <color indexed="81"/>
            <rFont val="Tahoma"/>
            <family val="2"/>
          </rPr>
          <t>No effect on change in shareholders' equity</t>
        </r>
      </text>
    </comment>
    <comment ref="B70" authorId="0">
      <text>
        <r>
          <rPr>
            <sz val="8"/>
            <color indexed="81"/>
            <rFont val="Tahoma"/>
            <family val="2"/>
          </rPr>
          <t>stock repurchases</t>
        </r>
      </text>
    </comment>
    <comment ref="N70" authorId="1">
      <text>
        <r>
          <rPr>
            <sz val="8"/>
            <color indexed="81"/>
            <rFont val="Tahoma"/>
          </rPr>
          <t>The information is from Cash Flow Statement.</t>
        </r>
      </text>
    </comment>
    <comment ref="B71" authorId="0">
      <text>
        <r>
          <rPr>
            <sz val="8"/>
            <color indexed="81"/>
            <rFont val="Tahoma"/>
            <family val="2"/>
          </rPr>
          <t>Common dividends</t>
        </r>
      </text>
    </comment>
    <comment ref="N71" authorId="0">
      <text>
        <r>
          <rPr>
            <sz val="8"/>
            <color indexed="81"/>
            <rFont val="Tahoma"/>
            <family val="2"/>
          </rPr>
          <t>Preferred dividends should be classified as "Comprehensive income", since this is transaction with preferred shareholders' who are more like debtholders in the common shareholders' perspective</t>
        </r>
      </text>
    </comment>
    <comment ref="B72" authorId="0">
      <text>
        <r>
          <rPr>
            <sz val="8"/>
            <color indexed="81"/>
            <rFont val="Tahoma"/>
            <family val="2"/>
          </rPr>
          <t>Stock issues (net amount after accounting for unearned stock compensation)</t>
        </r>
      </text>
    </comment>
    <comment ref="B73" authorId="0">
      <text>
        <r>
          <rPr>
            <sz val="8"/>
            <color indexed="81"/>
            <rFont val="Tahoma"/>
            <family val="2"/>
          </rPr>
          <t>Accounting for reduction in Unearned stock compensation</t>
        </r>
      </text>
    </comment>
    <comment ref="B74" authorId="0">
      <text>
        <r>
          <rPr>
            <sz val="8"/>
            <color indexed="81"/>
            <rFont val="Tahoma"/>
            <family val="2"/>
          </rPr>
          <t>In effect, stock repurchase from employees (also have to adjust for Unearned stock compensation)</t>
        </r>
      </text>
    </comment>
    <comment ref="B76" authorId="0">
      <text>
        <r>
          <rPr>
            <sz val="8"/>
            <color indexed="81"/>
            <rFont val="Tahoma"/>
            <family val="2"/>
          </rPr>
          <t xml:space="preserve">Items that belong here other than NI are part of dirty surplus - accounts that increase book (shareholders' equity) without going through the income statement. </t>
        </r>
      </text>
    </comment>
    <comment ref="B81" authorId="0">
      <text>
        <r>
          <rPr>
            <sz val="8"/>
            <color indexed="81"/>
            <rFont val="Tahoma"/>
            <family val="2"/>
          </rPr>
          <t xml:space="preserve">Stock issues
</t>
        </r>
      </text>
    </comment>
    <comment ref="N81" authorId="1">
      <text>
        <r>
          <rPr>
            <sz val="8"/>
            <color indexed="81"/>
            <rFont val="Tahoma"/>
          </rPr>
          <t>The information is from Cash Flow Statement.</t>
        </r>
      </text>
    </comment>
    <comment ref="B82" authorId="0">
      <text>
        <r>
          <rPr>
            <sz val="8"/>
            <color indexed="81"/>
            <rFont val="Tahoma"/>
            <family val="2"/>
          </rPr>
          <t>No effect on change in shareholders' equity</t>
        </r>
      </text>
    </comment>
    <comment ref="N82" authorId="0">
      <text>
        <r>
          <rPr>
            <sz val="8"/>
            <color indexed="81"/>
            <rFont val="Tahoma"/>
            <family val="2"/>
          </rPr>
          <t>Preferred dividends should be classified as "Comprehensive income", since this is transaction with preferred shareholders' who are more like debtholders in the common shareholders' perspective</t>
        </r>
      </text>
    </comment>
    <comment ref="B83" authorId="0">
      <text>
        <r>
          <rPr>
            <sz val="8"/>
            <color indexed="81"/>
            <rFont val="Tahoma"/>
            <family val="2"/>
          </rPr>
          <t>stock repurchases</t>
        </r>
      </text>
    </comment>
    <comment ref="B84" authorId="0">
      <text>
        <r>
          <rPr>
            <sz val="8"/>
            <color indexed="81"/>
            <rFont val="Tahoma"/>
            <family val="2"/>
          </rPr>
          <t>Common dividends</t>
        </r>
      </text>
    </comment>
    <comment ref="B85" authorId="0">
      <text>
        <r>
          <rPr>
            <sz val="8"/>
            <color indexed="81"/>
            <rFont val="Tahoma"/>
            <family val="2"/>
          </rPr>
          <t>Stock issues (net amount after accounting for unearned stock compensation)</t>
        </r>
      </text>
    </comment>
    <comment ref="B86" authorId="0">
      <text>
        <r>
          <rPr>
            <sz val="8"/>
            <color indexed="81"/>
            <rFont val="Tahoma"/>
            <family val="2"/>
          </rPr>
          <t>Accounting for reduction in Unearned stock compensation</t>
        </r>
      </text>
    </comment>
    <comment ref="B87" authorId="0">
      <text>
        <r>
          <rPr>
            <sz val="8"/>
            <color indexed="81"/>
            <rFont val="Tahoma"/>
            <family val="2"/>
          </rPr>
          <t>In effect, stock repurchase from employees (also have to adjust for Unearned stock compensation)</t>
        </r>
      </text>
    </comment>
    <comment ref="B89" authorId="0">
      <text>
        <r>
          <rPr>
            <sz val="8"/>
            <color indexed="81"/>
            <rFont val="Tahoma"/>
            <family val="2"/>
          </rPr>
          <t xml:space="preserve">Items that belong here other than NI are part of dirty surplus - accounts that increase book (shareholders' equity) without going through the income statement. </t>
        </r>
      </text>
    </comment>
    <comment ref="N92" authorId="1">
      <text>
        <r>
          <rPr>
            <sz val="8"/>
            <color indexed="81"/>
            <rFont val="Tahoma"/>
          </rPr>
          <t>The information is from Cash Flow Statement.</t>
        </r>
      </text>
    </comment>
    <comment ref="N93" authorId="0">
      <text>
        <r>
          <rPr>
            <sz val="8"/>
            <color indexed="81"/>
            <rFont val="Tahoma"/>
            <family val="2"/>
          </rPr>
          <t>Preferred dividends should be classified as "Comprehensive income", since this is transaction with preferred shareholders' who are more like debtholders in the common shareholders' perspective</t>
        </r>
      </text>
    </comment>
    <comment ref="B96" authorId="0">
      <text>
        <r>
          <rPr>
            <sz val="8"/>
            <color indexed="81"/>
            <rFont val="Tahoma"/>
            <family val="2"/>
          </rPr>
          <t xml:space="preserve">Stock issues
</t>
        </r>
      </text>
    </comment>
    <comment ref="B97" authorId="0">
      <text>
        <r>
          <rPr>
            <sz val="8"/>
            <color indexed="81"/>
            <rFont val="Tahoma"/>
            <family val="2"/>
          </rPr>
          <t>No effect on change in shareholders' equity</t>
        </r>
      </text>
    </comment>
    <comment ref="B98" authorId="0">
      <text>
        <r>
          <rPr>
            <sz val="8"/>
            <color indexed="81"/>
            <rFont val="Tahoma"/>
            <family val="2"/>
          </rPr>
          <t>stock repurchases</t>
        </r>
      </text>
    </comment>
    <comment ref="B99" authorId="0">
      <text>
        <r>
          <rPr>
            <sz val="8"/>
            <color indexed="81"/>
            <rFont val="Tahoma"/>
            <family val="2"/>
          </rPr>
          <t>Common dividends</t>
        </r>
      </text>
    </comment>
    <comment ref="B100" authorId="0">
      <text>
        <r>
          <rPr>
            <sz val="8"/>
            <color indexed="81"/>
            <rFont val="Tahoma"/>
            <family val="2"/>
          </rPr>
          <t>Stock issues (net amount after accounting for unearned stock compensation)</t>
        </r>
      </text>
    </comment>
    <comment ref="B101" authorId="0">
      <text>
        <r>
          <rPr>
            <sz val="8"/>
            <color indexed="81"/>
            <rFont val="Tahoma"/>
            <family val="2"/>
          </rPr>
          <t>Accounting for reduction in Unearned stock compensation</t>
        </r>
      </text>
    </comment>
    <comment ref="B102" authorId="0">
      <text>
        <r>
          <rPr>
            <sz val="8"/>
            <color indexed="81"/>
            <rFont val="Tahoma"/>
            <family val="2"/>
          </rPr>
          <t>In effect, stock repurchase from employees (also have to adjust for Unearned stock compensation)</t>
        </r>
      </text>
    </comment>
    <comment ref="N103" authorId="1">
      <text>
        <r>
          <rPr>
            <sz val="8"/>
            <color indexed="81"/>
            <rFont val="Tahoma"/>
          </rPr>
          <t>The information is from Cash Flow Statement.</t>
        </r>
      </text>
    </comment>
    <comment ref="B104" authorId="0">
      <text>
        <r>
          <rPr>
            <sz val="8"/>
            <color indexed="81"/>
            <rFont val="Tahoma"/>
            <family val="2"/>
          </rPr>
          <t xml:space="preserve">Items that belong here other than NI are part of dirty surplus - accounts that increase book (shareholders' equity) without going through the income statement. </t>
        </r>
      </text>
    </comment>
    <comment ref="N104" authorId="0">
      <text>
        <r>
          <rPr>
            <sz val="8"/>
            <color indexed="81"/>
            <rFont val="Tahoma"/>
            <family val="2"/>
          </rPr>
          <t>Preferred dividends should be classified as "Comprehensive income", since this is transaction with preferred shareholders' who are more like debtholders in the common shareholders' perspective</t>
        </r>
      </text>
    </comment>
    <comment ref="B110" authorId="0">
      <text>
        <r>
          <rPr>
            <sz val="8"/>
            <color indexed="81"/>
            <rFont val="Tahoma"/>
            <family val="2"/>
          </rPr>
          <t xml:space="preserve">Stock issues
</t>
        </r>
      </text>
    </comment>
    <comment ref="B111" authorId="0">
      <text>
        <r>
          <rPr>
            <sz val="8"/>
            <color indexed="81"/>
            <rFont val="Tahoma"/>
            <family val="2"/>
          </rPr>
          <t>No effect on change in shareholders' equity</t>
        </r>
      </text>
    </comment>
    <comment ref="B112" authorId="0">
      <text>
        <r>
          <rPr>
            <sz val="8"/>
            <color indexed="81"/>
            <rFont val="Tahoma"/>
            <family val="2"/>
          </rPr>
          <t>stock repurchases</t>
        </r>
      </text>
    </comment>
    <comment ref="B113" authorId="0">
      <text>
        <r>
          <rPr>
            <sz val="8"/>
            <color indexed="81"/>
            <rFont val="Tahoma"/>
            <family val="2"/>
          </rPr>
          <t>Common dividends</t>
        </r>
      </text>
    </comment>
    <comment ref="B114" authorId="0">
      <text>
        <r>
          <rPr>
            <sz val="8"/>
            <color indexed="81"/>
            <rFont val="Tahoma"/>
            <family val="2"/>
          </rPr>
          <t>Stock issues (net amount after accounting for unearned stock compensation)</t>
        </r>
      </text>
    </comment>
    <comment ref="N114" authorId="1">
      <text>
        <r>
          <rPr>
            <sz val="8"/>
            <color indexed="81"/>
            <rFont val="Tahoma"/>
          </rPr>
          <t>The information is from Cash Flow Statement.</t>
        </r>
      </text>
    </comment>
    <comment ref="B115" authorId="0">
      <text>
        <r>
          <rPr>
            <sz val="8"/>
            <color indexed="81"/>
            <rFont val="Tahoma"/>
            <family val="2"/>
          </rPr>
          <t>Accounting for reduction in Unearned stock compensation</t>
        </r>
      </text>
    </comment>
    <comment ref="N115" authorId="0">
      <text>
        <r>
          <rPr>
            <sz val="8"/>
            <color indexed="81"/>
            <rFont val="Tahoma"/>
            <family val="2"/>
          </rPr>
          <t>Preferred dividends should be classified as "Comprehensive income", since this is transaction with preferred shareholders' who are more like debtholders in the common shareholders' perspective</t>
        </r>
      </text>
    </comment>
    <comment ref="B116" authorId="0">
      <text>
        <r>
          <rPr>
            <sz val="8"/>
            <color indexed="81"/>
            <rFont val="Tahoma"/>
            <family val="2"/>
          </rPr>
          <t>In effect, stock repurchase from employees (also have to adjust for Unearned stock compensation)</t>
        </r>
      </text>
    </comment>
    <comment ref="B118" authorId="0">
      <text>
        <r>
          <rPr>
            <sz val="8"/>
            <color indexed="81"/>
            <rFont val="Tahoma"/>
            <family val="2"/>
          </rPr>
          <t xml:space="preserve">Items that belong here other than NI are part of dirty surplus - accounts that increase book (shareholders' equity) without going through the income statement. </t>
        </r>
      </text>
    </comment>
    <comment ref="B124" authorId="0">
      <text>
        <r>
          <rPr>
            <sz val="8"/>
            <color indexed="81"/>
            <rFont val="Tahoma"/>
            <family val="2"/>
          </rPr>
          <t xml:space="preserve">Stock issues
</t>
        </r>
      </text>
    </comment>
    <comment ref="B125" authorId="0">
      <text>
        <r>
          <rPr>
            <sz val="8"/>
            <color indexed="81"/>
            <rFont val="Tahoma"/>
            <family val="2"/>
          </rPr>
          <t>No effect on change in shareholders' equity</t>
        </r>
      </text>
    </comment>
    <comment ref="N125" authorId="1">
      <text>
        <r>
          <rPr>
            <sz val="8"/>
            <color indexed="81"/>
            <rFont val="Tahoma"/>
          </rPr>
          <t>The information is from Cash Flow Statement.This adjustment is unnecessary after the change in accounting standard on stock options from 2006</t>
        </r>
      </text>
    </comment>
    <comment ref="B126" authorId="0">
      <text>
        <r>
          <rPr>
            <sz val="8"/>
            <color indexed="81"/>
            <rFont val="Tahoma"/>
            <family val="2"/>
          </rPr>
          <t>stock repurchases</t>
        </r>
      </text>
    </comment>
    <comment ref="N126" authorId="0">
      <text>
        <r>
          <rPr>
            <sz val="8"/>
            <color indexed="81"/>
            <rFont val="Tahoma"/>
            <family val="2"/>
          </rPr>
          <t>Preferred dividends should be classified as "Comprehensive income", since this is transaction with preferred shareholders' who are more like debtholders in the common shareholders' perspective</t>
        </r>
      </text>
    </comment>
    <comment ref="B127" authorId="0">
      <text>
        <r>
          <rPr>
            <sz val="8"/>
            <color indexed="81"/>
            <rFont val="Tahoma"/>
            <family val="2"/>
          </rPr>
          <t>Common dividends</t>
        </r>
      </text>
    </comment>
    <comment ref="B128" authorId="0">
      <text>
        <r>
          <rPr>
            <sz val="8"/>
            <color indexed="81"/>
            <rFont val="Tahoma"/>
            <family val="2"/>
          </rPr>
          <t>Stock issues (net amount after accounting for unearned stock compensation)</t>
        </r>
      </text>
    </comment>
    <comment ref="B129" authorId="0">
      <text>
        <r>
          <rPr>
            <sz val="8"/>
            <color indexed="81"/>
            <rFont val="Tahoma"/>
            <family val="2"/>
          </rPr>
          <t>Accounting for reduction in Unearned stock compensation</t>
        </r>
      </text>
    </comment>
    <comment ref="B130" authorId="0">
      <text>
        <r>
          <rPr>
            <sz val="8"/>
            <color indexed="81"/>
            <rFont val="Tahoma"/>
            <family val="2"/>
          </rPr>
          <t>In effect, stock repurchase from employees (also have to adjust for Unearned stock compensation)</t>
        </r>
      </text>
    </comment>
    <comment ref="B132" authorId="0">
      <text>
        <r>
          <rPr>
            <sz val="8"/>
            <color indexed="81"/>
            <rFont val="Tahoma"/>
            <family val="2"/>
          </rPr>
          <t xml:space="preserve">Items that belong here other than NI are part of dirty surplus - accounts that increase book (shareholders' equity) without going through the income statement. </t>
        </r>
      </text>
    </comment>
    <comment ref="N136" authorId="1">
      <text>
        <r>
          <rPr>
            <sz val="8"/>
            <color indexed="81"/>
            <rFont val="Tahoma"/>
          </rPr>
          <t>The information is from Cash Flow Statement.</t>
        </r>
      </text>
    </comment>
    <comment ref="N137" authorId="0">
      <text>
        <r>
          <rPr>
            <sz val="8"/>
            <color indexed="81"/>
            <rFont val="Tahoma"/>
            <family val="2"/>
          </rPr>
          <t>Preferred dividends should be classified as "Comprehensive income", since this is transaction with preferred shareholders' who are more like debtholders in the common shareholders' perspective</t>
        </r>
      </text>
    </comment>
    <comment ref="B139" authorId="0">
      <text>
        <r>
          <rPr>
            <sz val="8"/>
            <color indexed="81"/>
            <rFont val="Tahoma"/>
            <family val="2"/>
          </rPr>
          <t xml:space="preserve">Stock issues
</t>
        </r>
      </text>
    </comment>
    <comment ref="B140" authorId="0">
      <text>
        <r>
          <rPr>
            <sz val="8"/>
            <color indexed="81"/>
            <rFont val="Tahoma"/>
            <family val="2"/>
          </rPr>
          <t>No effect on change in shareholders' equity</t>
        </r>
      </text>
    </comment>
    <comment ref="B141" authorId="0">
      <text>
        <r>
          <rPr>
            <sz val="8"/>
            <color indexed="81"/>
            <rFont val="Tahoma"/>
            <family val="2"/>
          </rPr>
          <t>stock repurchases</t>
        </r>
      </text>
    </comment>
    <comment ref="B142" authorId="0">
      <text>
        <r>
          <rPr>
            <sz val="8"/>
            <color indexed="81"/>
            <rFont val="Tahoma"/>
            <family val="2"/>
          </rPr>
          <t>Common dividends</t>
        </r>
      </text>
    </comment>
    <comment ref="B143" authorId="0">
      <text>
        <r>
          <rPr>
            <sz val="8"/>
            <color indexed="81"/>
            <rFont val="Tahoma"/>
            <family val="2"/>
          </rPr>
          <t>Stock issues (net amount after accounting for unearned stock compensation)</t>
        </r>
      </text>
    </comment>
    <comment ref="B144" authorId="0">
      <text>
        <r>
          <rPr>
            <sz val="8"/>
            <color indexed="81"/>
            <rFont val="Tahoma"/>
            <family val="2"/>
          </rPr>
          <t>New account after the accounting rule change starting from 2006. This should be included in other liabilities instead of stockholders' equity. Hence, deduct this amount from the beginning and ending balances of shareholders' equity in 2008 (adjust all together to avoid complications from the change in accounting rule)</t>
        </r>
      </text>
    </comment>
    <comment ref="B145" authorId="0">
      <text>
        <r>
          <rPr>
            <sz val="8"/>
            <color indexed="81"/>
            <rFont val="Tahoma"/>
            <family val="2"/>
          </rPr>
          <t>In effect, stock repurchase from employees (also have to adjust for Unearned stock compensation)</t>
        </r>
      </text>
    </comment>
    <comment ref="B147" authorId="0">
      <text>
        <r>
          <rPr>
            <sz val="8"/>
            <color indexed="81"/>
            <rFont val="Tahoma"/>
            <family val="2"/>
          </rPr>
          <t xml:space="preserve">Items that belong here other than NI are part of dirty surplus - accounts that increase book (shareholders' equity) without going through the income statement. </t>
        </r>
      </text>
    </comment>
    <comment ref="N147" authorId="1">
      <text>
        <r>
          <rPr>
            <sz val="8"/>
            <color indexed="81"/>
            <rFont val="Tahoma"/>
          </rPr>
          <t>The information is from Cash Flow Statement.</t>
        </r>
      </text>
    </comment>
    <comment ref="N148" authorId="0">
      <text>
        <r>
          <rPr>
            <sz val="8"/>
            <color indexed="81"/>
            <rFont val="Tahoma"/>
            <family val="2"/>
          </rPr>
          <t>Preferred dividends should be classified as "Comprehensive income", since this is transaction with preferred shareholders' who are more like debtholders in the common shareholders' perspective</t>
        </r>
      </text>
    </comment>
    <comment ref="B154" authorId="0">
      <text>
        <r>
          <rPr>
            <sz val="8"/>
            <color indexed="81"/>
            <rFont val="Tahoma"/>
            <family val="2"/>
          </rPr>
          <t xml:space="preserve">Stock issues
</t>
        </r>
      </text>
    </comment>
    <comment ref="B155" authorId="0">
      <text>
        <r>
          <rPr>
            <sz val="8"/>
            <color indexed="81"/>
            <rFont val="Tahoma"/>
            <family val="2"/>
          </rPr>
          <t>No effect on change in shareholders' equity</t>
        </r>
      </text>
    </comment>
    <comment ref="B156" authorId="0">
      <text>
        <r>
          <rPr>
            <sz val="8"/>
            <color indexed="81"/>
            <rFont val="Tahoma"/>
            <family val="2"/>
          </rPr>
          <t>stock repurchases</t>
        </r>
      </text>
    </comment>
    <comment ref="B157" authorId="0">
      <text>
        <r>
          <rPr>
            <sz val="8"/>
            <color indexed="81"/>
            <rFont val="Tahoma"/>
            <family val="2"/>
          </rPr>
          <t>Common dividends</t>
        </r>
      </text>
    </comment>
    <comment ref="B158" authorId="0">
      <text>
        <r>
          <rPr>
            <sz val="8"/>
            <color indexed="81"/>
            <rFont val="Tahoma"/>
            <family val="2"/>
          </rPr>
          <t>Stock issues (net amount after accounting for unearned stock compensation)</t>
        </r>
      </text>
    </comment>
    <comment ref="N158" authorId="1">
      <text>
        <r>
          <rPr>
            <sz val="8"/>
            <color indexed="81"/>
            <rFont val="Tahoma"/>
          </rPr>
          <t>The information is from Cash Flow Statement.</t>
        </r>
      </text>
    </comment>
    <comment ref="B159" authorId="0">
      <text>
        <r>
          <rPr>
            <sz val="8"/>
            <color indexed="81"/>
            <rFont val="Tahoma"/>
            <family val="2"/>
          </rPr>
          <t>New account after the accounting rule change starting from 2006. This should be included in other liabilities instead of stockholders' equity. Hence, deduct this amount from the beginning and ending balances of shareholders' equity in 2008 (adjust all together to avoid complications from the change in accounting rule)</t>
        </r>
      </text>
    </comment>
    <comment ref="N159" authorId="0">
      <text>
        <r>
          <rPr>
            <sz val="8"/>
            <color indexed="81"/>
            <rFont val="Tahoma"/>
            <family val="2"/>
          </rPr>
          <t>Preferred dividends should be classified as "Comprehensive income", since this is transaction with preferred shareholders' who are more like debtholders in the common shareholders' perspective</t>
        </r>
      </text>
    </comment>
    <comment ref="B160" authorId="0">
      <text>
        <r>
          <rPr>
            <sz val="8"/>
            <color indexed="81"/>
            <rFont val="Tahoma"/>
            <family val="2"/>
          </rPr>
          <t>In effect, stock repurchase from employees (also have to adjust for Unearned stock compensation)</t>
        </r>
      </text>
    </comment>
    <comment ref="B162" authorId="0">
      <text>
        <r>
          <rPr>
            <sz val="8"/>
            <color indexed="81"/>
            <rFont val="Tahoma"/>
            <family val="2"/>
          </rPr>
          <t xml:space="preserve">Items that belong here other than NI are part of dirty surplus - accounts that increase book (shareholders' equity) without going through the income statement. </t>
        </r>
      </text>
    </comment>
    <comment ref="N166" authorId="0">
      <text>
        <r>
          <rPr>
            <sz val="8"/>
            <color indexed="81"/>
            <rFont val="Tahoma"/>
            <family val="2"/>
          </rPr>
          <t>This is different from "effective tax rate" used to calculate income tax expense from EBT. Marginal tax rate = Federal statutory tax rate + State tax rate (this information can be found in income taxes notes)</t>
        </r>
      </text>
    </comment>
    <comment ref="B170" authorId="0">
      <text>
        <r>
          <rPr>
            <sz val="8"/>
            <color indexed="81"/>
            <rFont val="Tahoma"/>
            <family val="2"/>
          </rPr>
          <t xml:space="preserve">Stock issues
</t>
        </r>
      </text>
    </comment>
    <comment ref="B171" authorId="0">
      <text>
        <r>
          <rPr>
            <sz val="8"/>
            <color indexed="81"/>
            <rFont val="Tahoma"/>
            <family val="2"/>
          </rPr>
          <t>No effect on change in shareholders' equity</t>
        </r>
      </text>
    </comment>
    <comment ref="B172" authorId="0">
      <text>
        <r>
          <rPr>
            <sz val="8"/>
            <color indexed="81"/>
            <rFont val="Tahoma"/>
            <family val="2"/>
          </rPr>
          <t>stock repurchases</t>
        </r>
      </text>
    </comment>
    <comment ref="B173" authorId="0">
      <text>
        <r>
          <rPr>
            <sz val="8"/>
            <color indexed="81"/>
            <rFont val="Tahoma"/>
            <family val="2"/>
          </rPr>
          <t>Common dividends</t>
        </r>
      </text>
    </comment>
    <comment ref="B174" authorId="0">
      <text>
        <r>
          <rPr>
            <sz val="8"/>
            <color indexed="81"/>
            <rFont val="Tahoma"/>
            <family val="2"/>
          </rPr>
          <t>Stock issues (net amount after accounting for unearned stock compensation)</t>
        </r>
      </text>
    </comment>
    <comment ref="B175" authorId="0">
      <text>
        <r>
          <rPr>
            <sz val="8"/>
            <color indexed="81"/>
            <rFont val="Tahoma"/>
            <family val="2"/>
          </rPr>
          <t>New account after the accounting rule change starting from 2006. This should be included in other liabilities instead of stockholders' equity. Hence, deduct this amount from the beginning and ending balances of shareholders' equity in 2008 (adjust all together to avoid complications from the change in accounting rule)</t>
        </r>
      </text>
    </comment>
    <comment ref="B176" authorId="0">
      <text>
        <r>
          <rPr>
            <sz val="8"/>
            <color indexed="81"/>
            <rFont val="Tahoma"/>
            <family val="2"/>
          </rPr>
          <t>In effect, stock repurchase from employees (also have to adjust for Unearned stock compensation)</t>
        </r>
      </text>
    </comment>
    <comment ref="B178" authorId="0">
      <text>
        <r>
          <rPr>
            <sz val="8"/>
            <color indexed="81"/>
            <rFont val="Tahoma"/>
            <family val="2"/>
          </rPr>
          <t xml:space="preserve">Items that belong here other than NI are part of dirty surplus - accounts that increase book (shareholders' equity) without going through the income statement. </t>
        </r>
      </text>
    </comment>
  </commentList>
</comments>
</file>

<file path=xl/comments2.xml><?xml version="1.0" encoding="utf-8"?>
<comments xmlns="http://schemas.openxmlformats.org/spreadsheetml/2006/main">
  <authors>
    <author>Feng Chen</author>
    <author>remarkable Hanna</author>
  </authors>
  <commentList>
    <comment ref="S17" authorId="0">
      <text>
        <r>
          <rPr>
            <sz val="8"/>
            <color indexed="81"/>
            <rFont val="Tahoma"/>
          </rPr>
          <t xml:space="preserve">Operating cash is estimated at 0.5% of sales.
</t>
        </r>
      </text>
    </comment>
    <comment ref="S20" authorId="0">
      <text>
        <r>
          <rPr>
            <sz val="8"/>
            <color indexed="81"/>
            <rFont val="Tahoma"/>
          </rPr>
          <t>Unearned compensation was deducted from shareholders' equity, and was included in prepaid expenses, because this is actually an asset for shareholders</t>
        </r>
      </text>
    </comment>
    <comment ref="B26" authorId="0">
      <text>
        <r>
          <rPr>
            <sz val="8"/>
            <color indexed="81"/>
            <rFont val="Tahoma"/>
          </rPr>
          <t>For years before 2002, 
the amount of goodwill was inferred from the footnotes.</t>
        </r>
      </text>
    </comment>
    <comment ref="S27" authorId="0">
      <text>
        <r>
          <rPr>
            <sz val="8"/>
            <color indexed="81"/>
            <rFont val="Tahoma"/>
          </rPr>
          <t>Interest-bearing accounts payable are classified as financing obligations.</t>
        </r>
      </text>
    </comment>
    <comment ref="S28" authorId="0">
      <text>
        <r>
          <rPr>
            <sz val="8"/>
            <color indexed="81"/>
            <rFont val="Tahoma"/>
          </rPr>
          <t xml:space="preserve">Exclude dividends payable.
</t>
        </r>
      </text>
    </comment>
    <comment ref="S30" authorId="1">
      <text>
        <r>
          <rPr>
            <sz val="8"/>
            <color indexed="81"/>
            <rFont val="Tahoma"/>
            <family val="2"/>
          </rPr>
          <t>In 2008, add ending balance of "stock-based compensation" taken out from the 2008 ending balance of shareholders' equity in the Statement of Shareholders' Equity. This adjustment is for 2008 only, because of complications arising from change in accounting rules in 2006.</t>
        </r>
      </text>
    </comment>
    <comment ref="S42" authorId="0">
      <text>
        <r>
          <rPr>
            <sz val="8"/>
            <color indexed="81"/>
            <rFont val="Tahoma"/>
          </rPr>
          <t>Interest-bearing accounts payable are classified as financing obligations.</t>
        </r>
      </text>
    </comment>
  </commentList>
</comments>
</file>

<file path=xl/comments3.xml><?xml version="1.0" encoding="utf-8"?>
<comments xmlns="http://schemas.openxmlformats.org/spreadsheetml/2006/main">
  <authors>
    <author>Feng Chen</author>
  </authors>
  <commentList>
    <comment ref="R19" authorId="0">
      <text>
        <r>
          <rPr>
            <sz val="8"/>
            <color indexed="81"/>
            <rFont val="Tahoma"/>
          </rPr>
          <t>Derived through adjusting "selling and administrative expenses" and "other income/expense" in published income statements.</t>
        </r>
      </text>
    </comment>
    <comment ref="R20" authorId="0">
      <text>
        <r>
          <rPr>
            <sz val="8"/>
            <color indexed="81"/>
            <rFont val="Tahoma"/>
            <family val="2"/>
          </rPr>
          <t xml:space="preserve">Broken out from selling and administrative expenses in published income statements. </t>
        </r>
        <r>
          <rPr>
            <sz val="8"/>
            <color indexed="81"/>
            <rFont val="Tahoma"/>
          </rPr>
          <t xml:space="preserve">
</t>
        </r>
      </text>
    </comment>
    <comment ref="R21" authorId="0">
      <text>
        <r>
          <rPr>
            <sz val="8"/>
            <color indexed="81"/>
            <rFont val="Tahoma"/>
            <family val="2"/>
          </rPr>
          <t xml:space="preserve">1. Broken out from selling and administrative expenses in published income statements. 
2. For years before 2001, the amount represents amortization expense of all intangible assets and goodwill. 
</t>
        </r>
      </text>
    </comment>
    <comment ref="R38" authorId="0">
      <text>
        <r>
          <rPr>
            <sz val="8"/>
            <color indexed="81"/>
            <rFont val="Tahoma"/>
          </rPr>
          <t xml:space="preserve">The cumulative effect of accounting change reflects the provision of SFAS 142 in year 2003. The amount is related to goodwill impairment charge.
</t>
        </r>
      </text>
    </comment>
    <comment ref="R44" authorId="0">
      <text>
        <r>
          <rPr>
            <sz val="8"/>
            <color indexed="81"/>
            <rFont val="Tahoma"/>
          </rPr>
          <t>Interest income is netted against interest income in the GAAP statements.</t>
        </r>
      </text>
    </comment>
  </commentList>
</comments>
</file>

<file path=xl/comments4.xml><?xml version="1.0" encoding="utf-8"?>
<comments xmlns="http://schemas.openxmlformats.org/spreadsheetml/2006/main">
  <authors>
    <author>Feng Chen</author>
  </authors>
  <commentList>
    <comment ref="B24" authorId="0">
      <text>
        <r>
          <rPr>
            <sz val="8"/>
            <color indexed="81"/>
            <rFont val="Tahoma"/>
          </rPr>
          <t>Derived through adjusting "selling and administrative expenses" and "other income/expense" in published income statements.</t>
        </r>
      </text>
    </comment>
    <comment ref="Q24" authorId="0">
      <text>
        <r>
          <rPr>
            <sz val="8"/>
            <color indexed="81"/>
            <rFont val="Tahoma"/>
          </rPr>
          <t>Derived through adjusting "selling and administrative expenses" and "other income/expense" in published income statements.</t>
        </r>
      </text>
    </comment>
    <comment ref="B25" authorId="0">
      <text>
        <r>
          <rPr>
            <sz val="8"/>
            <color indexed="81"/>
            <rFont val="Tahoma"/>
            <family val="2"/>
          </rPr>
          <t xml:space="preserve">Broken out from selling and administrative expenses in published income statements. </t>
        </r>
        <r>
          <rPr>
            <sz val="8"/>
            <color indexed="81"/>
            <rFont val="Tahoma"/>
          </rPr>
          <t xml:space="preserve">
</t>
        </r>
      </text>
    </comment>
    <comment ref="Q25" authorId="0">
      <text>
        <r>
          <rPr>
            <sz val="8"/>
            <color indexed="81"/>
            <rFont val="Tahoma"/>
            <family val="2"/>
          </rPr>
          <t xml:space="preserve">Broken out from selling and administrative expenses in published income statements. </t>
        </r>
        <r>
          <rPr>
            <sz val="8"/>
            <color indexed="81"/>
            <rFont val="Tahoma"/>
          </rPr>
          <t xml:space="preserve">
</t>
        </r>
      </text>
    </comment>
    <comment ref="B26" authorId="0">
      <text>
        <r>
          <rPr>
            <sz val="8"/>
            <color indexed="81"/>
            <rFont val="Tahoma"/>
            <family val="2"/>
          </rPr>
          <t xml:space="preserve">Broken out from selling and administrative expenses in published income statements. 
</t>
        </r>
      </text>
    </comment>
    <comment ref="Q26" authorId="0">
      <text>
        <r>
          <rPr>
            <sz val="8"/>
            <color indexed="81"/>
            <rFont val="Tahoma"/>
            <family val="2"/>
          </rPr>
          <t xml:space="preserve">Broken out from selling and administrative expenses in published income statements. 
</t>
        </r>
      </text>
    </comment>
    <comment ref="B43" authorId="0">
      <text>
        <r>
          <rPr>
            <sz val="8"/>
            <color indexed="81"/>
            <rFont val="Tahoma"/>
          </rPr>
          <t xml:space="preserve">The cumulative effect of accounting change reflects the provision of SFAS 142 in year 2003. The amount is related to goodwill impairment charge.
</t>
        </r>
      </text>
    </comment>
    <comment ref="Q43" authorId="0">
      <text>
        <r>
          <rPr>
            <sz val="8"/>
            <color indexed="81"/>
            <rFont val="Tahoma"/>
          </rPr>
          <t xml:space="preserve">The cumulative effect of accounting change reflects the provision of SFAS 142 in year 2003. The amount is related to goodwill impairment charge.
</t>
        </r>
      </text>
    </comment>
    <comment ref="B49" authorId="0">
      <text>
        <r>
          <rPr>
            <sz val="8"/>
            <color indexed="81"/>
            <rFont val="Tahoma"/>
          </rPr>
          <t>Interest income is netted against interest income in the GAAP statements.</t>
        </r>
      </text>
    </comment>
    <comment ref="Q49" authorId="0">
      <text>
        <r>
          <rPr>
            <sz val="8"/>
            <color indexed="81"/>
            <rFont val="Tahoma"/>
          </rPr>
          <t>Interest income is netted against interest income in the GAAP statements.</t>
        </r>
      </text>
    </comment>
    <comment ref="B67" authorId="0">
      <text>
        <r>
          <rPr>
            <sz val="8"/>
            <color indexed="81"/>
            <rFont val="Tahoma"/>
          </rPr>
          <t xml:space="preserve">Operating cash is estimated at 0.5% of sales.
</t>
        </r>
      </text>
    </comment>
    <comment ref="Q67" authorId="0">
      <text>
        <r>
          <rPr>
            <sz val="8"/>
            <color indexed="81"/>
            <rFont val="Tahoma"/>
          </rPr>
          <t xml:space="preserve">Operating cash is estimated at 0.5% of sales.
</t>
        </r>
      </text>
    </comment>
    <comment ref="B70" authorId="0">
      <text>
        <r>
          <rPr>
            <sz val="8"/>
            <color indexed="81"/>
            <rFont val="Tahoma"/>
          </rPr>
          <t>Unearned compensation was included in prepaid expenses.</t>
        </r>
      </text>
    </comment>
    <comment ref="Q70" authorId="0">
      <text>
        <r>
          <rPr>
            <sz val="8"/>
            <color indexed="81"/>
            <rFont val="Tahoma"/>
          </rPr>
          <t>Unearned compensation was included in prepaid expenses.</t>
        </r>
      </text>
    </comment>
    <comment ref="B77" authorId="0">
      <text>
        <r>
          <rPr>
            <sz val="8"/>
            <color indexed="81"/>
            <rFont val="Tahoma"/>
          </rPr>
          <t>Interest-bearing accounts payable are classified as financing obligations.</t>
        </r>
      </text>
    </comment>
    <comment ref="Q77" authorId="0">
      <text>
        <r>
          <rPr>
            <sz val="8"/>
            <color indexed="81"/>
            <rFont val="Tahoma"/>
          </rPr>
          <t>Interest-bearing accounts payable are classified as financing obligations.</t>
        </r>
      </text>
    </comment>
    <comment ref="B78" authorId="0">
      <text>
        <r>
          <rPr>
            <sz val="8"/>
            <color indexed="81"/>
            <rFont val="Tahoma"/>
          </rPr>
          <t xml:space="preserve">Exclude dividends payable.
</t>
        </r>
      </text>
    </comment>
    <comment ref="Q78" authorId="0">
      <text>
        <r>
          <rPr>
            <sz val="8"/>
            <color indexed="81"/>
            <rFont val="Tahoma"/>
          </rPr>
          <t xml:space="preserve">Exclude dividends payable.
</t>
        </r>
      </text>
    </comment>
    <comment ref="B92" authorId="0">
      <text>
        <r>
          <rPr>
            <sz val="8"/>
            <color indexed="81"/>
            <rFont val="Tahoma"/>
          </rPr>
          <t>Interest-bearing accounts payable are classified as financing obligations.</t>
        </r>
      </text>
    </comment>
    <comment ref="Q92" authorId="0">
      <text>
        <r>
          <rPr>
            <sz val="8"/>
            <color indexed="81"/>
            <rFont val="Tahoma"/>
          </rPr>
          <t>Interest-bearing accounts payable are classified as financing obligations.</t>
        </r>
      </text>
    </comment>
  </commentList>
</comments>
</file>

<file path=xl/comments5.xml><?xml version="1.0" encoding="utf-8"?>
<comments xmlns="http://schemas.openxmlformats.org/spreadsheetml/2006/main">
  <authors>
    <author>Feng Chen</author>
  </authors>
  <commentList>
    <comment ref="B64" authorId="0">
      <text>
        <r>
          <rPr>
            <sz val="8"/>
            <color indexed="81"/>
            <rFont val="Tahoma"/>
          </rPr>
          <t>Assume growth in ReOI remains constant at 5% into the future.</t>
        </r>
      </text>
    </comment>
    <comment ref="B69" authorId="0">
      <text>
        <r>
          <rPr>
            <sz val="8"/>
            <color indexed="81"/>
            <rFont val="Tahoma"/>
          </rPr>
          <t xml:space="preserve">See Chapter 13 for the derivation of the option liability. 
</t>
        </r>
      </text>
    </comment>
  </commentList>
</comments>
</file>

<file path=xl/comments6.xml><?xml version="1.0" encoding="utf-8"?>
<comments xmlns="http://schemas.openxmlformats.org/spreadsheetml/2006/main">
  <authors>
    <author>Feng Chen</author>
  </authors>
  <commentList>
    <comment ref="B73" authorId="0">
      <text>
        <r>
          <rPr>
            <sz val="8"/>
            <color indexed="81"/>
            <rFont val="Tahoma"/>
          </rPr>
          <t>Assume growth in ReOI remains constant at 5% into the future.</t>
        </r>
      </text>
    </comment>
    <comment ref="B78" authorId="0">
      <text>
        <r>
          <rPr>
            <sz val="8"/>
            <color indexed="81"/>
            <rFont val="Tahoma"/>
          </rPr>
          <t xml:space="preserve">See Chapter 13 for the derivation of the option liability. 
</t>
        </r>
      </text>
    </comment>
    <comment ref="B129" authorId="0">
      <text>
        <r>
          <rPr>
            <sz val="8"/>
            <color indexed="81"/>
            <rFont val="Tahoma"/>
          </rPr>
          <t xml:space="preserve">See Chapter 13 for the derivation of the option liability. 
</t>
        </r>
      </text>
    </comment>
    <comment ref="B138" authorId="0">
      <text>
        <r>
          <rPr>
            <sz val="8"/>
            <color indexed="81"/>
            <rFont val="Tahoma"/>
          </rPr>
          <t xml:space="preserve">See Chapter 13 for the derivation of the option liability. 
</t>
        </r>
      </text>
    </comment>
    <comment ref="B154" authorId="0">
      <text>
        <r>
          <rPr>
            <sz val="8"/>
            <color indexed="81"/>
            <rFont val="Tahoma"/>
          </rPr>
          <t xml:space="preserve">See Chapter 13 for the derivation of the option liability. 
</t>
        </r>
      </text>
    </comment>
    <comment ref="B184" authorId="0">
      <text>
        <r>
          <rPr>
            <sz val="8"/>
            <color indexed="81"/>
            <rFont val="Tahoma"/>
          </rPr>
          <t xml:space="preserve">See Chapter 13 for the derivation of the option liability. 
</t>
        </r>
      </text>
    </comment>
  </commentList>
</comments>
</file>

<file path=xl/sharedStrings.xml><?xml version="1.0" encoding="utf-8"?>
<sst xmlns="http://schemas.openxmlformats.org/spreadsheetml/2006/main" count="1688" uniqueCount="755">
  <si>
    <t>Nike traded at $75.31 on Aug. 31, 2004.  Use your pro forma analysis tool here to find what growth rate and profitability justify that price.</t>
  </si>
  <si>
    <t>For Nike 2004</t>
  </si>
  <si>
    <t>NIKE, year ended May 31, 2004</t>
  </si>
  <si>
    <t>Average NOA</t>
  </si>
  <si>
    <t>Average NFO</t>
  </si>
  <si>
    <t>Average CSE</t>
  </si>
  <si>
    <t>(from MSN Moneycentral)</t>
  </si>
  <si>
    <t>For change in residual earnings from 2003 to 2004</t>
  </si>
  <si>
    <t>(a) Unearned stock compensation that arose from issuing shares to employees in fiscal year 2004 is an operating asset, so is moved from the statement of shareholders' equity to the balance sheet.  This is like prepaid wages and is amortized to the income statement over a service period.</t>
  </si>
  <si>
    <t>Forecasts for NIKE 2005</t>
  </si>
  <si>
    <t>Common shareholders' equity, 2004</t>
  </si>
  <si>
    <t>Core operating income, 2004</t>
  </si>
  <si>
    <t>Net operating assets, 2004</t>
  </si>
  <si>
    <t>Core residual operating income, 2004</t>
  </si>
  <si>
    <r>
      <t>v</t>
    </r>
    <r>
      <rPr>
        <vertAlign val="subscript"/>
        <sz val="10"/>
        <rFont val="Arial"/>
        <family val="2"/>
      </rPr>
      <t>E</t>
    </r>
    <r>
      <rPr>
        <sz val="10"/>
        <rFont val="Arial"/>
      </rPr>
      <t xml:space="preserve"> = CSE</t>
    </r>
    <r>
      <rPr>
        <vertAlign val="subscript"/>
        <sz val="10"/>
        <rFont val="Arial"/>
        <family val="2"/>
      </rPr>
      <t>2004</t>
    </r>
    <r>
      <rPr>
        <sz val="10"/>
        <rFont val="Arial"/>
      </rPr>
      <t xml:space="preserve"> + ReOI</t>
    </r>
    <r>
      <rPr>
        <vertAlign val="subscript"/>
        <sz val="10"/>
        <rFont val="Arial"/>
        <family val="2"/>
      </rPr>
      <t>2004</t>
    </r>
    <r>
      <rPr>
        <sz val="10"/>
        <rFont val="Arial"/>
      </rPr>
      <t>/k</t>
    </r>
    <r>
      <rPr>
        <vertAlign val="subscript"/>
        <sz val="10"/>
        <rFont val="Arial"/>
        <family val="2"/>
      </rPr>
      <t>F</t>
    </r>
  </si>
  <si>
    <t>Core RNOA, 2004 (on average NOA)</t>
  </si>
  <si>
    <t>SF3 forecast of operating income, 2005</t>
  </si>
  <si>
    <t>SF3 forecast of ReOI, 2005</t>
  </si>
  <si>
    <t>2004A</t>
  </si>
  <si>
    <t>2010E and after</t>
  </si>
  <si>
    <t>Total PV of ReOI to 2009</t>
  </si>
  <si>
    <t>NOA as of 2004</t>
  </si>
  <si>
    <t xml:space="preserve">  Selling and administrative</t>
  </si>
  <si>
    <t xml:space="preserve">  Other income/expense, net</t>
  </si>
  <si>
    <t xml:space="preserve">  Restructuring charge, net</t>
  </si>
  <si>
    <t xml:space="preserve">    Total costs and expenses</t>
  </si>
  <si>
    <t>Net income</t>
  </si>
  <si>
    <t>Basic earnings per common share</t>
  </si>
  <si>
    <t>Diluted earnings per common share</t>
  </si>
  <si>
    <t>NIKE INC. BALANCE SHEETS</t>
  </si>
  <si>
    <t>in millions</t>
  </si>
  <si>
    <t>ASSETS</t>
  </si>
  <si>
    <t>Current Assets:</t>
  </si>
  <si>
    <t xml:space="preserve">  Cash and equivalents</t>
  </si>
  <si>
    <t xml:space="preserve">  Income taxes receivable</t>
  </si>
  <si>
    <t xml:space="preserve">    Total current assets</t>
  </si>
  <si>
    <t xml:space="preserve">    Total assets</t>
  </si>
  <si>
    <t>LIABILITIES AND SHAREHOLDERS' EQUITY</t>
  </si>
  <si>
    <t>Current Liabilities:</t>
  </si>
  <si>
    <t xml:space="preserve">  Accrued liabilities</t>
  </si>
  <si>
    <t xml:space="preserve">  Income taxes payable</t>
  </si>
  <si>
    <t xml:space="preserve">    Total current liabilities</t>
  </si>
  <si>
    <t>Shareholders' Equity:</t>
  </si>
  <si>
    <t xml:space="preserve">  Capital in excess of stated value</t>
  </si>
  <si>
    <t xml:space="preserve">  Unearned stock compensation</t>
  </si>
  <si>
    <t xml:space="preserve">  Accumulated other comprehensive income</t>
  </si>
  <si>
    <t xml:space="preserve">  Retained earnings</t>
  </si>
  <si>
    <t xml:space="preserve">    Total shareholders' equity</t>
  </si>
  <si>
    <t xml:space="preserve">    Total liabilities and shareholders' equity</t>
  </si>
  <si>
    <t>NIKE INC. STATEMENT OF CASH FLOWS</t>
  </si>
  <si>
    <t xml:space="preserve">year ended </t>
  </si>
  <si>
    <t>Cash provided (used) by operations:</t>
  </si>
  <si>
    <t xml:space="preserve">  Net income</t>
  </si>
  <si>
    <t xml:space="preserve">  Income charges (credits) not affecting cash:</t>
  </si>
  <si>
    <t xml:space="preserve">     Depreciation</t>
  </si>
  <si>
    <t>For Nike 2005</t>
  </si>
  <si>
    <t>For Nike 2006</t>
  </si>
  <si>
    <t>For Nike 2007</t>
  </si>
  <si>
    <t>For Nike 2008</t>
  </si>
  <si>
    <t>Nike Residual Earnings Growth: 1996 - 2008</t>
  </si>
  <si>
    <t>Balance at May 31, 2006</t>
  </si>
  <si>
    <t>Balance at May 31, 2007</t>
  </si>
  <si>
    <t>Balance at May 31, 2008</t>
  </si>
  <si>
    <t xml:space="preserve">     Non-cash portion of restructuring charge</t>
  </si>
  <si>
    <t xml:space="preserve">     Deferred income taxes</t>
  </si>
  <si>
    <t xml:space="preserve">     Amortization and other</t>
  </si>
  <si>
    <t xml:space="preserve">  Changes in certain working capital components:</t>
  </si>
  <si>
    <t xml:space="preserve">     Increase in inventories</t>
  </si>
  <si>
    <t xml:space="preserve">     Decrease (increase) in accounts receivable</t>
  </si>
  <si>
    <t xml:space="preserve">     (Decrease) increase in accounts payable, accrued liabilities and income taxes payable</t>
  </si>
  <si>
    <t xml:space="preserve">  Cash provided by operations</t>
  </si>
  <si>
    <t>Cash provided (used) by investing activities:</t>
  </si>
  <si>
    <t xml:space="preserve">  Additions to property, plant and equipment</t>
  </si>
  <si>
    <t xml:space="preserve">  Disposals of property, plant and equipment</t>
  </si>
  <si>
    <t xml:space="preserve">  Increase in other assets</t>
  </si>
  <si>
    <t xml:space="preserve">  Cash used by investing activities</t>
  </si>
  <si>
    <t>Cash provided (used) by financing activities:</t>
  </si>
  <si>
    <t>Additions to long-term debt</t>
  </si>
  <si>
    <t>Reductions in long-term debt including current portion</t>
  </si>
  <si>
    <t>(Decrease) increase in notes payable</t>
  </si>
  <si>
    <t>Repurchase of stock</t>
  </si>
  <si>
    <t>Dividends--common and preferred</t>
  </si>
  <si>
    <t xml:space="preserve">  Cash (used) provided by financing activities</t>
  </si>
  <si>
    <t>Effect of exchange rate changes on cash</t>
  </si>
  <si>
    <t>The equity values derived using the Residual Earnings Model and the Abnormal Earnings Growth Model are identical, indicating that the two models are equivalent - they give the same result when applied with consistent assumptions.  The results from these two models differ slightly from the output of the Residual Oprerating Income Model likely due to the imperfect control for leverage.  Note that to perfectly reconcile the results of these two models, we need the discount rates (cost of operations and cost of equity) to fit in the weighting relations consistently over time.  That practically requires the market debt/equity ratio to remain constant over the years.  In an attempt to do so we assume no change in the book capital structure over time, i.e., the book debt/equity ratio remains constant.  This control is imperfect, but it is the best we can do.  In general these are all simplifying assumptions such that we do not have to consider the change in cost of equity due to change in leverage (this is a standard practice; refer to Brealey and Myers (2000)).  Dividends in the example are the residuals to satisfy this assumption and the clean surplus relations.</t>
  </si>
  <si>
    <t>Comparisons among Residual Oprerating Income Model, Residual Earnings Model, and Abnormal Earnings Growth Valuation Model</t>
  </si>
  <si>
    <t>4.4. Valuation using the Abnormal Operating Income Growth Model: Nike Inc.</t>
  </si>
  <si>
    <t>Effect of May 1996 cash flow activity for certain subsidiaries</t>
  </si>
  <si>
    <t>Net (decrease) increase in cash and equivalents</t>
  </si>
  <si>
    <t>Cash and equivalents, beginning of year</t>
  </si>
  <si>
    <t>Cash and equivalents, end of year</t>
  </si>
  <si>
    <t>Supplemental disclosure of cash flow information:</t>
  </si>
  <si>
    <t xml:space="preserve">  Cash paid during the year for:</t>
  </si>
  <si>
    <t xml:space="preserve">     Interest (net of amount capitalized)</t>
  </si>
  <si>
    <t xml:space="preserve">     Income taxes</t>
  </si>
  <si>
    <t>Non-cash investing and financing activity:</t>
  </si>
  <si>
    <t>Assumption of long-term debt to acquire property, plant, and equipment</t>
  </si>
  <si>
    <t>NIKE INC. STATEMENT OF SHAREHOLDERS' EQUITY</t>
  </si>
  <si>
    <t/>
  </si>
  <si>
    <t>COMMON</t>
  </si>
  <si>
    <t>STOCK</t>
  </si>
  <si>
    <t>CAPITAL IN EXCESS OF STATED VALUE</t>
  </si>
  <si>
    <t>UNEARNED STOCK COMPENSATION</t>
  </si>
  <si>
    <t>Difference</t>
  </si>
  <si>
    <t>GAAP net income</t>
  </si>
  <si>
    <t>Dirty-surplus items</t>
  </si>
  <si>
    <t>Stock option compensation expense</t>
  </si>
  <si>
    <t>Adjusted GAAP Net Income</t>
  </si>
  <si>
    <t>Income Statement</t>
  </si>
  <si>
    <t>Preferred stock</t>
  </si>
  <si>
    <t>Unearned or deferred compensation</t>
  </si>
  <si>
    <t>Ending CSE</t>
  </si>
  <si>
    <t>GAAP shareholders' equity</t>
  </si>
  <si>
    <t>Adjusted GAAP shareholders equity</t>
  </si>
  <si>
    <t>FYE</t>
  </si>
  <si>
    <t>Ref stmt of shareholders equity</t>
  </si>
  <si>
    <t>ACCUMULATED OTHER COMPREHENSIVE INCOME</t>
  </si>
  <si>
    <t>RETAINED EARNINGS</t>
  </si>
  <si>
    <t>TOTAL</t>
  </si>
  <si>
    <t>CLASS A</t>
  </si>
  <si>
    <t>CLASS B</t>
  </si>
  <si>
    <t>SHARES</t>
  </si>
  <si>
    <t>AMOUNT</t>
  </si>
  <si>
    <t>Stock options exercised</t>
  </si>
  <si>
    <t>Dividends on Common Stock</t>
  </si>
  <si>
    <t>Comprehensive income</t>
  </si>
  <si>
    <t>BALANCE AT MAY 31, 1999</t>
  </si>
  <si>
    <t>Conversion to Class B Common</t>
  </si>
  <si>
    <t>Repurchase of Class B Common</t>
  </si>
  <si>
    <t>Issuance of shares to employees</t>
  </si>
  <si>
    <t>Amortization of unearned compensation</t>
  </si>
  <si>
    <t>Balance at May 31, 2000</t>
  </si>
  <si>
    <t>Comprehensive Income</t>
  </si>
  <si>
    <t>Transactions with Shareholders</t>
  </si>
  <si>
    <t>Stock issues</t>
  </si>
  <si>
    <t>Stock repurchases</t>
  </si>
  <si>
    <t>Common dividends</t>
  </si>
  <si>
    <t>Other comprehensive income</t>
  </si>
  <si>
    <t>Preferred dividends</t>
  </si>
  <si>
    <t>Balance at May 31, 1999</t>
  </si>
  <si>
    <t>Ratios</t>
  </si>
  <si>
    <t>Definition</t>
  </si>
  <si>
    <t>Total payout ratio</t>
  </si>
  <si>
    <t>Total PV of ReOI to 2008</t>
  </si>
  <si>
    <t>Dividends-to-Book Value</t>
  </si>
  <si>
    <t>Total Payout-to-Book Value</t>
  </si>
  <si>
    <t>Div./Comprehensive income</t>
  </si>
  <si>
    <t>Div./(BV of CSE+Div.)</t>
  </si>
  <si>
    <t>No.</t>
  </si>
  <si>
    <t>Retention ratio</t>
  </si>
  <si>
    <t>1 - Dividends payout ratio</t>
  </si>
  <si>
    <t>ROCE</t>
  </si>
  <si>
    <r>
      <t>Comprehensive income / [(CSE</t>
    </r>
    <r>
      <rPr>
        <vertAlign val="subscript"/>
        <sz val="10"/>
        <rFont val="Arial"/>
        <family val="2"/>
      </rPr>
      <t>t</t>
    </r>
    <r>
      <rPr>
        <sz val="10"/>
        <rFont val="Arial"/>
      </rPr>
      <t xml:space="preserve"> + CSE</t>
    </r>
    <r>
      <rPr>
        <vertAlign val="subscript"/>
        <sz val="10"/>
        <rFont val="Arial"/>
        <family val="2"/>
      </rPr>
      <t>t-1</t>
    </r>
    <r>
      <rPr>
        <sz val="10"/>
        <rFont val="Arial"/>
      </rPr>
      <t>)/2]</t>
    </r>
  </si>
  <si>
    <t>Net investment rate</t>
  </si>
  <si>
    <t>Growth rate of CSE</t>
  </si>
  <si>
    <t>Change in CSE / Beginning CSE</t>
  </si>
  <si>
    <t>OA &amp; FA</t>
  </si>
  <si>
    <t>OA</t>
  </si>
  <si>
    <t>FL</t>
  </si>
  <si>
    <t>OL</t>
  </si>
  <si>
    <t>CSE</t>
  </si>
  <si>
    <t>Operating assets</t>
  </si>
  <si>
    <t>Operating liabilities</t>
  </si>
  <si>
    <t>Financial assets</t>
  </si>
  <si>
    <t>Financial liabilities</t>
  </si>
  <si>
    <t xml:space="preserve">  Inventories</t>
  </si>
  <si>
    <t xml:space="preserve">  Deferred income taxes</t>
  </si>
  <si>
    <t>Property, plant and equipment, net</t>
  </si>
  <si>
    <t>Deferred income taxes and other assets</t>
  </si>
  <si>
    <t xml:space="preserve">  Current portion of long-term debt</t>
  </si>
  <si>
    <t xml:space="preserve">  Notes payable </t>
  </si>
  <si>
    <t xml:space="preserve">  Accounts payable</t>
  </si>
  <si>
    <t>Long-term debt</t>
  </si>
  <si>
    <t xml:space="preserve">Deferred income taxes and other liabilities </t>
  </si>
  <si>
    <t>Commitments and contingencies</t>
  </si>
  <si>
    <t>Redeemable Preferred Stock</t>
  </si>
  <si>
    <t xml:space="preserve">  Common Stock at stated value:</t>
  </si>
  <si>
    <t xml:space="preserve">    Class A convertible</t>
  </si>
  <si>
    <t xml:space="preserve">    Class B</t>
  </si>
  <si>
    <t>Deferred income taxes and other liabilities</t>
  </si>
  <si>
    <t>Common Shareholders' Equity (CSE)</t>
  </si>
  <si>
    <t>Cash and equivalents</t>
  </si>
  <si>
    <t>Inventories</t>
  </si>
  <si>
    <t>Accrued liabilities</t>
  </si>
  <si>
    <t>Income taxes payable</t>
  </si>
  <si>
    <t>Current portion of long-term debt</t>
  </si>
  <si>
    <t>Notes payable</t>
  </si>
  <si>
    <t>Total operating assets</t>
  </si>
  <si>
    <t>Cash equivalent</t>
  </si>
  <si>
    <t>Total operating liabilities</t>
  </si>
  <si>
    <t>Total financial assets</t>
  </si>
  <si>
    <t>Net operating assets (NOA):</t>
  </si>
  <si>
    <t>Net financial assets (obligations) (NFA/NFO)</t>
  </si>
  <si>
    <t>Core RNOA</t>
  </si>
  <si>
    <t>Core Return on Net Operating Assets</t>
  </si>
  <si>
    <r>
      <t>Core operating income after tax / [(NOA</t>
    </r>
    <r>
      <rPr>
        <vertAlign val="subscript"/>
        <sz val="10"/>
        <rFont val="Arial"/>
        <family val="2"/>
      </rPr>
      <t>t</t>
    </r>
    <r>
      <rPr>
        <sz val="10"/>
        <rFont val="Arial"/>
      </rPr>
      <t>+NOA</t>
    </r>
    <r>
      <rPr>
        <vertAlign val="subscript"/>
        <sz val="10"/>
        <rFont val="Arial"/>
        <family val="2"/>
      </rPr>
      <t>t-1</t>
    </r>
    <r>
      <rPr>
        <sz val="10"/>
        <rFont val="Arial"/>
      </rPr>
      <t>)/2]</t>
    </r>
  </si>
  <si>
    <t>Growth rate for net operating assets</t>
  </si>
  <si>
    <t>Net financial assets (obligations) (NFA/NFO):</t>
  </si>
  <si>
    <t>Cost of sales</t>
  </si>
  <si>
    <t>Gross margin</t>
  </si>
  <si>
    <t>Operating revenue</t>
  </si>
  <si>
    <t>Operating expenses</t>
  </si>
  <si>
    <t>Total operating expenses</t>
  </si>
  <si>
    <t>Tax on operating income</t>
  </si>
  <si>
    <t>Tax as reported</t>
  </si>
  <si>
    <t>Tax benefit from net interest expenses</t>
  </si>
  <si>
    <t>Total tax on operating income</t>
  </si>
  <si>
    <t>Operating income after tax</t>
  </si>
  <si>
    <t>Restructuring charge, net</t>
  </si>
  <si>
    <t>Net financial expense (NFE)</t>
  </si>
  <si>
    <t>Interest expense</t>
  </si>
  <si>
    <t>Generating risk profiles (as in Chapters 18-19)</t>
  </si>
  <si>
    <t>Net interest after tax</t>
  </si>
  <si>
    <t>Comprehensive income (available to common)</t>
  </si>
  <si>
    <t>Ratios based on reformulated balance sheets and income statements</t>
  </si>
  <si>
    <t>RNOA</t>
  </si>
  <si>
    <r>
      <t>Operating income after tax / [(NOA</t>
    </r>
    <r>
      <rPr>
        <vertAlign val="subscript"/>
        <sz val="10"/>
        <rFont val="Arial"/>
        <family val="2"/>
      </rPr>
      <t>t</t>
    </r>
    <r>
      <rPr>
        <sz val="10"/>
        <rFont val="Arial"/>
      </rPr>
      <t>+NOA</t>
    </r>
    <r>
      <rPr>
        <vertAlign val="subscript"/>
        <sz val="10"/>
        <rFont val="Arial"/>
        <family val="2"/>
      </rPr>
      <t>t-1</t>
    </r>
    <r>
      <rPr>
        <sz val="10"/>
        <rFont val="Arial"/>
      </rPr>
      <t>)/2]</t>
    </r>
  </si>
  <si>
    <t>NBC</t>
  </si>
  <si>
    <r>
      <t>NFE after tax / [(NFO</t>
    </r>
    <r>
      <rPr>
        <vertAlign val="subscript"/>
        <sz val="10"/>
        <rFont val="Arial"/>
        <family val="2"/>
      </rPr>
      <t>t</t>
    </r>
    <r>
      <rPr>
        <sz val="10"/>
        <rFont val="Arial"/>
      </rPr>
      <t>+NFO</t>
    </r>
    <r>
      <rPr>
        <vertAlign val="subscript"/>
        <sz val="10"/>
        <rFont val="Arial"/>
        <family val="2"/>
      </rPr>
      <t>t-1</t>
    </r>
    <r>
      <rPr>
        <sz val="10"/>
        <rFont val="Arial"/>
      </rPr>
      <t>)/2]</t>
    </r>
  </si>
  <si>
    <t>Operating profit margin</t>
  </si>
  <si>
    <t>OI after tax / Sales</t>
  </si>
  <si>
    <t>Net Comprehensive Profit Margin</t>
  </si>
  <si>
    <t>Comprehensive income / Sales</t>
  </si>
  <si>
    <t>Operating liability / Net operating assets</t>
  </si>
  <si>
    <t>Capitalization ratio</t>
  </si>
  <si>
    <t>NOA/CSE</t>
  </si>
  <si>
    <t>Growth rate in sales</t>
  </si>
  <si>
    <t>Growth rate in operating income</t>
  </si>
  <si>
    <t>Growth in NOA</t>
  </si>
  <si>
    <t>Growth in CSE</t>
  </si>
  <si>
    <t>Change in sales / Prior period's sales</t>
  </si>
  <si>
    <t>Change in OI after tax / Prior period's OI</t>
  </si>
  <si>
    <t>Change in NOA / Beginning NOA</t>
  </si>
  <si>
    <t>Method 1:</t>
  </si>
  <si>
    <t>C - I = OI - change in NOA</t>
  </si>
  <si>
    <t>Free cash flow</t>
  </si>
  <si>
    <t>Method 2:</t>
  </si>
  <si>
    <t>C - I = NFE - change in NFO + d</t>
  </si>
  <si>
    <t>Total financial liabilities</t>
  </si>
  <si>
    <t>Total other operating income (expense)</t>
  </si>
  <si>
    <t>A systematic analysis of profitability</t>
  </si>
  <si>
    <t>ROOA</t>
  </si>
  <si>
    <t>OLSPREAD</t>
  </si>
  <si>
    <t>Formula</t>
  </si>
  <si>
    <t>Return on Common Equity</t>
  </si>
  <si>
    <t>Growth in Common Shareholders' Equity</t>
  </si>
  <si>
    <t>Return on Operating Assets</t>
  </si>
  <si>
    <t>Return on Net Operating Assets</t>
  </si>
  <si>
    <t>Net Borrowing Cost</t>
  </si>
  <si>
    <t>PM</t>
  </si>
  <si>
    <t>OLLEV</t>
  </si>
  <si>
    <t>1) Classify GAAP assets and liabilities accounts into 4 categories: OA, FA, OL, FL</t>
  </si>
  <si>
    <t>2) Regroup accounts under NOA (OA, OL) and NFA (FA, FL)</t>
  </si>
  <si>
    <t>3) Refer to comments in the NIKE example to make adjustments for specific accounts</t>
  </si>
  <si>
    <t>4) Bring "other comprehensive income" from the Statement of Shareholders' Equity. Most of them go under non-core operating activities. No need to account for tax for these since they are after-tax basis</t>
  </si>
  <si>
    <t>2) Read footnotes carefully for income and expense items to find any non-core activities incorrectly classified under core activities</t>
  </si>
  <si>
    <t>1) Reclassify GAAP income and expense items into core operating, non-core operating, and financial activities</t>
  </si>
  <si>
    <t>3) Account for tax effects in reclassifying incomes and expense items to make them after-tax basis</t>
  </si>
  <si>
    <t>5. Reformulation Checks</t>
  </si>
  <si>
    <t>No need to make major adjustments. Derive Free Cash Flow under two different methods.</t>
  </si>
  <si>
    <t>Prior earnings restatement</t>
  </si>
  <si>
    <t>Reclassification to net income of previously deferred gains related to hedge derivatives</t>
  </si>
  <si>
    <t>Adoption of FAS 158</t>
  </si>
  <si>
    <t xml:space="preserve">Stock-based compensation </t>
  </si>
  <si>
    <t xml:space="preserve">Realized foreign currency translation gain due to divestiture </t>
  </si>
  <si>
    <t xml:space="preserve">Net loss on cash flow hedges </t>
  </si>
  <si>
    <t xml:space="preserve">   Net loss on net investment hedges </t>
  </si>
  <si>
    <t xml:space="preserve">Adoption of FIN 48 </t>
  </si>
  <si>
    <t xml:space="preserve">Adoption of EITF 06-2 Sabbaticals </t>
  </si>
  <si>
    <t>Operating Liability Leverage</t>
  </si>
  <si>
    <t>FLEV</t>
  </si>
  <si>
    <t>Financial Liability Leverage</t>
  </si>
  <si>
    <t>Operating Liability Leverage Spread</t>
  </si>
  <si>
    <t>ATO</t>
  </si>
  <si>
    <t>Asset Turnover</t>
  </si>
  <si>
    <t>ROOA - Short-term Borrowing Rate (after tax)</t>
  </si>
  <si>
    <t>Sales / NOA</t>
  </si>
  <si>
    <t>First level breakdown</t>
  </si>
  <si>
    <t>Summary measure</t>
  </si>
  <si>
    <t>RNOA+[FLEV*(RNOA-NBC)]</t>
  </si>
  <si>
    <t>Short-term borrowing rate (after tax)</t>
  </si>
  <si>
    <t>SPREAD</t>
  </si>
  <si>
    <t>RNOA-NBC</t>
  </si>
  <si>
    <r>
      <t>(NFO</t>
    </r>
    <r>
      <rPr>
        <vertAlign val="subscript"/>
        <sz val="10"/>
        <rFont val="Arial"/>
        <family val="2"/>
      </rPr>
      <t>t</t>
    </r>
    <r>
      <rPr>
        <sz val="10"/>
        <rFont val="Arial"/>
      </rPr>
      <t>+NFO</t>
    </r>
    <r>
      <rPr>
        <vertAlign val="subscript"/>
        <sz val="10"/>
        <rFont val="Arial"/>
        <family val="2"/>
      </rPr>
      <t>t-1</t>
    </r>
    <r>
      <rPr>
        <sz val="10"/>
        <rFont val="Arial"/>
      </rPr>
      <t>)/(CSE</t>
    </r>
    <r>
      <rPr>
        <vertAlign val="subscript"/>
        <sz val="10"/>
        <rFont val="Arial"/>
        <family val="2"/>
      </rPr>
      <t>t</t>
    </r>
    <r>
      <rPr>
        <sz val="10"/>
        <rFont val="Arial"/>
      </rPr>
      <t>+CSE</t>
    </r>
    <r>
      <rPr>
        <vertAlign val="subscript"/>
        <sz val="10"/>
        <rFont val="Arial"/>
        <family val="2"/>
      </rPr>
      <t>t-1</t>
    </r>
    <r>
      <rPr>
        <sz val="10"/>
        <rFont val="Arial"/>
      </rPr>
      <t>)</t>
    </r>
  </si>
  <si>
    <t>ROOA+(OLLEV*OLSPREAD)</t>
  </si>
  <si>
    <r>
      <t>(Operating income after tax + Implicit Interest after tax)/ [(OA</t>
    </r>
    <r>
      <rPr>
        <vertAlign val="subscript"/>
        <sz val="10"/>
        <rFont val="Arial"/>
        <family val="2"/>
      </rPr>
      <t>t</t>
    </r>
    <r>
      <rPr>
        <sz val="10"/>
        <rFont val="Arial"/>
      </rPr>
      <t>+OA</t>
    </r>
    <r>
      <rPr>
        <vertAlign val="subscript"/>
        <sz val="10"/>
        <rFont val="Arial"/>
        <family val="2"/>
      </rPr>
      <t>t-1</t>
    </r>
    <r>
      <rPr>
        <sz val="10"/>
        <rFont val="Arial"/>
      </rPr>
      <t>)/2]</t>
    </r>
  </si>
  <si>
    <t>Implicit interest on operating liabilities after tax</t>
  </si>
  <si>
    <t>Second level breakdown</t>
  </si>
  <si>
    <t>ATO = Sales / NOA</t>
  </si>
  <si>
    <t>PM = OI / Sales</t>
  </si>
  <si>
    <t>Financial Statement Analysis and Security Valuation (Fourth Edition)</t>
  </si>
  <si>
    <t>Financial Statement Analysis and Valuation (Fourth Edition)</t>
  </si>
  <si>
    <t xml:space="preserve">Financial Statement Analysis and Security Valuation (Fourth Edition) </t>
  </si>
  <si>
    <t>Stephen Penmabn 2010</t>
  </si>
  <si>
    <t>See text, Chapter 10, for similar calcualtions for 2008</t>
  </si>
  <si>
    <t>See Chatpter 11 for 2008 analysis</t>
  </si>
  <si>
    <t>Financial Statement Analysis and Security Valuation (Foruth Edition)</t>
  </si>
  <si>
    <t>rish-free rate (10-year Treasury rate)</t>
  </si>
  <si>
    <t>(Get borrowing rate from debt footnote (5%) and convert to after-tax basis (3.2%))</t>
  </si>
  <si>
    <t>Valuation done at the end of 2004 fiscal year. For 2008 valuation, see text in Chapters 14 and 15)</t>
  </si>
  <si>
    <t>Third level breakdown</t>
  </si>
  <si>
    <t>individual revenue and expense ratios - seen from common size analysis</t>
  </si>
  <si>
    <t>A systematic analysis of growth</t>
  </si>
  <si>
    <t>Residual earnings</t>
  </si>
  <si>
    <t>Change in residual earnings =</t>
  </si>
  <si>
    <t>change due to change in ROCE over cost of equity +</t>
  </si>
  <si>
    <t>Change due to change in common equity</t>
  </si>
  <si>
    <t>Revenue growth rate</t>
  </si>
  <si>
    <t>-</t>
  </si>
  <si>
    <t>Growth in comprehensive income</t>
  </si>
  <si>
    <t>Analysis of change in RNOA</t>
  </si>
  <si>
    <t>Level 1:  Distinguish core and unusual components of RNOA</t>
  </si>
  <si>
    <t xml:space="preserve">RNOA = </t>
  </si>
  <si>
    <t>Core OI / NOA +</t>
  </si>
  <si>
    <t>UI / NOA</t>
  </si>
  <si>
    <t xml:space="preserve">Level 2:  </t>
  </si>
  <si>
    <t>Analysis of change in financing</t>
  </si>
  <si>
    <t xml:space="preserve">Level 1: </t>
  </si>
  <si>
    <t>Change in financing</t>
  </si>
  <si>
    <t>Change in SPREAD</t>
  </si>
  <si>
    <t>Change in FLEV</t>
  </si>
  <si>
    <t>Change in Core NBC</t>
  </si>
  <si>
    <t>Unusual financing items</t>
  </si>
  <si>
    <t>A systematic analysis of the change in ROCE</t>
  </si>
  <si>
    <t>A systematic analysis of the change in investment (CSE)</t>
  </si>
  <si>
    <t>Change in CSE =</t>
  </si>
  <si>
    <t xml:space="preserve">Change in NOA - </t>
  </si>
  <si>
    <t>Change in NFO</t>
  </si>
  <si>
    <t xml:space="preserve">NOA = </t>
  </si>
  <si>
    <t>Sales / ATO</t>
  </si>
  <si>
    <t>Net income component</t>
  </si>
  <si>
    <t>Book value component</t>
  </si>
  <si>
    <t>Residual earnings components</t>
  </si>
  <si>
    <t>Operating income</t>
  </si>
  <si>
    <t>Operating income (OI)</t>
  </si>
  <si>
    <t>Earnings</t>
  </si>
  <si>
    <t>Net operating assets (NOA)</t>
  </si>
  <si>
    <t>Net financial obligations (NFO)</t>
  </si>
  <si>
    <t>Common stockholders' equity (CSE)</t>
  </si>
  <si>
    <r>
      <t>Residual operating income:  OI</t>
    </r>
    <r>
      <rPr>
        <vertAlign val="subscript"/>
        <sz val="10"/>
        <rFont val="Arial"/>
        <family val="2"/>
      </rPr>
      <t>t</t>
    </r>
    <r>
      <rPr>
        <sz val="10"/>
        <rFont val="Arial"/>
      </rPr>
      <t xml:space="preserve"> - (k</t>
    </r>
    <r>
      <rPr>
        <vertAlign val="subscript"/>
        <sz val="10"/>
        <rFont val="Arial"/>
        <family val="2"/>
      </rPr>
      <t>F</t>
    </r>
    <r>
      <rPr>
        <sz val="10"/>
        <rFont val="Arial"/>
      </rPr>
      <t>-1)*NOA</t>
    </r>
    <r>
      <rPr>
        <vertAlign val="subscript"/>
        <sz val="10"/>
        <rFont val="Arial"/>
        <family val="2"/>
      </rPr>
      <t>t-1</t>
    </r>
  </si>
  <si>
    <r>
      <t>Residual net financial expense: NFE</t>
    </r>
    <r>
      <rPr>
        <vertAlign val="subscript"/>
        <sz val="10"/>
        <rFont val="Arial"/>
        <family val="2"/>
      </rPr>
      <t>t</t>
    </r>
    <r>
      <rPr>
        <sz val="10"/>
        <rFont val="Arial"/>
      </rPr>
      <t xml:space="preserve"> - (k</t>
    </r>
    <r>
      <rPr>
        <vertAlign val="subscript"/>
        <sz val="10"/>
        <rFont val="Arial"/>
        <family val="2"/>
      </rPr>
      <t>D</t>
    </r>
    <r>
      <rPr>
        <sz val="10"/>
        <rFont val="Arial"/>
      </rPr>
      <t>-1)NFO</t>
    </r>
    <r>
      <rPr>
        <vertAlign val="subscript"/>
        <sz val="10"/>
        <rFont val="Arial"/>
        <family val="2"/>
      </rPr>
      <t>t-1</t>
    </r>
  </si>
  <si>
    <r>
      <t>Residual earnings: Earn</t>
    </r>
    <r>
      <rPr>
        <vertAlign val="subscript"/>
        <sz val="10"/>
        <rFont val="Arial"/>
        <family val="2"/>
      </rPr>
      <t>t</t>
    </r>
    <r>
      <rPr>
        <sz val="10"/>
        <rFont val="Arial"/>
      </rPr>
      <t>-(k</t>
    </r>
    <r>
      <rPr>
        <vertAlign val="subscript"/>
        <sz val="10"/>
        <rFont val="Arial"/>
        <family val="2"/>
      </rPr>
      <t>E</t>
    </r>
    <r>
      <rPr>
        <sz val="10"/>
        <rFont val="Arial"/>
      </rPr>
      <t>-1)*CSE</t>
    </r>
    <r>
      <rPr>
        <vertAlign val="subscript"/>
        <sz val="10"/>
        <rFont val="Arial"/>
        <family val="2"/>
      </rPr>
      <t>t-1</t>
    </r>
  </si>
  <si>
    <t>Value of operations =</t>
  </si>
  <si>
    <t>Net operating assets +</t>
  </si>
  <si>
    <t>Present value of expected residual operating income</t>
  </si>
  <si>
    <t>Value of common equity =</t>
  </si>
  <si>
    <t>Book value of common equity +</t>
  </si>
  <si>
    <t>Value of common equity +</t>
  </si>
  <si>
    <t>Value of net financial obligations</t>
  </si>
  <si>
    <t>2005E</t>
  </si>
  <si>
    <t>PV of CV</t>
  </si>
  <si>
    <t>Value per share</t>
  </si>
  <si>
    <t>Value of common equity</t>
  </si>
  <si>
    <t>Cost of capital for debt</t>
  </si>
  <si>
    <t>Cost of capital for equity</t>
  </si>
  <si>
    <t>Cost of operations</t>
  </si>
  <si>
    <t>Denoted as</t>
  </si>
  <si>
    <r>
      <t>k</t>
    </r>
    <r>
      <rPr>
        <vertAlign val="subscript"/>
        <sz val="10"/>
        <rFont val="Arial"/>
        <family val="2"/>
      </rPr>
      <t>E</t>
    </r>
  </si>
  <si>
    <r>
      <t>k</t>
    </r>
    <r>
      <rPr>
        <vertAlign val="subscript"/>
        <sz val="10"/>
        <rFont val="Arial"/>
        <family val="2"/>
      </rPr>
      <t>D</t>
    </r>
  </si>
  <si>
    <r>
      <t>k</t>
    </r>
    <r>
      <rPr>
        <vertAlign val="subscript"/>
        <sz val="10"/>
        <rFont val="Arial"/>
        <family val="2"/>
      </rPr>
      <t>F</t>
    </r>
  </si>
  <si>
    <r>
      <t>k</t>
    </r>
    <r>
      <rPr>
        <vertAlign val="subscript"/>
        <sz val="10"/>
        <rFont val="Arial"/>
        <family val="2"/>
      </rPr>
      <t>E</t>
    </r>
    <r>
      <rPr>
        <sz val="10"/>
        <rFont val="Arial"/>
      </rPr>
      <t>*V</t>
    </r>
    <r>
      <rPr>
        <vertAlign val="subscript"/>
        <sz val="10"/>
        <rFont val="Arial"/>
        <family val="2"/>
      </rPr>
      <t>E</t>
    </r>
    <r>
      <rPr>
        <sz val="10"/>
        <rFont val="Arial"/>
      </rPr>
      <t>/V</t>
    </r>
    <r>
      <rPr>
        <vertAlign val="subscript"/>
        <sz val="10"/>
        <rFont val="Arial"/>
        <family val="2"/>
      </rPr>
      <t>F</t>
    </r>
    <r>
      <rPr>
        <sz val="10"/>
        <rFont val="Arial"/>
      </rPr>
      <t xml:space="preserve"> + k</t>
    </r>
    <r>
      <rPr>
        <vertAlign val="subscript"/>
        <sz val="10"/>
        <rFont val="Arial"/>
        <family val="2"/>
      </rPr>
      <t>D</t>
    </r>
    <r>
      <rPr>
        <sz val="10"/>
        <rFont val="Arial"/>
      </rPr>
      <t>*V</t>
    </r>
    <r>
      <rPr>
        <vertAlign val="subscript"/>
        <sz val="10"/>
        <rFont val="Arial"/>
        <family val="2"/>
      </rPr>
      <t>D</t>
    </r>
    <r>
      <rPr>
        <sz val="10"/>
        <rFont val="Arial"/>
      </rPr>
      <t>/V</t>
    </r>
    <r>
      <rPr>
        <vertAlign val="subscript"/>
        <sz val="10"/>
        <rFont val="Arial"/>
        <family val="2"/>
      </rPr>
      <t>F</t>
    </r>
  </si>
  <si>
    <t>riskfree rate (T-bill rate)</t>
  </si>
  <si>
    <t>Beta</t>
  </si>
  <si>
    <t>For Nike in 2000</t>
  </si>
  <si>
    <t>Market risk premium (rm-rf)</t>
  </si>
  <si>
    <t>Market value of debt</t>
  </si>
  <si>
    <t>Market value of the firm</t>
  </si>
  <si>
    <t>Discount rates</t>
  </si>
  <si>
    <t>SF1 Forecasts: Forecasts from book values</t>
  </si>
  <si>
    <t>SF1 always forecasts future residual earnings for the relevant component will be zero.</t>
  </si>
  <si>
    <t>Operating</t>
  </si>
  <si>
    <t>Financing</t>
  </si>
  <si>
    <t>Value of common equity = Book value of common equity</t>
  </si>
  <si>
    <t>Using SF1, we have the following relation because all future residual earnings equal zero:</t>
  </si>
  <si>
    <t>SF2 Forecasts: Forecasts from earnings and book values</t>
  </si>
  <si>
    <t>Sensitivity analysis and scenario planning (as in Chapters 14, 15, and 18)</t>
  </si>
  <si>
    <t>Once you have followed the roadmap here, think of adding your own bells and whistles.  You can customize the tool for particular industries.  You can add a quality of earnings analysis (as in Chapter 17).  You can utilize spreadsheets features for scenario planning and risk analysis (as in Chapter 18).  And you can add a credit analysis (as in Chapter 19).</t>
  </si>
  <si>
    <t>2. 10k Wizard at http://www.10kwizard.com;</t>
  </si>
  <si>
    <t>3. Edgar Online at http://www.sec.gov/edgar/searchedgar/companysearch.html</t>
  </si>
  <si>
    <t>BALANCE AT MAY 31, 2005</t>
  </si>
  <si>
    <t>BALANCE AT MAY 31, 2006</t>
  </si>
  <si>
    <t>BALANCE AT MAY 31, 2007</t>
  </si>
  <si>
    <t>BALANCE AT MAY 31, 2008</t>
  </si>
  <si>
    <t>1) Restate beginning and ending balances for items incorrectly included in or excluded from common equity</t>
  </si>
  <si>
    <t xml:space="preserve">    (pre-2006) "unearned stock compensation"</t>
  </si>
  <si>
    <t xml:space="preserve">    (post-2006) "stock-based compensation"</t>
  </si>
  <si>
    <t>2) Calculate net transactions with shareholders</t>
  </si>
  <si>
    <t xml:space="preserve">   (Cash dividends = dividends declared - change in dividends payable)</t>
  </si>
  <si>
    <t>3) Calculate comprehensive income</t>
  </si>
  <si>
    <t>= Net income +"other comprehensive income"</t>
  </si>
  <si>
    <t>-Preferred dividends</t>
  </si>
  <si>
    <t>-Earnings from accounting changes</t>
  </si>
  <si>
    <t>-Hidden dirty-surplus losses</t>
  </si>
  <si>
    <t>+Dividends payable (take out from "accrued liabilities" in B/S and include in SE)</t>
  </si>
  <si>
    <t>-Equity from stock compensation (take out from SE and include in prepaid expenses (pre-2006) or "other liabilities" (post-2006))</t>
  </si>
  <si>
    <t>= Cash dividends +share repurchases - share issues</t>
  </si>
  <si>
    <t>Stock-based compensation</t>
  </si>
  <si>
    <t>Balance at May 31, 2005</t>
  </si>
  <si>
    <t>Maturities of short-term investments</t>
  </si>
  <si>
    <t>All these websites allow searches for companies using either company name or its ticker.  You can then select the reports you need.  Most of the time, you need the annual 10K reports that contain annual financial statements.  You can find the financial statements within the annual 10K reports and will see instructions on how to extract them into Excel files.  As each annual report contains financial statements for the year and one or two years before, you will need to go back to another annual reports of the company to get financial statements for a longer period.  Individual spreadsheet files can then be merged into the format you like.</t>
  </si>
  <si>
    <t>Forecasting earnings and its components by forecasting that earnings will be the same as in the current year, adjusted for changes in the balance sheet earning at the required return.</t>
  </si>
  <si>
    <t>Net financial expense</t>
  </si>
  <si>
    <t>SF2 is equivalent to assuming all future residual earnings are the same as in the current year.</t>
  </si>
  <si>
    <t>Nike, Inc.</t>
  </si>
  <si>
    <t>Required return for operations</t>
  </si>
  <si>
    <t>Value of operations</t>
  </si>
  <si>
    <t>SF2 Valuations of Nike</t>
  </si>
  <si>
    <t>in millions except for per share data</t>
  </si>
  <si>
    <t>SF3 Forecasts: Forecasting from accounting rates of return</t>
  </si>
  <si>
    <t>Forecast of earnings component: Forecast earnings and its components by forecasting that the relevant balance sheet component will earn at the current profitability</t>
  </si>
  <si>
    <t>Cost of capital for operations</t>
  </si>
  <si>
    <t>Common size analysis of income statements</t>
  </si>
  <si>
    <t xml:space="preserve">Nike Inc. </t>
  </si>
  <si>
    <t>Trend analysis of income statements</t>
  </si>
  <si>
    <t>NIKE Inc.</t>
  </si>
  <si>
    <t>Common size analysis of balance sheets</t>
  </si>
  <si>
    <t>As percentage of CSE:</t>
  </si>
  <si>
    <t>Common size and trend analysis</t>
  </si>
  <si>
    <t>Forecasts of key income statement ratios</t>
  </si>
  <si>
    <t>SG&amp;A expense ratio</t>
  </si>
  <si>
    <t>Tax rate</t>
  </si>
  <si>
    <t>Sales growth</t>
  </si>
  <si>
    <t>Forecasts of turnover</t>
  </si>
  <si>
    <t>Accounts receivable turnover</t>
  </si>
  <si>
    <t>Inventory turnover</t>
  </si>
  <si>
    <t>PPE turnover</t>
  </si>
  <si>
    <t>Other NOA/Sales</t>
  </si>
  <si>
    <t>Pro forma financial statements</t>
  </si>
  <si>
    <t>Income statement</t>
  </si>
  <si>
    <t>Sales</t>
  </si>
  <si>
    <t>Core operating income before tax</t>
  </si>
  <si>
    <t>Taxes</t>
  </si>
  <si>
    <t>Core operating income after tax</t>
  </si>
  <si>
    <t>Balance sheet</t>
  </si>
  <si>
    <t>Account receivable</t>
  </si>
  <si>
    <t>Inventory</t>
  </si>
  <si>
    <t xml:space="preserve">        </t>
  </si>
  <si>
    <t>-Preferred stock (take out from SE and include in "financial liabilities" in B/S).</t>
  </si>
  <si>
    <t xml:space="preserve">Note: After 2008, you may see Minority Interest as part of sharholders' equity. This should be taken out of shareholder's equity and put on the balance sheet below liabilities. </t>
  </si>
  <si>
    <t xml:space="preserve">of the equity statement and placed in the balance sheet between net financial obligations and common </t>
  </si>
  <si>
    <t xml:space="preserve">shareholder's equity. It is another equity claim (in a subsidiary), but not common equity. </t>
  </si>
  <si>
    <t xml:space="preserve">Link accounts from four statements to ensure that numbers are reconciled according to the equations in Chapter 7. </t>
  </si>
  <si>
    <t>Chapter 7.</t>
  </si>
  <si>
    <t>Property, plant and equipment</t>
  </si>
  <si>
    <t>Other NOA</t>
  </si>
  <si>
    <t>Change in NOA</t>
  </si>
  <si>
    <t>Growth in ReOI</t>
  </si>
  <si>
    <t>NFO</t>
  </si>
  <si>
    <t>Total operating expenses (SG&amp;A)</t>
  </si>
  <si>
    <t>Other income (expense)</t>
  </si>
  <si>
    <t>Number of shares outstanding</t>
  </si>
  <si>
    <t>ROA</t>
  </si>
  <si>
    <t>Return on Assets</t>
  </si>
  <si>
    <t>[Net income+Interest Expense (after tax)]/Average total assets</t>
  </si>
  <si>
    <t>RNOA = PM*ATO</t>
  </si>
  <si>
    <t>NOA</t>
  </si>
  <si>
    <t>NIKE Inc. Summary information from balance sheets and income statements</t>
  </si>
  <si>
    <r>
      <t>[ROCE</t>
    </r>
    <r>
      <rPr>
        <vertAlign val="subscript"/>
        <sz val="10"/>
        <rFont val="Arial"/>
        <family val="2"/>
      </rPr>
      <t>t</t>
    </r>
    <r>
      <rPr>
        <sz val="10"/>
        <rFont val="Arial"/>
      </rPr>
      <t xml:space="preserve"> - Cost of Equity Capital</t>
    </r>
    <r>
      <rPr>
        <vertAlign val="subscript"/>
        <sz val="10"/>
        <rFont val="Arial"/>
        <family val="2"/>
      </rPr>
      <t>t</t>
    </r>
    <r>
      <rPr>
        <sz val="10"/>
        <rFont val="Arial"/>
      </rPr>
      <t>]*CSE</t>
    </r>
    <r>
      <rPr>
        <vertAlign val="subscript"/>
        <sz val="10"/>
        <rFont val="Arial"/>
        <family val="2"/>
      </rPr>
      <t>t</t>
    </r>
  </si>
  <si>
    <t xml:space="preserve">Change in RNOA = </t>
  </si>
  <si>
    <t>Change in core sales PM at previous asset turnover level +</t>
  </si>
  <si>
    <t>Change due to change in asset turnover +</t>
  </si>
  <si>
    <t>Change due to change in other core income +</t>
  </si>
  <si>
    <t>Change due to change in unusual items</t>
  </si>
  <si>
    <t>Core sales PM</t>
  </si>
  <si>
    <t>Analysis of changes in ROCE</t>
  </si>
  <si>
    <t>Change in ROCE =</t>
  </si>
  <si>
    <t>Change due to change in financial leverage</t>
  </si>
  <si>
    <t>Change due to change in sales at previous level of asset turnover +</t>
  </si>
  <si>
    <t>Change in financial leverage</t>
  </si>
  <si>
    <r>
      <t>(Change in Sales / ATO</t>
    </r>
    <r>
      <rPr>
        <vertAlign val="subscript"/>
        <sz val="10"/>
        <rFont val="Arial"/>
        <family val="2"/>
      </rPr>
      <t>t-1)</t>
    </r>
  </si>
  <si>
    <r>
      <t>(Sales*(change in 1/ATO</t>
    </r>
    <r>
      <rPr>
        <vertAlign val="subscript"/>
        <sz val="10"/>
        <rFont val="Arial"/>
        <family val="2"/>
      </rPr>
      <t>t</t>
    </r>
    <r>
      <rPr>
        <sz val="10"/>
        <rFont val="Arial"/>
      </rPr>
      <t>))</t>
    </r>
  </si>
  <si>
    <r>
      <t>OI</t>
    </r>
    <r>
      <rPr>
        <vertAlign val="subscript"/>
        <sz val="10"/>
        <rFont val="Arial"/>
        <family val="2"/>
      </rPr>
      <t>1</t>
    </r>
    <r>
      <rPr>
        <sz val="10"/>
        <rFont val="Arial"/>
      </rPr>
      <t xml:space="preserve"> = k</t>
    </r>
    <r>
      <rPr>
        <vertAlign val="subscript"/>
        <sz val="10"/>
        <rFont val="Arial"/>
        <family val="2"/>
      </rPr>
      <t>F</t>
    </r>
    <r>
      <rPr>
        <sz val="10"/>
        <rFont val="Arial"/>
      </rPr>
      <t>*NOA</t>
    </r>
    <r>
      <rPr>
        <vertAlign val="subscript"/>
        <sz val="10"/>
        <rFont val="Arial"/>
        <family val="2"/>
      </rPr>
      <t>0</t>
    </r>
  </si>
  <si>
    <r>
      <t>NFE</t>
    </r>
    <r>
      <rPr>
        <vertAlign val="subscript"/>
        <sz val="10"/>
        <rFont val="Arial"/>
        <family val="2"/>
      </rPr>
      <t>1</t>
    </r>
    <r>
      <rPr>
        <sz val="10"/>
        <rFont val="Arial"/>
      </rPr>
      <t xml:space="preserve"> = k</t>
    </r>
    <r>
      <rPr>
        <vertAlign val="subscript"/>
        <sz val="10"/>
        <rFont val="Arial"/>
        <family val="2"/>
      </rPr>
      <t>D</t>
    </r>
    <r>
      <rPr>
        <sz val="10"/>
        <rFont val="Arial"/>
      </rPr>
      <t>*NFO</t>
    </r>
    <r>
      <rPr>
        <vertAlign val="subscript"/>
        <sz val="10"/>
        <rFont val="Arial"/>
        <family val="2"/>
      </rPr>
      <t>0</t>
    </r>
  </si>
  <si>
    <r>
      <t>Earn</t>
    </r>
    <r>
      <rPr>
        <vertAlign val="subscript"/>
        <sz val="10"/>
        <rFont val="Arial"/>
        <family val="2"/>
      </rPr>
      <t>1</t>
    </r>
    <r>
      <rPr>
        <sz val="10"/>
        <rFont val="Arial"/>
      </rPr>
      <t xml:space="preserve"> = k</t>
    </r>
    <r>
      <rPr>
        <vertAlign val="subscript"/>
        <sz val="10"/>
        <rFont val="Arial"/>
        <family val="2"/>
      </rPr>
      <t>E</t>
    </r>
    <r>
      <rPr>
        <sz val="10"/>
        <rFont val="Arial"/>
      </rPr>
      <t>*CSE</t>
    </r>
    <r>
      <rPr>
        <vertAlign val="subscript"/>
        <sz val="10"/>
        <rFont val="Arial"/>
        <family val="2"/>
      </rPr>
      <t>0</t>
    </r>
  </si>
  <si>
    <r>
      <t>OI</t>
    </r>
    <r>
      <rPr>
        <vertAlign val="subscript"/>
        <sz val="10"/>
        <rFont val="Arial"/>
        <family val="2"/>
      </rPr>
      <t>1</t>
    </r>
    <r>
      <rPr>
        <sz val="10"/>
        <rFont val="Arial"/>
      </rPr>
      <t xml:space="preserve"> = RNOA</t>
    </r>
    <r>
      <rPr>
        <vertAlign val="subscript"/>
        <sz val="10"/>
        <rFont val="Arial"/>
        <family val="2"/>
      </rPr>
      <t>0</t>
    </r>
    <r>
      <rPr>
        <sz val="10"/>
        <rFont val="Arial"/>
      </rPr>
      <t>*NOA</t>
    </r>
    <r>
      <rPr>
        <vertAlign val="subscript"/>
        <sz val="10"/>
        <rFont val="Arial"/>
        <family val="2"/>
      </rPr>
      <t>0</t>
    </r>
  </si>
  <si>
    <r>
      <t>NFE</t>
    </r>
    <r>
      <rPr>
        <vertAlign val="subscript"/>
        <sz val="10"/>
        <rFont val="Arial"/>
        <family val="2"/>
      </rPr>
      <t>1</t>
    </r>
    <r>
      <rPr>
        <sz val="10"/>
        <rFont val="Arial"/>
      </rPr>
      <t xml:space="preserve"> = NBC</t>
    </r>
    <r>
      <rPr>
        <vertAlign val="subscript"/>
        <sz val="10"/>
        <rFont val="Arial"/>
        <family val="2"/>
      </rPr>
      <t>0</t>
    </r>
    <r>
      <rPr>
        <sz val="10"/>
        <rFont val="Arial"/>
      </rPr>
      <t>*NFO</t>
    </r>
    <r>
      <rPr>
        <vertAlign val="subscript"/>
        <sz val="10"/>
        <rFont val="Arial"/>
        <family val="2"/>
      </rPr>
      <t>0</t>
    </r>
  </si>
  <si>
    <r>
      <t>Earn</t>
    </r>
    <r>
      <rPr>
        <vertAlign val="subscript"/>
        <sz val="10"/>
        <rFont val="Arial"/>
        <family val="2"/>
      </rPr>
      <t>1</t>
    </r>
    <r>
      <rPr>
        <sz val="10"/>
        <rFont val="Arial"/>
      </rPr>
      <t xml:space="preserve"> = ROCE</t>
    </r>
    <r>
      <rPr>
        <vertAlign val="subscript"/>
        <sz val="10"/>
        <rFont val="Arial"/>
        <family val="2"/>
      </rPr>
      <t>0</t>
    </r>
    <r>
      <rPr>
        <sz val="10"/>
        <rFont val="Arial"/>
      </rPr>
      <t>*CSE</t>
    </r>
    <r>
      <rPr>
        <vertAlign val="subscript"/>
        <sz val="10"/>
        <rFont val="Arial"/>
        <family val="2"/>
      </rPr>
      <t>0</t>
    </r>
  </si>
  <si>
    <t>5.  Bells and whistles</t>
  </si>
  <si>
    <t>3.  Financial statement analysis</t>
  </si>
  <si>
    <t>1.  Download financial statements</t>
  </si>
  <si>
    <t>2.  Reformulate financial statements</t>
  </si>
  <si>
    <t>Income statements</t>
  </si>
  <si>
    <t>Balance sheets</t>
  </si>
  <si>
    <t>Analysis of profitability</t>
  </si>
  <si>
    <t>Analysis of growth</t>
  </si>
  <si>
    <t>Full-information forecasts and valuation</t>
  </si>
  <si>
    <t>Allocate taxes in the income statement to operating and financing activities</t>
  </si>
  <si>
    <t>Introduction</t>
  </si>
  <si>
    <t>Reformulating financial statements (as in Chapters 8-10)</t>
  </si>
  <si>
    <t>Analyzing financial statements (as in Chapters 11-12)</t>
  </si>
  <si>
    <t>Forecasting and valuation (as in Chapters 13-15)</t>
  </si>
  <si>
    <t>Ratios based on reformulated financial statements</t>
  </si>
  <si>
    <t>Use the tool for:</t>
  </si>
  <si>
    <t>The steps:</t>
  </si>
  <si>
    <t>The sections in this primer cover these steps in order.</t>
  </si>
  <si>
    <t>Roadmap to Developing Your Own Financial Statement Analysis and Valuation Product</t>
  </si>
  <si>
    <t>The roadmap: steps for building the product</t>
  </si>
  <si>
    <t>Summary of reformulation steps</t>
  </si>
  <si>
    <t>1. Statement of Shareholders' Equity</t>
  </si>
  <si>
    <t>2. Balance Sheet</t>
  </si>
  <si>
    <t>3. Income Statement</t>
  </si>
  <si>
    <t>4. Statement of Cash Flows</t>
  </si>
  <si>
    <t>Chapter 7 gives the form of the financial statements you should work with and the accounting relations that tie the various parts of the statements together.  So read this chapter before beginning.</t>
  </si>
  <si>
    <t>Step 1: Download Financial Statements</t>
  </si>
  <si>
    <t>Step 2:  Reformulation</t>
  </si>
  <si>
    <t>Step 3:  Financial Statement Analysis</t>
  </si>
  <si>
    <t>Valuation essentials</t>
  </si>
  <si>
    <t>Step 4: Projection and Valuation</t>
  </si>
  <si>
    <t>Step 5:  Bells and Whistles</t>
  </si>
  <si>
    <t xml:space="preserve">With the financial statements reformulated, analysis can begin.  Ratios are calculated from the reformulated statements in Step 2.  The analysis follows the following order.  First, calculate ratios from the reformulated statements of shareholders' equity.  Second, derive ratios from reformulated income statements and balance sheets.  Then analyze the profitability and growth of the firm.  </t>
  </si>
  <si>
    <t>(Div. + Stock repurchases) / Comprehensive income</t>
  </si>
  <si>
    <t>(Div. + Stock repurchases) / (BV of CSE + Div. + Stock repurchases)</t>
  </si>
  <si>
    <t>Net transactions with shareholders / Beginning BV of CSE</t>
  </si>
  <si>
    <t>Ratios based on reformulated statements of shareholders' equity</t>
  </si>
  <si>
    <t>Dividend payout ratio</t>
  </si>
  <si>
    <t>2006E</t>
  </si>
  <si>
    <t>n/m</t>
  </si>
  <si>
    <t>n/m: not meaningful.</t>
  </si>
  <si>
    <t>Trend analysis of balance sheets</t>
  </si>
  <si>
    <t xml:space="preserve">Total operating expenses </t>
  </si>
  <si>
    <t>* Balance sheet numbers are averages for the year, except those for 1996, which are year-end numbers.</t>
  </si>
  <si>
    <t>Year ended May 31, 1996 as basis for comparison</t>
  </si>
  <si>
    <t>Residual earnings (at cost of equity of 8.50%)</t>
  </si>
  <si>
    <t>Continuing value</t>
  </si>
  <si>
    <t>Option overhang</t>
  </si>
  <si>
    <r>
      <t>NFO/V</t>
    </r>
    <r>
      <rPr>
        <vertAlign val="subscript"/>
        <sz val="10"/>
        <rFont val="Arial"/>
        <family val="2"/>
      </rPr>
      <t>E</t>
    </r>
  </si>
  <si>
    <r>
      <t>NFO/V</t>
    </r>
    <r>
      <rPr>
        <vertAlign val="subscript"/>
        <sz val="10"/>
        <rFont val="Arial"/>
        <family val="2"/>
      </rPr>
      <t>NOA</t>
    </r>
  </si>
  <si>
    <t>Value of Common Equity - adjusted</t>
  </si>
  <si>
    <t>Applying Abnormal Operating Income Growth Model to the full-information forecasting example</t>
  </si>
  <si>
    <t>NFA (NFO)</t>
  </si>
  <si>
    <t>In the Abnormal Operating Income Growth Model, we focus on operating income and treat free cash flows as cash outflows, parallell to dividends at the firm level.  The rest follows through.  Note that this way the final estimate of share value we get is exactly equal to what we get through the Residual Operating Income Model valuation exercise.  That is, the two models are equivalent.</t>
  </si>
  <si>
    <t>You will find that building your own analysis product is very satisfying.  It will help you grasp the concepts behind the analysis, for the concepts come to life as you make them work for you in practice.  And you will discover the points where your understanding is weak.  Off-the-shelf spreadsheet programs that you can use at the press of a button are available but pressing buttons is dangerous if you are not sure about what is going on inside the program.  Better to develop your own model, following sound principles, and so be assured of the integrity of the product.</t>
  </si>
  <si>
    <t>4.  Forecasting and valuation</t>
  </si>
  <si>
    <t>Simple forecasting and valuation</t>
  </si>
  <si>
    <t>Statements of shareholders' equity</t>
  </si>
  <si>
    <t>CLASSIFICATION</t>
  </si>
  <si>
    <t>rf + beta*(rm-rf)</t>
  </si>
  <si>
    <t>Applying required rates of returns to the balance sheet items, we can get pro forma future earnings.</t>
  </si>
  <si>
    <t>Analysis begins with the reformulation of financial statements.  Reformulation readies the statements for analysis within a spreadsheet.  The aim is to:</t>
  </si>
  <si>
    <t>2007E</t>
  </si>
  <si>
    <t>2008E</t>
  </si>
  <si>
    <t>2009E</t>
  </si>
  <si>
    <t>NOA as of 2003</t>
  </si>
  <si>
    <t>Number of Periods for Discounting</t>
  </si>
  <si>
    <t>NOA, 2003</t>
  </si>
  <si>
    <t>NFO, 2003</t>
  </si>
  <si>
    <t>3.3. Common size and trend analysis</t>
  </si>
  <si>
    <t>3.1. Financial Statement Ratios</t>
  </si>
  <si>
    <t>3.3. Analysis of Profitability and Growth</t>
  </si>
  <si>
    <t>Balance at May 31, 2003</t>
  </si>
  <si>
    <t>4.1. Valuation essentials</t>
  </si>
  <si>
    <t>4.2. Simple forecasts and simple valuations</t>
  </si>
  <si>
    <t>4.3. Full-information forecasting: Nike Inc.</t>
  </si>
  <si>
    <t>2.1. Reformulation of the Statement of Shareholders' Equity</t>
  </si>
  <si>
    <t>2.2. Reformulation of Balance Sheets</t>
  </si>
  <si>
    <t>2.3. Reformulation of Income Statements</t>
  </si>
  <si>
    <t>2.4. Reformulation of the Statement of Cash Flows</t>
  </si>
  <si>
    <t>Fourth Edition)</t>
  </si>
  <si>
    <t>In the next section, the reformulated statements of shareholders' equity, balance sheets, income statements, and cash flow statements for Nike Inc. for 1996-2008 are given next to the original statements.  Note the following points on the reformulation:</t>
  </si>
  <si>
    <t>Nike: Calculation of Free Cash Flow Using Reformulated Statements</t>
  </si>
  <si>
    <t>Before beginning, make sure you understand the reformulation template in Chapter 7 of the book.  Chapters 7-10 cover the rules and principles for reformulation.</t>
  </si>
  <si>
    <t>This roadmap leads you through the steps to create a valuation tool.  With this tool you will be able to reformulate financial statements in a spreadsheet program, analyze the financial statements using the techniques in the book, forecast pro forma financial statements, and value firms from those pro forma financial statements.  In the end you will have a valuable tool to carry with you into your professional life and to use for your own personal investing.</t>
  </si>
  <si>
    <t>Start with reformulation of the financial statements within a spreadsheet, following the design in the book.  Then carry out the financial statement analysis to identify the relevant drivers for forecasting.  Next forecast future financial statements and develop a valuation from the forecasts.</t>
  </si>
  <si>
    <t>Statements of cash flows</t>
  </si>
  <si>
    <t>Bring additional information into the statements from footnotes and elsewhere.  The financial statements aggregate a lot of information (particularly the income statements).  Break down the aggregation to give more detail.</t>
  </si>
  <si>
    <t>Distinguish different components of income such as core operating income from sales, other core operating income, and unusual items</t>
  </si>
  <si>
    <t>Net operating assets, 2003</t>
  </si>
  <si>
    <t>SF2 forecast of operating income, 2004</t>
  </si>
  <si>
    <t>SF2 forecast of ReOI, 2004</t>
  </si>
  <si>
    <r>
      <t>v</t>
    </r>
    <r>
      <rPr>
        <vertAlign val="subscript"/>
        <sz val="10"/>
        <rFont val="Arial"/>
        <family val="2"/>
      </rPr>
      <t>NOA</t>
    </r>
    <r>
      <rPr>
        <sz val="10"/>
        <rFont val="Arial"/>
      </rPr>
      <t xml:space="preserve"> = OI</t>
    </r>
    <r>
      <rPr>
        <vertAlign val="subscript"/>
        <sz val="10"/>
        <rFont val="Arial"/>
        <family val="2"/>
      </rPr>
      <t>2004</t>
    </r>
    <r>
      <rPr>
        <sz val="10"/>
        <rFont val="Arial"/>
      </rPr>
      <t>/k</t>
    </r>
    <r>
      <rPr>
        <vertAlign val="subscript"/>
        <sz val="10"/>
        <rFont val="Arial"/>
        <family val="2"/>
      </rPr>
      <t>F</t>
    </r>
  </si>
  <si>
    <t xml:space="preserve">Spreadsheet programs like Excel allows you to use either the simple copy-and-paste method or the formula method to manipulate the financial statements when doing the reformulation.  </t>
  </si>
  <si>
    <t>(c) Some additional expense items have been added to the income statements from the footnotes.</t>
  </si>
  <si>
    <t>(d) Core and unusual operating items have been distinguished in the income statements.</t>
  </si>
  <si>
    <t>(e) The tax allocation in the income statements involves not only allocating taxes between operating and financing activities but also between core operating income and the restructuring charges.  Note that foreign currency translation gains and losses are already after tax.</t>
  </si>
  <si>
    <t>Tax on other operating income</t>
  </si>
  <si>
    <t>Tax on restructuring charge</t>
  </si>
  <si>
    <t>Restructuring charge after tax</t>
  </si>
  <si>
    <t>Marginal tax rate</t>
  </si>
  <si>
    <t>Note:</t>
  </si>
  <si>
    <t>Fiscal year</t>
  </si>
  <si>
    <t>Core operating income (before tax)</t>
  </si>
  <si>
    <t>Core operating income (after tax)</t>
  </si>
  <si>
    <t>Note: Calculations in the Nike example are done using formulas.  To see how the ratios and other numbers are computed, click on the cell and view the underlying formulas (with cell references).</t>
  </si>
  <si>
    <t>Short-term borrowing rate*(1-T)</t>
  </si>
  <si>
    <t>Short-term borrowing rate (after tax) * Operating liabilities</t>
  </si>
  <si>
    <t>SF3 Valuations of Nike Inc.</t>
  </si>
  <si>
    <t>Steps 1-4 set up a basic valuation tool.  You can add additional features:</t>
  </si>
  <si>
    <t xml:space="preserve">     Decrease (increase) in other current assets and income taxes receivable</t>
  </si>
  <si>
    <t xml:space="preserve">  Increase (decrease) in other liabilities</t>
  </si>
  <si>
    <t>Separate operating and financing items in the statements</t>
  </si>
  <si>
    <t>(b) Cash and cash equivalents in the balance sheets are split between a portion for operating needs and investment of excess cash in financial assets</t>
  </si>
  <si>
    <t>Foreign currency translation</t>
  </si>
  <si>
    <t>BALANCE AT MAY 31, 1995</t>
  </si>
  <si>
    <t>Two-for-one Stock Split October 30, 1995</t>
  </si>
  <si>
    <t>Comprehensive Income:</t>
  </si>
  <si>
    <t>Translation of statements of non-U.S. operations</t>
  </si>
  <si>
    <t>BALANCE AT MAY 31, 1996</t>
  </si>
  <si>
    <t>Two-for-one Stock Split October 23, 1996</t>
  </si>
  <si>
    <t>Net income for the month ended May 1996, due to the change in fiscal year-end of certain non-U.S. operations</t>
  </si>
  <si>
    <t>BALANCE AT MAY 31, 1997</t>
  </si>
  <si>
    <t>Conversion to Class B Common Stock</t>
  </si>
  <si>
    <t>Foreign currency translation (net of tax benefit of $3.7)</t>
  </si>
  <si>
    <t>BALANCE AT MAY 31, 1998</t>
  </si>
  <si>
    <t>Foreign currency translation (net of tax benefit of $12.5)</t>
  </si>
  <si>
    <t>Balance at May 31, 1995</t>
  </si>
  <si>
    <t>Balance at May 31, 1996</t>
  </si>
  <si>
    <t>Balance at May 31, 1997</t>
  </si>
  <si>
    <t>Balance at May 31, 1998</t>
  </si>
  <si>
    <t xml:space="preserve">  Short-term investments </t>
  </si>
  <si>
    <t xml:space="preserve">   Short-term investments </t>
  </si>
  <si>
    <t>Common size and trend analysis helps understand the business and how it changes over time.  It is a useful step in financial statement analysis in preparation for full-information forecasting and valuation.</t>
  </si>
  <si>
    <t>Market value of equity*</t>
  </si>
  <si>
    <t>* using Nike market close on Sept. 1, 2000 of $40.875 per share.</t>
  </si>
  <si>
    <t>SF1 valuation applies well to assets at fair value, such as financial assets.  It does not fit the NIKE case.  If all balance sheet items are at market value, the required rate of return on prior common shareholders' equity forecasts future comprehensive income.</t>
  </si>
  <si>
    <t>For Nike 2003</t>
  </si>
  <si>
    <r>
      <t>v</t>
    </r>
    <r>
      <rPr>
        <vertAlign val="subscript"/>
        <sz val="10"/>
        <rFont val="Arial"/>
        <family val="2"/>
      </rPr>
      <t>NOA</t>
    </r>
    <r>
      <rPr>
        <sz val="10"/>
        <rFont val="Arial"/>
      </rPr>
      <t xml:space="preserve"> = NOA + ReOI/k</t>
    </r>
    <r>
      <rPr>
        <vertAlign val="subscript"/>
        <sz val="10"/>
        <rFont val="Arial"/>
        <family val="2"/>
      </rPr>
      <t>F</t>
    </r>
  </si>
  <si>
    <r>
      <t>v</t>
    </r>
    <r>
      <rPr>
        <vertAlign val="subscript"/>
        <sz val="10"/>
        <rFont val="Arial"/>
        <family val="2"/>
      </rPr>
      <t>NOA</t>
    </r>
    <r>
      <rPr>
        <sz val="10"/>
        <rFont val="Arial"/>
      </rPr>
      <t xml:space="preserve"> = v</t>
    </r>
    <r>
      <rPr>
        <vertAlign val="subscript"/>
        <sz val="10"/>
        <rFont val="Arial"/>
        <family val="2"/>
      </rPr>
      <t>E</t>
    </r>
    <r>
      <rPr>
        <sz val="10"/>
        <rFont val="Arial"/>
      </rPr>
      <t xml:space="preserve"> + NFO</t>
    </r>
  </si>
  <si>
    <r>
      <t>v</t>
    </r>
    <r>
      <rPr>
        <vertAlign val="subscript"/>
        <sz val="10"/>
        <rFont val="Arial"/>
        <family val="2"/>
      </rPr>
      <t>NOA</t>
    </r>
    <r>
      <rPr>
        <sz val="10"/>
        <rFont val="Arial"/>
      </rPr>
      <t xml:space="preserve"> = NOA + ReOI</t>
    </r>
    <r>
      <rPr>
        <vertAlign val="subscript"/>
        <sz val="10"/>
        <rFont val="Arial"/>
        <family val="2"/>
      </rPr>
      <t>1</t>
    </r>
    <r>
      <rPr>
        <sz val="10"/>
        <rFont val="Arial"/>
      </rPr>
      <t>/(k</t>
    </r>
    <r>
      <rPr>
        <vertAlign val="subscript"/>
        <sz val="10"/>
        <rFont val="Arial"/>
        <family val="2"/>
      </rPr>
      <t>F</t>
    </r>
    <r>
      <rPr>
        <sz val="10"/>
        <rFont val="Arial"/>
      </rPr>
      <t>-g)</t>
    </r>
  </si>
  <si>
    <r>
      <t>v</t>
    </r>
    <r>
      <rPr>
        <vertAlign val="subscript"/>
        <sz val="10"/>
        <rFont val="Arial"/>
        <family val="2"/>
      </rPr>
      <t>NOA</t>
    </r>
    <r>
      <rPr>
        <sz val="10"/>
        <rFont val="Arial"/>
      </rPr>
      <t xml:space="preserve"> = NOA*(RNOA-g)/(k</t>
    </r>
    <r>
      <rPr>
        <vertAlign val="subscript"/>
        <sz val="10"/>
        <rFont val="Arial"/>
        <family val="2"/>
      </rPr>
      <t>F</t>
    </r>
    <r>
      <rPr>
        <sz val="10"/>
        <rFont val="Arial"/>
      </rPr>
      <t>-g)</t>
    </r>
  </si>
  <si>
    <r>
      <t>v</t>
    </r>
    <r>
      <rPr>
        <vertAlign val="subscript"/>
        <sz val="10"/>
        <rFont val="Arial"/>
        <family val="2"/>
      </rPr>
      <t>E</t>
    </r>
    <r>
      <rPr>
        <sz val="10"/>
        <rFont val="Arial"/>
      </rPr>
      <t xml:space="preserve"> = CSE+ ReOI</t>
    </r>
    <r>
      <rPr>
        <vertAlign val="subscript"/>
        <sz val="10"/>
        <rFont val="Arial"/>
        <family val="2"/>
      </rPr>
      <t>1</t>
    </r>
    <r>
      <rPr>
        <sz val="10"/>
        <rFont val="Arial"/>
      </rPr>
      <t>/(k</t>
    </r>
    <r>
      <rPr>
        <vertAlign val="subscript"/>
        <sz val="10"/>
        <rFont val="Arial"/>
        <family val="2"/>
      </rPr>
      <t>F</t>
    </r>
    <r>
      <rPr>
        <sz val="10"/>
        <rFont val="Arial"/>
      </rPr>
      <t>-g)</t>
    </r>
  </si>
  <si>
    <t>ReOI</t>
  </si>
  <si>
    <t>OI</t>
  </si>
  <si>
    <t>NFE</t>
  </si>
  <si>
    <t>CNI</t>
  </si>
  <si>
    <t>Dividends</t>
  </si>
  <si>
    <t>Dividend Payout Ratio</t>
  </si>
  <si>
    <t>Cost of Operations</t>
  </si>
  <si>
    <t>Cost of Equity</t>
  </si>
  <si>
    <t>RE</t>
  </si>
  <si>
    <t>RE Growth Rate</t>
  </si>
  <si>
    <t>Cum-dividend Earnings</t>
  </si>
  <si>
    <t>BALANCE AT MAY 31, 2003</t>
  </si>
  <si>
    <t>Earnings Growth Rate</t>
  </si>
  <si>
    <t>Cum-dividend Earnings Growth Rate</t>
  </si>
  <si>
    <t>Normal Earnings</t>
  </si>
  <si>
    <t>Abnormal Earnings Growth</t>
  </si>
  <si>
    <t>Abnormal Earnings Growth Rate</t>
  </si>
  <si>
    <t>Free Cash Flow</t>
  </si>
  <si>
    <t>PV of Abnormal Earnings Growth</t>
  </si>
  <si>
    <t>Value of Common Equity</t>
  </si>
  <si>
    <t>Number of Periods to Discount</t>
  </si>
  <si>
    <t>Dividends + NFE - Change in NFO</t>
  </si>
  <si>
    <t>PV of RE</t>
  </si>
  <si>
    <t>PV of ReOI</t>
  </si>
  <si>
    <t>Value of Operations</t>
  </si>
  <si>
    <t>Valuation using RE</t>
  </si>
  <si>
    <t>Valuation using ReOI</t>
  </si>
  <si>
    <t>Number of Shares Outstanding</t>
  </si>
  <si>
    <t>Value Per Share</t>
  </si>
  <si>
    <t>Valuation using Abnormal Earnings Growth</t>
  </si>
  <si>
    <t>Growth Rate of NOA</t>
  </si>
  <si>
    <t>Growth Rate of NFO</t>
  </si>
  <si>
    <t>Growth Rate of CSE</t>
  </si>
  <si>
    <t>BALANCE AT MAY 31, 2004</t>
  </si>
  <si>
    <t>Financial Statement Analysis &amp; Security Valuation (Third Edition)</t>
  </si>
  <si>
    <t>Dividends payable</t>
  </si>
  <si>
    <t>Balance at May 31, 2004</t>
  </si>
  <si>
    <t>Adjustments to equity: A check</t>
  </si>
  <si>
    <t>Adjusted equity balance</t>
  </si>
  <si>
    <t>The US Securities and Exchange Commission's Electronic Data Gathering, Analysis and Retrieval (SEC EDGAR) system provides electronic access to companies' financial reports.  Access a company through EDGAR at http://www.sec.gov/edgar/searchedgar/companysearch.html  Several more intelligent interfaces to the EDGAR database have been developed, which enable the downloading of the individual financial statements directly to a spreadsheet program like Microsoft Excel.  Three of these are:</t>
  </si>
  <si>
    <t>These sites require subscriptions, however.</t>
  </si>
  <si>
    <t>Accounts receivable, less allowance for doubtful accounts</t>
  </si>
  <si>
    <t>Accounts payable - non-interest bearing</t>
  </si>
  <si>
    <t>Accounts payable - interest bearing</t>
  </si>
  <si>
    <t>Goodwill</t>
  </si>
  <si>
    <t xml:space="preserve">Identifiable intangible assets </t>
  </si>
  <si>
    <t>Identifiable intangible assets</t>
  </si>
  <si>
    <t xml:space="preserve">  Income taxes</t>
  </si>
  <si>
    <t xml:space="preserve">   Cost of sales</t>
  </si>
  <si>
    <t xml:space="preserve">Administrative expenses </t>
  </si>
  <si>
    <t xml:space="preserve">Amortization of identifiable intangibles </t>
  </si>
  <si>
    <t>Advertising</t>
  </si>
  <si>
    <t>Other operating income (expense) (net of tax)</t>
  </si>
  <si>
    <t>2.5. Reformulation Checks</t>
  </si>
  <si>
    <t>3.4. Charts</t>
  </si>
  <si>
    <t xml:space="preserve">     Stock-based compensation</t>
  </si>
  <si>
    <t>Proceeds from exercise of options and other stock issuances</t>
  </si>
  <si>
    <t>Excess tax benefits from share-based payment arrangements</t>
  </si>
  <si>
    <t xml:space="preserve">  Proceeds from divesture</t>
  </si>
  <si>
    <t>Stock compensation</t>
  </si>
  <si>
    <t xml:space="preserve">                                                                                                                                                                                                                                                                                                                                                                                                                                                                                                                                                                                                                                                                                                                                                                                                                                                                                                                                                                                                                                                                                                                                                                                                                                                                                                                                                                                                                                                                                                                                                                                                                                                                                                                                                                                                                                                                                                                                                               </t>
  </si>
  <si>
    <t xml:space="preserve">                                                                                                                                               </t>
  </si>
  <si>
    <t xml:space="preserve">                                    </t>
  </si>
  <si>
    <t>Loss on option exercise</t>
  </si>
  <si>
    <t>Marginal tax rates derived based on the income tax footnotes to the income statements are:</t>
  </si>
  <si>
    <t xml:space="preserve">   Tax benefit</t>
  </si>
  <si>
    <t xml:space="preserve">Cumulative effect of accounting change </t>
  </si>
  <si>
    <t xml:space="preserve">Net interest expense before tax </t>
  </si>
  <si>
    <t xml:space="preserve">Tax benefit of debt </t>
  </si>
  <si>
    <t>Change due to change in asset turnover                       -</t>
  </si>
  <si>
    <t>Change in RNOA                      +</t>
  </si>
  <si>
    <t>Change due to change in spread at previous level of financial leverage                +</t>
  </si>
  <si>
    <t>Nike's close price on August 31, 2004</t>
  </si>
  <si>
    <t>Market value of equity</t>
  </si>
  <si>
    <t>Normal Operating Income</t>
  </si>
  <si>
    <t>Abnormal OI Growth</t>
  </si>
  <si>
    <t>Cum-FCF Operating Income</t>
  </si>
  <si>
    <t>Abnormal OI Growth Rate</t>
  </si>
  <si>
    <t>PV of AOIG</t>
  </si>
  <si>
    <t>PV of Terminal AOIG</t>
  </si>
  <si>
    <t>Sum of PV of AOIG</t>
  </si>
  <si>
    <t>Value of Common Equity Per Share</t>
  </si>
  <si>
    <t>Discount Rates</t>
  </si>
  <si>
    <t>NFO/NOA</t>
  </si>
  <si>
    <t>In the above calculation of discount rates, we first fix the cost of operations.  We then use the equity value implied by this cost of operations to impute the cost of equity.  Recall in the previous worksheets, we used CAPM to get the cost of equity and then computed cost of operations using market value of equity as the weight for equity.  That way we implicitly rely on the assumption that the market price is efficient, or correct, which we do not want to 'believe' as the ultimate goal of the entire valuation exercise is to derive a 'correct' value for equity.  In theory, cost of operations should be estabished first in comparisons of different firms.  We do this here so that the cost of equity we apply in the Abnormal Earnings Growth valuation exercise is consistent with the residual operating income valuation exercise earlier in this template.</t>
  </si>
  <si>
    <t>Replica of the Residual Operating Income Valuation Exercise on the 'Full Information Forecasting and Valuation' Worksheet</t>
  </si>
  <si>
    <t>1. EDGARscan developed by PricewaterhouseCoopers at http://edgarscan.pwcglobal.com;</t>
  </si>
  <si>
    <t>(Fourth Edition)</t>
  </si>
  <si>
    <t>Stephen Penman (2010)</t>
  </si>
  <si>
    <t>Stephen Penman 2010</t>
  </si>
  <si>
    <t>Work with the textbook beside you.  The most relevant part of the text is Chapter 7 to Chapter 15, where financial statement analysis and valuation are covered in detail.  Nike Inc. serves as an example of the application techniques described in the chapters.  This case utilizes Nike's financials for 1996-2008.</t>
  </si>
  <si>
    <t xml:space="preserve"> </t>
  </si>
  <si>
    <t>Balance at May 31, 2001</t>
  </si>
  <si>
    <t>Balance at May 31, 2002</t>
  </si>
  <si>
    <t xml:space="preserve">  Accounts receivable, net</t>
  </si>
  <si>
    <t>NIKE INC. REFORMULATED BALANCE SHEETS</t>
  </si>
  <si>
    <t>(in millions)</t>
  </si>
  <si>
    <t>NIKE INC. REFORMULATED INCOME STATEMENTS</t>
  </si>
  <si>
    <t>(in millions, except per share data)</t>
  </si>
  <si>
    <t xml:space="preserve">  Income tax benefit from exercise of stock options</t>
  </si>
  <si>
    <t>BALANCE AT MAY 31, 2000</t>
  </si>
  <si>
    <t>Forfeiture of shares from employees</t>
  </si>
  <si>
    <t>BALANCE AT MAY 31, 2001</t>
  </si>
  <si>
    <t>BALANCE AT MAY 31, 2002</t>
  </si>
  <si>
    <t xml:space="preserve">Foreign currency translation </t>
  </si>
  <si>
    <t>Cumulative effect of change in accounting principle</t>
  </si>
  <si>
    <t>Adjustment for fair value of hedge derivatives</t>
  </si>
  <si>
    <t>Income before income taxes and cumulative effect accounting change</t>
  </si>
  <si>
    <t>Income before cumulative effect of accounting change</t>
  </si>
  <si>
    <t>Cumulative effect of accounting change, net of income taxes</t>
  </si>
  <si>
    <t>NIKE INC. INCOME STATEMENTS</t>
  </si>
  <si>
    <t>for the year ended</t>
  </si>
  <si>
    <t>Revenues</t>
  </si>
  <si>
    <t>Costs and expenses:</t>
  </si>
  <si>
    <t xml:space="preserve">  Cost of sales</t>
  </si>
  <si>
    <t xml:space="preserve">  Interest expense, net</t>
  </si>
  <si>
    <t xml:space="preserve">Quality of earnings analysis (Chapters 15 -19) </t>
  </si>
  <si>
    <t xml:space="preserve">Sensitivity analysis (Chapters 14 and 15) </t>
  </si>
  <si>
    <t xml:space="preserve">Reverse engineering: Implied growth rate (Chapter 5) </t>
  </si>
  <si>
    <t xml:space="preserve">Risk analysis (Chapters 18 and 19) </t>
  </si>
  <si>
    <t>FA</t>
  </si>
  <si>
    <t xml:space="preserve">  Prepaid expenses and other current assets</t>
  </si>
  <si>
    <t xml:space="preserve">   Prepaid expenses and other current assets</t>
  </si>
  <si>
    <t xml:space="preserve">Interest income </t>
  </si>
  <si>
    <t>Year ended May 31, 2004</t>
  </si>
  <si>
    <t>Operating income, 2004</t>
  </si>
  <si>
    <t>NOA, 2004</t>
  </si>
  <si>
    <t>NFE, 2004</t>
  </si>
  <si>
    <t>NFO, 2004</t>
  </si>
  <si>
    <t>Net dividend, 2004</t>
  </si>
  <si>
    <t>Other expense, net</t>
  </si>
  <si>
    <t xml:space="preserve">     Cumulative effect of accounting change</t>
  </si>
  <si>
    <t xml:space="preserve">  Purchases of short-term investments</t>
  </si>
  <si>
    <t xml:space="preserve">  Acquisition of subsidiary, net of cash acquired</t>
  </si>
  <si>
    <t>For Nike in 2004</t>
  </si>
</sst>
</file>

<file path=xl/styles.xml><?xml version="1.0" encoding="utf-8"?>
<styleSheet xmlns="http://schemas.openxmlformats.org/spreadsheetml/2006/main">
  <numFmts count="24">
    <numFmt numFmtId="165" formatCode="&quot;$&quot;#,##0_);[Red]\(&quot;$&quot;#,##0\)"/>
    <numFmt numFmtId="167" formatCode="&quot;$&quot;#,##0.00_);[Red]\(&quot;$&quot;#,##0.00\)"/>
    <numFmt numFmtId="170" formatCode="_(&quot;$&quot;* #,##0.00_);_(&quot;$&quot;* \(#,##0.00\);_(&quot;$&quot;* &quot;-&quot;??_);_(@_)"/>
    <numFmt numFmtId="171" formatCode="_(* #,##0.00_);_(* \(#,##0.00\);_(* &quot;-&quot;??_);_(@_)"/>
    <numFmt numFmtId="172" formatCode="yyyy/mm/dd"/>
    <numFmt numFmtId="173" formatCode="&quot;$&quot;#,##0.00"/>
    <numFmt numFmtId="174" formatCode="&quot;$&quot;#,##0.0_);[Red]\(&quot;$&quot;#,##0.0\)"/>
    <numFmt numFmtId="175" formatCode="#,##0.0_);[Red]\(#,##0.0\)"/>
    <numFmt numFmtId="176" formatCode="&quot;$&quot;#,##0.0_);\(&quot;$&quot;#,##0.0\)"/>
    <numFmt numFmtId="177" formatCode="#,##0.0_);\(#,##0.0\)"/>
    <numFmt numFmtId="178" formatCode="0.0"/>
    <numFmt numFmtId="179" formatCode="0.0%"/>
    <numFmt numFmtId="180" formatCode="#,##0.000000000000_);[Red]\(#,##0.000000000000\)"/>
    <numFmt numFmtId="181" formatCode="_(* #,##0.0_);_(* \(#,##0.0\);_(* &quot;-&quot;??_);_(@_)"/>
    <numFmt numFmtId="182" formatCode="_(* #,##0.0_);_(* \(#,##0.0\);_(* &quot;-&quot;?_);_(@_)"/>
    <numFmt numFmtId="183" formatCode="_(* #,##0_);_(* \(#,##0\);_(* &quot;-&quot;??_);_(@_)"/>
    <numFmt numFmtId="184" formatCode="_(&quot;$&quot;* #,##0.0_);_(&quot;$&quot;* \(#,##0.0\);_(&quot;$&quot;* &quot;-&quot;?_);_(@_)"/>
    <numFmt numFmtId="185" formatCode="_(* #,##0.000_);_(* \(#,##0.000\);_(* &quot;-&quot;??_);_(@_)"/>
    <numFmt numFmtId="186" formatCode="_(* #,##0.0000_);_(* \(#,##0.0000\);_(* &quot;-&quot;??_);_(@_)"/>
    <numFmt numFmtId="187" formatCode="_(* #,##0.00_);_(* \(#,##0.00\);_(* &quot;-&quot;?_);_(@_)"/>
    <numFmt numFmtId="188" formatCode="yyyy/m/d"/>
    <numFmt numFmtId="189" formatCode="#,##0.00000_);\(#,##0.00000\)"/>
    <numFmt numFmtId="190" formatCode="0.00_);\(0.00\)"/>
    <numFmt numFmtId="191" formatCode="0.0_);\(0.0\)"/>
  </numFmts>
  <fonts count="22">
    <font>
      <sz val="10"/>
      <name val="Arial"/>
    </font>
    <font>
      <sz val="10"/>
      <name val="Arial"/>
    </font>
    <font>
      <b/>
      <sz val="12"/>
      <name val="Arial"/>
      <family val="2"/>
    </font>
    <font>
      <sz val="12"/>
      <name val="Arial"/>
      <family val="2"/>
    </font>
    <font>
      <b/>
      <sz val="10"/>
      <name val="Arial"/>
      <family val="2"/>
    </font>
    <font>
      <sz val="10"/>
      <name val="Arial"/>
      <family val="2"/>
    </font>
    <font>
      <vertAlign val="subscript"/>
      <sz val="10"/>
      <name val="Arial"/>
      <family val="2"/>
    </font>
    <font>
      <sz val="8"/>
      <color indexed="81"/>
      <name val="Tahoma"/>
    </font>
    <font>
      <u/>
      <sz val="10"/>
      <name val="Arial"/>
      <family val="2"/>
    </font>
    <font>
      <b/>
      <u/>
      <sz val="10"/>
      <name val="Arial"/>
      <family val="2"/>
    </font>
    <font>
      <u/>
      <sz val="10"/>
      <color indexed="12"/>
      <name val="Arial"/>
    </font>
    <font>
      <sz val="12"/>
      <color indexed="8"/>
      <name val="Arial"/>
      <family val="2"/>
    </font>
    <font>
      <sz val="10"/>
      <color indexed="12"/>
      <name val="Arial"/>
    </font>
    <font>
      <sz val="8"/>
      <color indexed="81"/>
      <name val="Tahoma"/>
      <family val="2"/>
    </font>
    <font>
      <sz val="10"/>
      <name val="Verdana"/>
      <family val="2"/>
    </font>
    <font>
      <b/>
      <sz val="10"/>
      <name val="Verdana"/>
      <family val="2"/>
    </font>
    <font>
      <u/>
      <sz val="10"/>
      <name val="Verdana"/>
      <family val="2"/>
    </font>
    <font>
      <sz val="8"/>
      <name val="Arial"/>
    </font>
    <font>
      <b/>
      <sz val="9"/>
      <name val="Arial"/>
    </font>
    <font>
      <sz val="9"/>
      <name val="Arial"/>
    </font>
    <font>
      <b/>
      <sz val="10"/>
      <name val="Arial"/>
    </font>
    <font>
      <sz val="8"/>
      <color indexed="81"/>
      <name val="Tahoma"/>
      <charset val="1"/>
    </font>
  </fonts>
  <fills count="3">
    <fill>
      <patternFill patternType="none"/>
    </fill>
    <fill>
      <patternFill patternType="gray125"/>
    </fill>
    <fill>
      <patternFill patternType="solid">
        <fgColor indexed="22"/>
        <bgColor indexed="64"/>
      </patternFill>
    </fill>
  </fills>
  <borders count="31">
    <border>
      <left/>
      <right/>
      <top/>
      <bottom/>
      <diagonal/>
    </border>
    <border>
      <left/>
      <right/>
      <top/>
      <bottom style="medium">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
      <left/>
      <right/>
      <top style="medium">
        <color indexed="64"/>
      </top>
      <bottom/>
      <diagonal/>
    </border>
    <border>
      <left/>
      <right/>
      <top style="medium">
        <color indexed="64"/>
      </top>
      <bottom style="thin">
        <color indexed="64"/>
      </bottom>
      <diagonal/>
    </border>
    <border>
      <left/>
      <right style="thin">
        <color indexed="64"/>
      </right>
      <top/>
      <bottom style="medium">
        <color indexed="64"/>
      </bottom>
      <diagonal/>
    </border>
    <border>
      <left/>
      <right/>
      <top/>
      <bottom style="double">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bottom style="thin">
        <color indexed="55"/>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5">
    <xf numFmtId="0" fontId="0" fillId="0" borderId="0"/>
    <xf numFmtId="171" fontId="1" fillId="0" borderId="0" applyFont="0" applyFill="0" applyBorder="0" applyAlignment="0" applyProtection="0"/>
    <xf numFmtId="170" fontId="1" fillId="0" borderId="0" applyFont="0" applyFill="0" applyBorder="0" applyAlignment="0" applyProtection="0"/>
    <xf numFmtId="0" fontId="10" fillId="0" borderId="0" applyNumberFormat="0" applyFill="0" applyBorder="0" applyAlignment="0" applyProtection="0">
      <alignment vertical="top"/>
      <protection locked="0"/>
    </xf>
    <xf numFmtId="9" fontId="1" fillId="0" borderId="0" applyFont="0" applyFill="0" applyBorder="0" applyAlignment="0" applyProtection="0"/>
  </cellStyleXfs>
  <cellXfs count="390">
    <xf numFmtId="0" fontId="0" fillId="0" borderId="0" xfId="0"/>
    <xf numFmtId="0" fontId="2" fillId="0" borderId="0" xfId="0" applyFont="1"/>
    <xf numFmtId="0" fontId="3" fillId="0" borderId="0" xfId="0" applyFont="1"/>
    <xf numFmtId="0" fontId="4" fillId="0" borderId="0" xfId="0" applyFont="1"/>
    <xf numFmtId="0" fontId="5" fillId="0" borderId="0" xfId="0" applyFont="1" applyFill="1" applyBorder="1"/>
    <xf numFmtId="0" fontId="0" fillId="2" borderId="0" xfId="0" applyFill="1"/>
    <xf numFmtId="172" fontId="4" fillId="2" borderId="1" xfId="0" applyNumberFormat="1" applyFont="1" applyFill="1" applyBorder="1" applyAlignment="1">
      <alignment horizontal="center"/>
    </xf>
    <xf numFmtId="0" fontId="0" fillId="0" borderId="2" xfId="0" applyBorder="1"/>
    <xf numFmtId="0" fontId="5" fillId="2" borderId="1" xfId="0" applyFont="1" applyFill="1" applyBorder="1"/>
    <xf numFmtId="174" fontId="0" fillId="0" borderId="0" xfId="0" applyNumberFormat="1"/>
    <xf numFmtId="175" fontId="0" fillId="0" borderId="0" xfId="0" applyNumberFormat="1"/>
    <xf numFmtId="175" fontId="0" fillId="0" borderId="0" xfId="0" applyNumberFormat="1" applyBorder="1"/>
    <xf numFmtId="175" fontId="0" fillId="0" borderId="2" xfId="0" applyNumberFormat="1" applyBorder="1"/>
    <xf numFmtId="174" fontId="0" fillId="0" borderId="3" xfId="0" applyNumberFormat="1" applyBorder="1"/>
    <xf numFmtId="0" fontId="0" fillId="0" borderId="0" xfId="0" applyAlignment="1">
      <alignment horizontal="left"/>
    </xf>
    <xf numFmtId="0" fontId="0" fillId="0" borderId="4" xfId="0" applyBorder="1"/>
    <xf numFmtId="0" fontId="0" fillId="0" borderId="0" xfId="0" applyBorder="1"/>
    <xf numFmtId="174" fontId="0" fillId="0" borderId="2" xfId="0" applyNumberFormat="1" applyBorder="1"/>
    <xf numFmtId="0" fontId="0" fillId="0" borderId="1" xfId="0" applyBorder="1"/>
    <xf numFmtId="0" fontId="0" fillId="0" borderId="5" xfId="0" applyBorder="1"/>
    <xf numFmtId="0" fontId="0" fillId="0" borderId="6" xfId="0" applyBorder="1"/>
    <xf numFmtId="0" fontId="0" fillId="0" borderId="1" xfId="0" applyBorder="1" applyAlignment="1">
      <alignment horizontal="center" wrapText="1"/>
    </xf>
    <xf numFmtId="0" fontId="0" fillId="0" borderId="7" xfId="0" applyBorder="1" applyAlignment="1">
      <alignment horizontal="center" wrapText="1"/>
    </xf>
    <xf numFmtId="0" fontId="0" fillId="0" borderId="0" xfId="0" applyAlignment="1">
      <alignment horizontal="left" indent="1"/>
    </xf>
    <xf numFmtId="0" fontId="0" fillId="0" borderId="0" xfId="0" applyAlignment="1">
      <alignment horizontal="right"/>
    </xf>
    <xf numFmtId="0" fontId="0" fillId="0" borderId="1" xfId="0" applyBorder="1" applyAlignment="1">
      <alignment horizontal="right"/>
    </xf>
    <xf numFmtId="175" fontId="0" fillId="0" borderId="8" xfId="0" applyNumberFormat="1" applyBorder="1"/>
    <xf numFmtId="178" fontId="0" fillId="0" borderId="0" xfId="0" applyNumberFormat="1"/>
    <xf numFmtId="0" fontId="0" fillId="0" borderId="8" xfId="0" applyBorder="1"/>
    <xf numFmtId="0" fontId="0" fillId="0" borderId="0" xfId="0" applyAlignment="1">
      <alignment horizontal="center"/>
    </xf>
    <xf numFmtId="0" fontId="0" fillId="0" borderId="0" xfId="0" applyAlignment="1">
      <alignment vertical="center" wrapText="1"/>
    </xf>
    <xf numFmtId="0" fontId="0" fillId="0" borderId="0" xfId="0" applyAlignment="1">
      <alignment wrapText="1"/>
    </xf>
    <xf numFmtId="0" fontId="2" fillId="0" borderId="0" xfId="0" applyFont="1" applyAlignment="1">
      <alignment horizontal="left"/>
    </xf>
    <xf numFmtId="0" fontId="4" fillId="0" borderId="0" xfId="0" applyFont="1" applyAlignment="1">
      <alignment horizontal="left"/>
    </xf>
    <xf numFmtId="0" fontId="0" fillId="0" borderId="2" xfId="0" applyBorder="1" applyAlignment="1">
      <alignment horizontal="center"/>
    </xf>
    <xf numFmtId="0" fontId="0" fillId="0" borderId="2" xfId="0" applyBorder="1" applyAlignment="1">
      <alignment wrapText="1"/>
    </xf>
    <xf numFmtId="10" fontId="0" fillId="0" borderId="0" xfId="4" applyNumberFormat="1" applyFont="1" applyAlignment="1">
      <alignment horizontal="right"/>
    </xf>
    <xf numFmtId="0" fontId="0" fillId="0" borderId="0" xfId="0" applyFill="1" applyBorder="1"/>
    <xf numFmtId="174" fontId="0" fillId="0" borderId="0" xfId="0" applyNumberFormat="1" applyBorder="1"/>
    <xf numFmtId="0" fontId="5" fillId="0" borderId="0" xfId="0" applyFont="1"/>
    <xf numFmtId="0" fontId="4" fillId="0" borderId="2" xfId="0" applyFont="1" applyBorder="1"/>
    <xf numFmtId="180" fontId="0" fillId="0" borderId="0" xfId="0" applyNumberFormat="1"/>
    <xf numFmtId="0" fontId="4" fillId="0" borderId="0" xfId="0" applyFont="1" applyAlignment="1">
      <alignment wrapText="1"/>
    </xf>
    <xf numFmtId="0" fontId="4" fillId="2" borderId="1" xfId="0" applyFont="1" applyFill="1" applyBorder="1" applyAlignment="1">
      <alignment wrapText="1"/>
    </xf>
    <xf numFmtId="0" fontId="0" fillId="0" borderId="4" xfId="0" applyBorder="1" applyAlignment="1">
      <alignment wrapText="1"/>
    </xf>
    <xf numFmtId="0" fontId="0" fillId="0" borderId="0" xfId="0" applyBorder="1" applyAlignment="1">
      <alignment wrapText="1"/>
    </xf>
    <xf numFmtId="172" fontId="4" fillId="0" borderId="0" xfId="0" applyNumberFormat="1" applyFont="1" applyFill="1" applyBorder="1" applyAlignment="1">
      <alignment horizontal="center"/>
    </xf>
    <xf numFmtId="172" fontId="4" fillId="0" borderId="2" xfId="0" applyNumberFormat="1" applyFont="1" applyFill="1" applyBorder="1" applyAlignment="1">
      <alignment horizontal="center"/>
    </xf>
    <xf numFmtId="10" fontId="0" fillId="0" borderId="0" xfId="0" applyNumberFormat="1"/>
    <xf numFmtId="9" fontId="0" fillId="0" borderId="0" xfId="0" applyNumberFormat="1"/>
    <xf numFmtId="2" fontId="0" fillId="0" borderId="0" xfId="0" applyNumberFormat="1"/>
    <xf numFmtId="10" fontId="0" fillId="0" borderId="0" xfId="4" applyNumberFormat="1" applyFont="1"/>
    <xf numFmtId="171" fontId="0" fillId="0" borderId="0" xfId="2" applyNumberFormat="1" applyFont="1"/>
    <xf numFmtId="171" fontId="0" fillId="0" borderId="0" xfId="0" applyNumberFormat="1"/>
    <xf numFmtId="0" fontId="0" fillId="0" borderId="4" xfId="0" applyBorder="1" applyAlignment="1">
      <alignment horizontal="right"/>
    </xf>
    <xf numFmtId="0" fontId="0" fillId="0" borderId="4" xfId="0" applyBorder="1" applyAlignment="1">
      <alignment horizontal="center"/>
    </xf>
    <xf numFmtId="0" fontId="0" fillId="0" borderId="2" xfId="0" applyBorder="1" applyAlignment="1">
      <alignment horizontal="left"/>
    </xf>
    <xf numFmtId="0" fontId="4" fillId="0" borderId="4" xfId="0" applyFont="1" applyBorder="1"/>
    <xf numFmtId="171" fontId="0" fillId="0" borderId="0" xfId="0" applyNumberFormat="1" applyBorder="1"/>
    <xf numFmtId="10" fontId="0" fillId="0" borderId="2" xfId="4" applyNumberFormat="1" applyFont="1" applyBorder="1"/>
    <xf numFmtId="171" fontId="0" fillId="0" borderId="0" xfId="1" applyFont="1"/>
    <xf numFmtId="181" fontId="0" fillId="0" borderId="0" xfId="1" applyNumberFormat="1" applyFont="1" applyAlignment="1">
      <alignment horizontal="right"/>
    </xf>
    <xf numFmtId="181" fontId="0" fillId="0" borderId="0" xfId="1" applyNumberFormat="1" applyFont="1"/>
    <xf numFmtId="171" fontId="0" fillId="0" borderId="0" xfId="1" applyNumberFormat="1" applyFont="1"/>
    <xf numFmtId="181" fontId="0" fillId="0" borderId="2" xfId="1" applyNumberFormat="1" applyFont="1" applyBorder="1" applyAlignment="1">
      <alignment horizontal="right"/>
    </xf>
    <xf numFmtId="181" fontId="0" fillId="0" borderId="0" xfId="0" applyNumberFormat="1"/>
    <xf numFmtId="0" fontId="0" fillId="0" borderId="0" xfId="0" applyFill="1"/>
    <xf numFmtId="182" fontId="0" fillId="0" borderId="0" xfId="0" applyNumberFormat="1"/>
    <xf numFmtId="179" fontId="0" fillId="0" borderId="0" xfId="4" applyNumberFormat="1" applyFont="1"/>
    <xf numFmtId="179" fontId="0" fillId="0" borderId="0" xfId="0" applyNumberFormat="1"/>
    <xf numFmtId="179" fontId="5" fillId="0" borderId="0" xfId="4" applyNumberFormat="1" applyFont="1" applyFill="1" applyBorder="1" applyAlignment="1">
      <alignment horizontal="right"/>
    </xf>
    <xf numFmtId="182" fontId="0" fillId="0" borderId="0" xfId="2" applyNumberFormat="1" applyFont="1"/>
    <xf numFmtId="182" fontId="0" fillId="0" borderId="2" xfId="0" applyNumberFormat="1" applyBorder="1"/>
    <xf numFmtId="182" fontId="0" fillId="0" borderId="8" xfId="0" applyNumberFormat="1" applyBorder="1"/>
    <xf numFmtId="182" fontId="0" fillId="0" borderId="0" xfId="0" applyNumberFormat="1" applyBorder="1"/>
    <xf numFmtId="182" fontId="0" fillId="0" borderId="4" xfId="0" applyNumberFormat="1" applyBorder="1"/>
    <xf numFmtId="182" fontId="0" fillId="0" borderId="0" xfId="0" applyNumberFormat="1" applyAlignment="1"/>
    <xf numFmtId="182" fontId="0" fillId="0" borderId="9" xfId="0" applyNumberFormat="1" applyBorder="1"/>
    <xf numFmtId="182" fontId="0" fillId="0" borderId="3" xfId="0" applyNumberFormat="1" applyBorder="1"/>
    <xf numFmtId="181" fontId="0" fillId="0" borderId="2" xfId="0" applyNumberFormat="1" applyBorder="1"/>
    <xf numFmtId="179" fontId="0" fillId="0" borderId="2" xfId="4" applyNumberFormat="1" applyFont="1" applyBorder="1"/>
    <xf numFmtId="186" fontId="0" fillId="0" borderId="2" xfId="0" applyNumberFormat="1" applyBorder="1"/>
    <xf numFmtId="0" fontId="0" fillId="0" borderId="0" xfId="0" applyBorder="1" applyAlignment="1">
      <alignment horizontal="center"/>
    </xf>
    <xf numFmtId="0" fontId="5" fillId="0" borderId="0" xfId="0" applyFont="1" applyAlignment="1">
      <alignment horizontal="left"/>
    </xf>
    <xf numFmtId="10" fontId="0" fillId="0" borderId="0" xfId="4" applyNumberFormat="1" applyFont="1" applyBorder="1"/>
    <xf numFmtId="2" fontId="0" fillId="0" borderId="0" xfId="0" applyNumberFormat="1" applyBorder="1"/>
    <xf numFmtId="0" fontId="0" fillId="0" borderId="4" xfId="0" applyFill="1" applyBorder="1"/>
    <xf numFmtId="2" fontId="0" fillId="0" borderId="2" xfId="0" applyNumberFormat="1" applyBorder="1"/>
    <xf numFmtId="10" fontId="0" fillId="0" borderId="2" xfId="0" applyNumberFormat="1" applyBorder="1"/>
    <xf numFmtId="181" fontId="0" fillId="0" borderId="2" xfId="1" applyNumberFormat="1" applyFont="1" applyBorder="1"/>
    <xf numFmtId="0" fontId="4" fillId="0" borderId="0" xfId="0" applyFont="1" applyAlignment="1">
      <alignment horizontal="center"/>
    </xf>
    <xf numFmtId="185" fontId="0" fillId="0" borderId="0" xfId="0" applyNumberFormat="1"/>
    <xf numFmtId="0" fontId="0" fillId="0" borderId="2" xfId="0" applyBorder="1" applyAlignment="1">
      <alignment vertical="center"/>
    </xf>
    <xf numFmtId="0" fontId="3" fillId="0" borderId="0" xfId="0" applyFont="1" applyAlignment="1">
      <alignment horizontal="left" indent="1"/>
    </xf>
    <xf numFmtId="0" fontId="3" fillId="0" borderId="0" xfId="0" applyFont="1" applyAlignment="1">
      <alignment horizontal="left" indent="4"/>
    </xf>
    <xf numFmtId="0" fontId="3" fillId="0" borderId="0" xfId="0" applyFont="1" applyAlignment="1">
      <alignment horizontal="left"/>
    </xf>
    <xf numFmtId="0" fontId="3" fillId="0" borderId="0" xfId="0" applyFont="1" applyAlignment="1">
      <alignment horizontal="left" indent="2"/>
    </xf>
    <xf numFmtId="0" fontId="3" fillId="0" borderId="0" xfId="0" applyFont="1" applyAlignment="1">
      <alignment wrapText="1"/>
    </xf>
    <xf numFmtId="0" fontId="0" fillId="0" borderId="0" xfId="0" applyAlignment="1">
      <alignment vertical="center"/>
    </xf>
    <xf numFmtId="0" fontId="0" fillId="0" borderId="2" xfId="0" applyBorder="1" applyAlignment="1">
      <alignment vertical="center" wrapText="1"/>
    </xf>
    <xf numFmtId="0" fontId="0" fillId="0" borderId="4" xfId="0" applyBorder="1" applyAlignment="1">
      <alignment vertical="center"/>
    </xf>
    <xf numFmtId="0" fontId="0" fillId="0" borderId="4" xfId="0" applyBorder="1" applyAlignment="1">
      <alignment vertical="center" wrapText="1"/>
    </xf>
    <xf numFmtId="0" fontId="0" fillId="0" borderId="0" xfId="0" applyAlignment="1">
      <alignment horizontal="center" vertical="center"/>
    </xf>
    <xf numFmtId="0" fontId="0" fillId="0" borderId="2" xfId="0" applyBorder="1" applyAlignment="1">
      <alignment horizontal="center" vertical="center"/>
    </xf>
    <xf numFmtId="0" fontId="4" fillId="0" borderId="0" xfId="0" applyFont="1" applyAlignment="1">
      <alignment horizontal="left" vertical="center"/>
    </xf>
    <xf numFmtId="0" fontId="0" fillId="0" borderId="0" xfId="0" applyBorder="1" applyAlignment="1">
      <alignment horizontal="center" vertical="center"/>
    </xf>
    <xf numFmtId="0" fontId="0" fillId="0" borderId="0" xfId="0" applyBorder="1" applyAlignment="1">
      <alignment vertical="center"/>
    </xf>
    <xf numFmtId="0" fontId="0" fillId="0" borderId="0" xfId="0" applyBorder="1" applyAlignment="1">
      <alignment vertical="center" wrapText="1"/>
    </xf>
    <xf numFmtId="0" fontId="0" fillId="0" borderId="0" xfId="0" applyAlignment="1">
      <alignment horizontal="left" vertical="center"/>
    </xf>
    <xf numFmtId="0" fontId="0" fillId="0" borderId="0" xfId="0" applyAlignment="1">
      <alignment horizontal="center" vertical="center" wrapText="1"/>
    </xf>
    <xf numFmtId="10" fontId="0" fillId="0" borderId="0" xfId="0" applyNumberFormat="1" applyAlignment="1">
      <alignment horizontal="center" vertical="center"/>
    </xf>
    <xf numFmtId="39" fontId="0" fillId="0" borderId="0" xfId="0" applyNumberFormat="1" applyAlignment="1">
      <alignment horizontal="center" vertical="center"/>
    </xf>
    <xf numFmtId="0" fontId="0" fillId="0" borderId="4" xfId="0" applyBorder="1" applyAlignment="1">
      <alignment horizontal="center" vertical="center"/>
    </xf>
    <xf numFmtId="0" fontId="5" fillId="0" borderId="0" xfId="0" applyFont="1" applyAlignment="1">
      <alignment horizontal="left" vertical="center"/>
    </xf>
    <xf numFmtId="182" fontId="0" fillId="0" borderId="0" xfId="0" applyNumberFormat="1" applyAlignment="1">
      <alignment vertical="center"/>
    </xf>
    <xf numFmtId="10" fontId="0" fillId="0" borderId="0" xfId="4" applyNumberFormat="1" applyFont="1" applyAlignment="1">
      <alignment vertical="center"/>
    </xf>
    <xf numFmtId="0" fontId="5" fillId="0" borderId="0" xfId="0" applyFont="1" applyBorder="1" applyAlignment="1">
      <alignment horizontal="left" vertical="center"/>
    </xf>
    <xf numFmtId="10" fontId="0" fillId="0" borderId="0" xfId="4" applyNumberFormat="1" applyFont="1" applyBorder="1" applyAlignment="1">
      <alignment vertical="center"/>
    </xf>
    <xf numFmtId="0" fontId="5" fillId="0" borderId="2" xfId="0" applyFont="1" applyFill="1" applyBorder="1" applyAlignment="1">
      <alignment horizontal="left" vertical="center"/>
    </xf>
    <xf numFmtId="10" fontId="0" fillId="0" borderId="2" xfId="0" applyNumberFormat="1" applyBorder="1" applyAlignment="1">
      <alignment vertical="center"/>
    </xf>
    <xf numFmtId="0" fontId="9" fillId="0" borderId="0" xfId="0" applyFont="1" applyBorder="1" applyAlignment="1">
      <alignment vertical="center"/>
    </xf>
    <xf numFmtId="0" fontId="4" fillId="0" borderId="0" xfId="0" applyFont="1" applyAlignment="1">
      <alignment vertical="center"/>
    </xf>
    <xf numFmtId="2" fontId="0" fillId="0" borderId="2" xfId="0" applyNumberFormat="1" applyBorder="1" applyAlignment="1">
      <alignment vertical="center"/>
    </xf>
    <xf numFmtId="2" fontId="0" fillId="0" borderId="0" xfId="0" applyNumberFormat="1" applyBorder="1" applyAlignment="1">
      <alignment vertical="center"/>
    </xf>
    <xf numFmtId="0" fontId="0" fillId="0" borderId="9" xfId="0" applyBorder="1" applyAlignment="1">
      <alignment horizontal="center" vertical="center" wrapText="1"/>
    </xf>
    <xf numFmtId="2" fontId="0" fillId="0" borderId="2" xfId="0" applyNumberFormat="1" applyBorder="1" applyAlignment="1">
      <alignment horizontal="center" vertical="center"/>
    </xf>
    <xf numFmtId="0" fontId="9" fillId="0" borderId="0" xfId="0" applyFont="1" applyBorder="1" applyAlignment="1">
      <alignment horizontal="left" vertical="center"/>
    </xf>
    <xf numFmtId="0" fontId="8" fillId="0" borderId="0" xfId="0" applyFont="1" applyAlignment="1">
      <alignment horizontal="left" vertical="center"/>
    </xf>
    <xf numFmtId="0" fontId="0" fillId="0" borderId="9" xfId="0" applyBorder="1" applyAlignment="1">
      <alignment horizontal="left" vertical="center"/>
    </xf>
    <xf numFmtId="0" fontId="0" fillId="0" borderId="9" xfId="0" applyBorder="1" applyAlignment="1">
      <alignment vertical="center"/>
    </xf>
    <xf numFmtId="10" fontId="0" fillId="0" borderId="2" xfId="0" applyNumberFormat="1" applyBorder="1" applyAlignment="1">
      <alignment horizontal="center" vertical="center"/>
    </xf>
    <xf numFmtId="10" fontId="0" fillId="0" borderId="2" xfId="4" applyNumberFormat="1" applyFont="1" applyBorder="1" applyAlignment="1">
      <alignment horizontal="center" vertical="center"/>
    </xf>
    <xf numFmtId="10" fontId="0" fillId="0" borderId="0" xfId="4" applyNumberFormat="1" applyFont="1" applyAlignment="1">
      <alignment horizontal="center" vertical="center"/>
    </xf>
    <xf numFmtId="0" fontId="0" fillId="0" borderId="0" xfId="0" applyBorder="1" applyAlignment="1">
      <alignment horizontal="left" vertical="center"/>
    </xf>
    <xf numFmtId="10" fontId="0" fillId="0" borderId="0" xfId="0" applyNumberFormat="1" applyBorder="1" applyAlignment="1">
      <alignment horizontal="center" vertical="center"/>
    </xf>
    <xf numFmtId="0" fontId="4" fillId="0" borderId="0" xfId="0" applyFont="1" applyBorder="1" applyAlignment="1">
      <alignment vertical="center"/>
    </xf>
    <xf numFmtId="0" fontId="0" fillId="0" borderId="9" xfId="0" applyBorder="1" applyAlignment="1">
      <alignment horizontal="center" vertical="center"/>
    </xf>
    <xf numFmtId="177" fontId="0" fillId="0" borderId="0" xfId="0" applyNumberFormat="1" applyBorder="1" applyAlignment="1">
      <alignment horizontal="center" vertical="center"/>
    </xf>
    <xf numFmtId="0" fontId="0" fillId="0" borderId="0" xfId="0" applyBorder="1" applyAlignment="1">
      <alignment horizontal="center" vertical="center" wrapText="1"/>
    </xf>
    <xf numFmtId="177" fontId="0" fillId="0" borderId="2" xfId="0" applyNumberFormat="1" applyBorder="1" applyAlignment="1">
      <alignment horizontal="center" vertical="center"/>
    </xf>
    <xf numFmtId="178" fontId="0" fillId="0" borderId="2" xfId="0" applyNumberFormat="1" applyBorder="1" applyAlignment="1">
      <alignment horizontal="center" vertical="center"/>
    </xf>
    <xf numFmtId="178" fontId="0" fillId="0" borderId="0" xfId="0" applyNumberFormat="1" applyAlignment="1">
      <alignment horizontal="center" vertical="center"/>
    </xf>
    <xf numFmtId="0" fontId="0" fillId="2" borderId="4" xfId="0" applyFill="1" applyBorder="1"/>
    <xf numFmtId="0" fontId="0" fillId="2" borderId="4" xfId="0" applyFill="1" applyBorder="1" applyAlignment="1">
      <alignment horizontal="right"/>
    </xf>
    <xf numFmtId="0" fontId="3" fillId="0" borderId="0" xfId="0" applyFont="1" applyAlignment="1">
      <alignment horizontal="left" wrapText="1"/>
    </xf>
    <xf numFmtId="0" fontId="3" fillId="0" borderId="0" xfId="0" quotePrefix="1" applyFont="1" applyAlignment="1">
      <alignment horizontal="left" indent="2"/>
    </xf>
    <xf numFmtId="182" fontId="0" fillId="0" borderId="2" xfId="0" applyNumberFormat="1" applyBorder="1" applyAlignment="1"/>
    <xf numFmtId="0" fontId="0" fillId="0" borderId="9" xfId="0" applyBorder="1"/>
    <xf numFmtId="179" fontId="0" fillId="0" borderId="4" xfId="4" applyNumberFormat="1" applyFont="1" applyBorder="1"/>
    <xf numFmtId="174" fontId="4" fillId="0" borderId="0" xfId="0" applyNumberFormat="1" applyFont="1"/>
    <xf numFmtId="0" fontId="0" fillId="0" borderId="10" xfId="0" applyFill="1" applyBorder="1" applyAlignment="1">
      <alignment vertical="center"/>
    </xf>
    <xf numFmtId="0" fontId="0" fillId="0" borderId="10" xfId="0" applyFill="1" applyBorder="1" applyAlignment="1">
      <alignment vertical="center" wrapText="1"/>
    </xf>
    <xf numFmtId="0" fontId="0" fillId="0" borderId="11" xfId="0" applyFill="1" applyBorder="1" applyAlignment="1">
      <alignment horizontal="center" vertical="center"/>
    </xf>
    <xf numFmtId="0" fontId="0" fillId="0" borderId="12" xfId="0" applyFill="1" applyBorder="1" applyAlignment="1">
      <alignment horizontal="center" vertical="center"/>
    </xf>
    <xf numFmtId="0" fontId="0" fillId="0" borderId="13" xfId="0" applyFill="1" applyBorder="1" applyAlignment="1">
      <alignment vertical="center"/>
    </xf>
    <xf numFmtId="0" fontId="0" fillId="0" borderId="13" xfId="0" applyFill="1" applyBorder="1" applyAlignment="1">
      <alignment vertical="center" wrapText="1"/>
    </xf>
    <xf numFmtId="0" fontId="4" fillId="2" borderId="14" xfId="0" applyFont="1" applyFill="1" applyBorder="1" applyAlignment="1">
      <alignment horizontal="center"/>
    </xf>
    <xf numFmtId="0" fontId="4" fillId="2" borderId="15" xfId="0" applyFont="1" applyFill="1" applyBorder="1" applyAlignment="1">
      <alignment horizontal="center"/>
    </xf>
    <xf numFmtId="0" fontId="0" fillId="0" borderId="10" xfId="0" applyBorder="1" applyAlignment="1">
      <alignment vertical="center"/>
    </xf>
    <xf numFmtId="0" fontId="0" fillId="0" borderId="10" xfId="0" applyBorder="1" applyAlignment="1">
      <alignment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vertical="center"/>
    </xf>
    <xf numFmtId="0" fontId="0" fillId="0" borderId="13" xfId="0" applyBorder="1" applyAlignment="1">
      <alignment vertical="center" wrapText="1"/>
    </xf>
    <xf numFmtId="0" fontId="0" fillId="0" borderId="0" xfId="0" applyAlignment="1">
      <alignment horizontal="right" vertical="center"/>
    </xf>
    <xf numFmtId="182" fontId="0" fillId="0" borderId="0" xfId="0" applyNumberFormat="1" applyAlignment="1">
      <alignment horizontal="right"/>
    </xf>
    <xf numFmtId="182" fontId="0" fillId="0" borderId="4" xfId="0" applyNumberFormat="1" applyBorder="1" applyAlignment="1">
      <alignment horizontal="right"/>
    </xf>
    <xf numFmtId="182" fontId="0" fillId="0" borderId="8" xfId="0" applyNumberFormat="1" applyBorder="1" applyAlignment="1">
      <alignment horizontal="right"/>
    </xf>
    <xf numFmtId="10" fontId="0" fillId="0" borderId="0" xfId="0" applyNumberFormat="1" applyBorder="1"/>
    <xf numFmtId="182" fontId="3" fillId="0" borderId="0" xfId="0" applyNumberFormat="1" applyFont="1" applyBorder="1"/>
    <xf numFmtId="179" fontId="1" fillId="0" borderId="0" xfId="4" applyNumberFormat="1"/>
    <xf numFmtId="179" fontId="1" fillId="0" borderId="2" xfId="4" applyNumberFormat="1" applyBorder="1"/>
    <xf numFmtId="0" fontId="0" fillId="0" borderId="16" xfId="0" applyBorder="1"/>
    <xf numFmtId="0" fontId="0" fillId="0" borderId="17" xfId="0" applyBorder="1"/>
    <xf numFmtId="0" fontId="0" fillId="2" borderId="18" xfId="0" applyFill="1" applyBorder="1"/>
    <xf numFmtId="179" fontId="0" fillId="0" borderId="0" xfId="0" applyNumberFormat="1" applyBorder="1"/>
    <xf numFmtId="179" fontId="1" fillId="0" borderId="0" xfId="4" applyNumberFormat="1" applyBorder="1"/>
    <xf numFmtId="0" fontId="0" fillId="0" borderId="19" xfId="0" applyBorder="1"/>
    <xf numFmtId="0" fontId="4" fillId="0" borderId="16" xfId="0" applyFont="1" applyBorder="1"/>
    <xf numFmtId="0" fontId="0" fillId="0" borderId="18" xfId="0" applyBorder="1"/>
    <xf numFmtId="181" fontId="0" fillId="0" borderId="0" xfId="0" applyNumberFormat="1" applyBorder="1"/>
    <xf numFmtId="185" fontId="0" fillId="0" borderId="0" xfId="0" applyNumberFormat="1" applyBorder="1"/>
    <xf numFmtId="171" fontId="0" fillId="0" borderId="17" xfId="0" applyNumberFormat="1" applyBorder="1"/>
    <xf numFmtId="10" fontId="1" fillId="0" borderId="17" xfId="4" applyNumberFormat="1" applyBorder="1"/>
    <xf numFmtId="0" fontId="0" fillId="0" borderId="19" xfId="0" applyBorder="1" applyAlignment="1">
      <alignment wrapText="1"/>
    </xf>
    <xf numFmtId="0" fontId="0" fillId="0" borderId="20" xfId="0" applyBorder="1"/>
    <xf numFmtId="0" fontId="0" fillId="0" borderId="21" xfId="0" applyBorder="1"/>
    <xf numFmtId="0" fontId="0" fillId="2" borderId="18" xfId="0" applyFill="1" applyBorder="1" applyAlignment="1">
      <alignment horizontal="right"/>
    </xf>
    <xf numFmtId="181" fontId="0" fillId="0" borderId="0" xfId="1" applyNumberFormat="1" applyFont="1" applyBorder="1"/>
    <xf numFmtId="179" fontId="0" fillId="0" borderId="0" xfId="4" applyNumberFormat="1" applyFont="1" applyBorder="1"/>
    <xf numFmtId="0" fontId="0" fillId="0" borderId="20" xfId="0" applyBorder="1" applyAlignment="1">
      <alignment wrapText="1"/>
    </xf>
    <xf numFmtId="0" fontId="0" fillId="2" borderId="20" xfId="0" applyFill="1" applyBorder="1"/>
    <xf numFmtId="0" fontId="0" fillId="2" borderId="1" xfId="0" applyFill="1" applyBorder="1"/>
    <xf numFmtId="0" fontId="0" fillId="2" borderId="16" xfId="0" applyFill="1" applyBorder="1"/>
    <xf numFmtId="0" fontId="0" fillId="2" borderId="0" xfId="0" applyFill="1" applyBorder="1"/>
    <xf numFmtId="0" fontId="4" fillId="2" borderId="22" xfId="0" applyFont="1" applyFill="1" applyBorder="1"/>
    <xf numFmtId="0" fontId="4" fillId="0" borderId="0" xfId="0" applyFont="1" applyBorder="1"/>
    <xf numFmtId="10" fontId="0" fillId="2" borderId="0" xfId="0" applyNumberFormat="1" applyFill="1"/>
    <xf numFmtId="0" fontId="5" fillId="0" borderId="2" xfId="0" applyFont="1" applyBorder="1" applyAlignment="1">
      <alignment horizontal="left"/>
    </xf>
    <xf numFmtId="10" fontId="5" fillId="0" borderId="2" xfId="4" applyNumberFormat="1" applyFont="1" applyBorder="1"/>
    <xf numFmtId="0" fontId="0" fillId="2" borderId="23" xfId="0" applyFill="1" applyBorder="1"/>
    <xf numFmtId="0" fontId="0" fillId="2" borderId="24" xfId="0" applyFill="1" applyBorder="1"/>
    <xf numFmtId="170" fontId="4" fillId="0" borderId="0" xfId="2" applyFont="1" applyBorder="1"/>
    <xf numFmtId="170" fontId="4" fillId="0" borderId="1" xfId="2" applyFont="1" applyBorder="1"/>
    <xf numFmtId="0" fontId="0" fillId="2" borderId="19" xfId="0" applyFill="1" applyBorder="1"/>
    <xf numFmtId="0" fontId="0" fillId="2" borderId="2" xfId="0" applyFill="1" applyBorder="1"/>
    <xf numFmtId="183" fontId="0" fillId="2" borderId="2" xfId="1" applyNumberFormat="1" applyFont="1" applyFill="1" applyBorder="1"/>
    <xf numFmtId="179" fontId="0" fillId="2" borderId="1" xfId="4" applyNumberFormat="1" applyFont="1" applyFill="1" applyBorder="1"/>
    <xf numFmtId="181" fontId="0" fillId="2" borderId="1" xfId="0" applyNumberFormat="1" applyFill="1" applyBorder="1"/>
    <xf numFmtId="170" fontId="4" fillId="0" borderId="2" xfId="2" applyFont="1" applyBorder="1"/>
    <xf numFmtId="172" fontId="0" fillId="0" borderId="0" xfId="0" applyNumberFormat="1" applyAlignment="1">
      <alignment horizontal="center"/>
    </xf>
    <xf numFmtId="167" fontId="0" fillId="0" borderId="0" xfId="0" applyNumberFormat="1"/>
    <xf numFmtId="165" fontId="0" fillId="0" borderId="0" xfId="0" applyNumberFormat="1"/>
    <xf numFmtId="0" fontId="0" fillId="0" borderId="3" xfId="0" applyBorder="1"/>
    <xf numFmtId="0" fontId="0" fillId="0" borderId="0" xfId="0" applyFill="1" applyAlignment="1">
      <alignment horizontal="center"/>
    </xf>
    <xf numFmtId="182" fontId="0" fillId="0" borderId="2" xfId="0" applyNumberFormat="1" applyFill="1" applyBorder="1"/>
    <xf numFmtId="174" fontId="4" fillId="0" borderId="0" xfId="0" applyNumberFormat="1" applyFont="1" applyFill="1"/>
    <xf numFmtId="174" fontId="0" fillId="0" borderId="0" xfId="0" applyNumberFormat="1" applyFill="1"/>
    <xf numFmtId="0" fontId="0" fillId="0" borderId="0" xfId="0" applyFill="1" applyAlignment="1">
      <alignment horizontal="left"/>
    </xf>
    <xf numFmtId="182" fontId="0" fillId="0" borderId="0" xfId="0" applyNumberFormat="1" applyFill="1"/>
    <xf numFmtId="187" fontId="0" fillId="0" borderId="0" xfId="0" applyNumberFormat="1" applyBorder="1"/>
    <xf numFmtId="172" fontId="4" fillId="2" borderId="1" xfId="0" applyNumberFormat="1" applyFont="1" applyFill="1" applyBorder="1"/>
    <xf numFmtId="0" fontId="0" fillId="0" borderId="0" xfId="0" applyBorder="1" applyAlignment="1">
      <alignment horizontal="left" indent="1"/>
    </xf>
    <xf numFmtId="179" fontId="0" fillId="0" borderId="8" xfId="4" applyNumberFormat="1" applyFont="1" applyBorder="1"/>
    <xf numFmtId="0" fontId="0" fillId="0" borderId="0" xfId="0" applyFill="1" applyBorder="1" applyAlignment="1">
      <alignment horizontal="left"/>
    </xf>
    <xf numFmtId="10" fontId="0" fillId="0" borderId="0" xfId="0" applyNumberFormat="1" applyAlignment="1">
      <alignment vertical="center"/>
    </xf>
    <xf numFmtId="178" fontId="0" fillId="0" borderId="0" xfId="0" applyNumberFormat="1" applyBorder="1" applyAlignment="1">
      <alignment horizontal="center" vertical="center"/>
    </xf>
    <xf numFmtId="171" fontId="0" fillId="2" borderId="0" xfId="1" applyFont="1" applyFill="1"/>
    <xf numFmtId="0" fontId="4" fillId="2" borderId="1" xfId="0" applyFont="1" applyFill="1" applyBorder="1" applyAlignment="1">
      <alignment horizontal="center"/>
    </xf>
    <xf numFmtId="0" fontId="4" fillId="2" borderId="15" xfId="0" applyFont="1" applyFill="1" applyBorder="1" applyAlignment="1">
      <alignment horizontal="center" vertical="center"/>
    </xf>
    <xf numFmtId="0" fontId="4" fillId="2" borderId="14" xfId="0" applyFont="1" applyFill="1" applyBorder="1" applyAlignment="1">
      <alignment horizontal="center" vertical="center"/>
    </xf>
    <xf numFmtId="0" fontId="5" fillId="0" borderId="0" xfId="0" applyFont="1" applyAlignment="1">
      <alignment wrapText="1"/>
    </xf>
    <xf numFmtId="0" fontId="11" fillId="0" borderId="0" xfId="0" applyFont="1"/>
    <xf numFmtId="182" fontId="0" fillId="0" borderId="0" xfId="0" applyNumberFormat="1" applyAlignment="1">
      <alignment horizontal="center"/>
    </xf>
    <xf numFmtId="0" fontId="1" fillId="0" borderId="0" xfId="0" applyFont="1"/>
    <xf numFmtId="176" fontId="0" fillId="0" borderId="0" xfId="0" applyNumberFormat="1"/>
    <xf numFmtId="182" fontId="1" fillId="0" borderId="2" xfId="0" applyNumberFormat="1" applyFont="1" applyBorder="1"/>
    <xf numFmtId="177" fontId="0" fillId="0" borderId="0" xfId="0" applyNumberFormat="1"/>
    <xf numFmtId="0" fontId="4" fillId="2" borderId="25" xfId="0" applyFont="1" applyFill="1" applyBorder="1" applyAlignment="1">
      <alignment horizontal="center"/>
    </xf>
    <xf numFmtId="10" fontId="0" fillId="0" borderId="26" xfId="4" applyNumberFormat="1" applyFont="1" applyFill="1" applyBorder="1" applyAlignment="1">
      <alignment vertical="center"/>
    </xf>
    <xf numFmtId="10" fontId="0" fillId="0" borderId="26" xfId="0" applyNumberFormat="1" applyFill="1" applyBorder="1" applyAlignment="1">
      <alignment vertical="center"/>
    </xf>
    <xf numFmtId="10" fontId="0" fillId="0" borderId="27" xfId="4" applyNumberFormat="1" applyFont="1" applyFill="1" applyBorder="1" applyAlignment="1">
      <alignment vertical="center"/>
    </xf>
    <xf numFmtId="10" fontId="0" fillId="0" borderId="10" xfId="4" applyNumberFormat="1" applyFont="1" applyFill="1" applyBorder="1" applyAlignment="1">
      <alignment vertical="center"/>
    </xf>
    <xf numFmtId="10" fontId="0" fillId="0" borderId="10" xfId="0" applyNumberFormat="1" applyFill="1" applyBorder="1" applyAlignment="1">
      <alignment vertical="center"/>
    </xf>
    <xf numFmtId="10" fontId="0" fillId="0" borderId="13" xfId="4" applyNumberFormat="1" applyFont="1" applyFill="1" applyBorder="1" applyAlignment="1">
      <alignment vertical="center"/>
    </xf>
    <xf numFmtId="10" fontId="0" fillId="0" borderId="26" xfId="4" applyNumberFormat="1" applyFont="1" applyBorder="1" applyAlignment="1">
      <alignment horizontal="right" vertical="center"/>
    </xf>
    <xf numFmtId="10" fontId="0" fillId="0" borderId="26" xfId="4" applyNumberFormat="1" applyFont="1" applyBorder="1" applyAlignment="1">
      <alignment vertical="center" wrapText="1"/>
    </xf>
    <xf numFmtId="171" fontId="0" fillId="0" borderId="26" xfId="1" applyFont="1" applyBorder="1" applyAlignment="1">
      <alignment horizontal="right" vertical="center"/>
    </xf>
    <xf numFmtId="2" fontId="0" fillId="0" borderId="26" xfId="0" applyNumberFormat="1" applyBorder="1" applyAlignment="1">
      <alignment horizontal="right" vertical="center"/>
    </xf>
    <xf numFmtId="10" fontId="0" fillId="0" borderId="27" xfId="4" applyNumberFormat="1" applyFont="1" applyBorder="1" applyAlignment="1">
      <alignment horizontal="right" vertical="center"/>
    </xf>
    <xf numFmtId="10" fontId="0" fillId="0" borderId="10" xfId="4" applyNumberFormat="1" applyFont="1" applyBorder="1" applyAlignment="1">
      <alignment horizontal="right" vertical="center"/>
    </xf>
    <xf numFmtId="10" fontId="0" fillId="0" borderId="10" xfId="4" applyNumberFormat="1" applyFont="1" applyBorder="1" applyAlignment="1">
      <alignment vertical="center" wrapText="1"/>
    </xf>
    <xf numFmtId="171" fontId="0" fillId="0" borderId="10" xfId="1" applyFont="1" applyBorder="1" applyAlignment="1">
      <alignment horizontal="right" vertical="center"/>
    </xf>
    <xf numFmtId="2" fontId="0" fillId="0" borderId="10" xfId="0" applyNumberFormat="1" applyBorder="1" applyAlignment="1">
      <alignment horizontal="right" vertical="center"/>
    </xf>
    <xf numFmtId="10" fontId="0" fillId="0" borderId="13" xfId="4" applyNumberFormat="1" applyFont="1" applyBorder="1" applyAlignment="1">
      <alignment horizontal="right" vertical="center"/>
    </xf>
    <xf numFmtId="0" fontId="4" fillId="2" borderId="25" xfId="0" applyFont="1" applyFill="1" applyBorder="1" applyAlignment="1">
      <alignment horizontal="center" vertical="center"/>
    </xf>
    <xf numFmtId="0" fontId="3" fillId="0" borderId="0" xfId="0" applyFont="1" applyBorder="1"/>
    <xf numFmtId="0" fontId="3" fillId="0" borderId="0" xfId="0" applyFont="1" applyBorder="1" applyAlignment="1">
      <alignment horizontal="left" indent="2"/>
    </xf>
    <xf numFmtId="184" fontId="3" fillId="0" borderId="0" xfId="0" applyNumberFormat="1" applyFont="1" applyBorder="1"/>
    <xf numFmtId="0" fontId="3" fillId="0" borderId="0" xfId="0" quotePrefix="1" applyFont="1" applyBorder="1" applyAlignment="1">
      <alignment horizontal="left" indent="2"/>
    </xf>
    <xf numFmtId="0" fontId="0" fillId="0" borderId="0" xfId="0" applyAlignment="1">
      <alignment horizontal="left" wrapText="1"/>
    </xf>
    <xf numFmtId="173" fontId="0" fillId="0" borderId="0" xfId="0" applyNumberFormat="1"/>
    <xf numFmtId="0" fontId="10" fillId="0" borderId="0" xfId="3" applyFont="1" applyAlignment="1" applyProtection="1"/>
    <xf numFmtId="178" fontId="0" fillId="0" borderId="0" xfId="0" applyNumberFormat="1" applyFill="1"/>
    <xf numFmtId="174" fontId="0" fillId="0" borderId="0" xfId="0" applyNumberFormat="1" applyAlignment="1">
      <alignment horizontal="right"/>
    </xf>
    <xf numFmtId="182" fontId="0" fillId="0" borderId="2" xfId="0" applyNumberFormat="1" applyBorder="1" applyAlignment="1">
      <alignment horizontal="right"/>
    </xf>
    <xf numFmtId="182" fontId="0" fillId="0" borderId="3" xfId="0" applyNumberFormat="1" applyBorder="1" applyAlignment="1">
      <alignment horizontal="right"/>
    </xf>
    <xf numFmtId="0" fontId="0" fillId="0" borderId="0" xfId="0" applyAlignment="1">
      <alignment horizontal="left" wrapText="1" indent="1"/>
    </xf>
    <xf numFmtId="0" fontId="0" fillId="0" borderId="0" xfId="0" applyBorder="1" applyAlignment="1">
      <alignment horizontal="right" vertical="justify"/>
    </xf>
    <xf numFmtId="179" fontId="0" fillId="0" borderId="0" xfId="4" applyNumberFormat="1" applyFont="1" applyAlignment="1">
      <alignment horizontal="right"/>
    </xf>
    <xf numFmtId="0" fontId="0" fillId="0" borderId="0" xfId="0" quotePrefix="1" applyBorder="1" applyAlignment="1">
      <alignment horizontal="right"/>
    </xf>
    <xf numFmtId="179" fontId="0" fillId="0" borderId="2" xfId="4" applyNumberFormat="1" applyFont="1" applyBorder="1" applyAlignment="1">
      <alignment horizontal="right"/>
    </xf>
    <xf numFmtId="0" fontId="12" fillId="0" borderId="0" xfId="0" applyFont="1"/>
    <xf numFmtId="179" fontId="0" fillId="0" borderId="2" xfId="0" applyNumberFormat="1" applyBorder="1"/>
    <xf numFmtId="10" fontId="0" fillId="0" borderId="0" xfId="1" applyNumberFormat="1" applyFont="1" applyBorder="1"/>
    <xf numFmtId="0" fontId="14" fillId="0" borderId="0" xfId="0" applyFont="1"/>
    <xf numFmtId="0" fontId="14" fillId="0" borderId="0" xfId="0" applyFont="1" applyAlignment="1">
      <alignment horizontal="center"/>
    </xf>
    <xf numFmtId="188" fontId="14" fillId="0" borderId="0" xfId="0" applyNumberFormat="1" applyFont="1" applyAlignment="1">
      <alignment horizontal="center"/>
    </xf>
    <xf numFmtId="177" fontId="14" fillId="0" borderId="0" xfId="0" applyNumberFormat="1" applyFont="1"/>
    <xf numFmtId="0" fontId="16" fillId="0" borderId="0" xfId="0" applyFont="1" applyAlignment="1">
      <alignment vertical="center"/>
    </xf>
    <xf numFmtId="0" fontId="14" fillId="0" borderId="0" xfId="0" applyFont="1" applyAlignment="1">
      <alignment vertical="center"/>
    </xf>
    <xf numFmtId="177" fontId="14" fillId="0" borderId="0" xfId="0" applyNumberFormat="1" applyFont="1" applyAlignment="1">
      <alignment vertical="center"/>
    </xf>
    <xf numFmtId="0" fontId="15" fillId="0" borderId="0" xfId="0" applyFont="1" applyAlignment="1">
      <alignment vertical="center"/>
    </xf>
    <xf numFmtId="189" fontId="14" fillId="0" borderId="0" xfId="0" applyNumberFormat="1" applyFont="1"/>
    <xf numFmtId="0" fontId="14" fillId="0" borderId="28" xfId="0" applyFont="1" applyBorder="1" applyAlignment="1">
      <alignment vertical="center"/>
    </xf>
    <xf numFmtId="177" fontId="14" fillId="0" borderId="28" xfId="0" applyNumberFormat="1" applyFont="1" applyBorder="1" applyAlignment="1">
      <alignment vertical="center"/>
    </xf>
    <xf numFmtId="0" fontId="14" fillId="0" borderId="28" xfId="0" applyFont="1" applyBorder="1" applyAlignment="1">
      <alignment horizontal="center" vertical="center"/>
    </xf>
    <xf numFmtId="188" fontId="14" fillId="0" borderId="28" xfId="0" applyNumberFormat="1" applyFont="1" applyBorder="1" applyAlignment="1">
      <alignment horizontal="center" vertical="center"/>
    </xf>
    <xf numFmtId="179" fontId="14" fillId="0" borderId="0" xfId="0" applyNumberFormat="1" applyFont="1"/>
    <xf numFmtId="181" fontId="14" fillId="0" borderId="0" xfId="1" applyNumberFormat="1" applyFont="1"/>
    <xf numFmtId="0" fontId="14" fillId="0" borderId="28" xfId="0" applyFont="1" applyBorder="1" applyAlignment="1">
      <alignment horizontal="center"/>
    </xf>
    <xf numFmtId="0" fontId="18" fillId="0" borderId="0" xfId="0" applyFont="1"/>
    <xf numFmtId="0" fontId="19" fillId="0" borderId="0" xfId="0" applyFont="1"/>
    <xf numFmtId="178" fontId="19" fillId="0" borderId="0" xfId="0" applyNumberFormat="1" applyFont="1"/>
    <xf numFmtId="0" fontId="20" fillId="0" borderId="0" xfId="0" applyFont="1"/>
    <xf numFmtId="182" fontId="1" fillId="0" borderId="0" xfId="0" applyNumberFormat="1" applyFont="1"/>
    <xf numFmtId="182" fontId="1" fillId="0" borderId="4" xfId="0" applyNumberFormat="1" applyFont="1" applyBorder="1"/>
    <xf numFmtId="0" fontId="0" fillId="0" borderId="3" xfId="0" applyFill="1" applyBorder="1"/>
    <xf numFmtId="182" fontId="0" fillId="0" borderId="2" xfId="0" applyNumberFormat="1" applyFill="1" applyBorder="1" applyAlignment="1">
      <alignment horizontal="left" indent="1"/>
    </xf>
    <xf numFmtId="182" fontId="0" fillId="0" borderId="8" xfId="0" applyNumberFormat="1" applyFill="1" applyBorder="1"/>
    <xf numFmtId="0" fontId="0" fillId="0" borderId="8" xfId="0" applyFill="1" applyBorder="1"/>
    <xf numFmtId="182" fontId="0" fillId="0" borderId="0" xfId="0" applyNumberFormat="1" applyBorder="1" applyAlignment="1">
      <alignment horizontal="right"/>
    </xf>
    <xf numFmtId="0" fontId="0" fillId="0" borderId="0" xfId="0" applyFill="1" applyAlignment="1">
      <alignment horizontal="left" indent="1"/>
    </xf>
    <xf numFmtId="0" fontId="0" fillId="0" borderId="2" xfId="0" applyFill="1" applyBorder="1" applyAlignment="1">
      <alignment horizontal="left" indent="1"/>
    </xf>
    <xf numFmtId="182" fontId="0" fillId="0" borderId="0" xfId="0" applyNumberFormat="1" applyFill="1" applyBorder="1" applyAlignment="1">
      <alignment horizontal="left" indent="1"/>
    </xf>
    <xf numFmtId="190" fontId="0" fillId="0" borderId="8" xfId="0" applyNumberFormat="1" applyFill="1" applyBorder="1"/>
    <xf numFmtId="179" fontId="0" fillId="0" borderId="4" xfId="0" applyNumberFormat="1" applyBorder="1"/>
    <xf numFmtId="182" fontId="0" fillId="0" borderId="0" xfId="0" applyNumberFormat="1" applyFill="1" applyBorder="1"/>
    <xf numFmtId="182" fontId="0" fillId="0" borderId="4" xfId="0" applyNumberFormat="1" applyFill="1" applyBorder="1"/>
    <xf numFmtId="171" fontId="0" fillId="0" borderId="0" xfId="0" applyNumberFormat="1" applyFill="1"/>
    <xf numFmtId="191" fontId="0" fillId="0" borderId="0" xfId="0" applyNumberFormat="1" applyFill="1"/>
    <xf numFmtId="182" fontId="0" fillId="0" borderId="0" xfId="0" applyNumberFormat="1" applyFill="1" applyAlignment="1"/>
    <xf numFmtId="182" fontId="0" fillId="0" borderId="2" xfId="0" applyNumberFormat="1" applyFill="1" applyBorder="1" applyAlignment="1"/>
    <xf numFmtId="0" fontId="0" fillId="0" borderId="2" xfId="0" applyFill="1" applyBorder="1"/>
    <xf numFmtId="0" fontId="5" fillId="0" borderId="0" xfId="0" applyFont="1" applyFill="1" applyAlignment="1">
      <alignment wrapText="1"/>
    </xf>
    <xf numFmtId="0" fontId="0" fillId="0" borderId="0" xfId="0" applyFill="1" applyAlignment="1">
      <alignment wrapText="1"/>
    </xf>
    <xf numFmtId="0" fontId="0" fillId="0" borderId="4" xfId="0" applyFill="1" applyBorder="1" applyAlignment="1">
      <alignment wrapText="1"/>
    </xf>
    <xf numFmtId="0" fontId="4" fillId="0" borderId="0" xfId="0" applyFont="1" applyFill="1" applyAlignment="1">
      <alignment wrapText="1"/>
    </xf>
    <xf numFmtId="0" fontId="0" fillId="0" borderId="0" xfId="0" applyFill="1" applyBorder="1" applyAlignment="1">
      <alignment wrapText="1"/>
    </xf>
    <xf numFmtId="175" fontId="1" fillId="0" borderId="0" xfId="0" applyNumberFormat="1" applyFont="1"/>
    <xf numFmtId="0" fontId="1" fillId="0" borderId="0" xfId="0" applyFont="1" applyAlignment="1">
      <alignment wrapText="1"/>
    </xf>
    <xf numFmtId="182" fontId="1" fillId="0" borderId="0" xfId="0" applyNumberFormat="1" applyFont="1" applyBorder="1"/>
    <xf numFmtId="182" fontId="1" fillId="0" borderId="9" xfId="0" applyNumberFormat="1" applyFont="1" applyBorder="1"/>
    <xf numFmtId="182" fontId="1" fillId="0" borderId="3" xfId="0" applyNumberFormat="1" applyFont="1" applyBorder="1"/>
    <xf numFmtId="174" fontId="1" fillId="0" borderId="3" xfId="0" applyNumberFormat="1" applyFont="1" applyBorder="1"/>
    <xf numFmtId="176" fontId="1" fillId="0" borderId="0" xfId="0" applyNumberFormat="1" applyFont="1"/>
    <xf numFmtId="174" fontId="1" fillId="0" borderId="0" xfId="0" applyNumberFormat="1" applyFont="1"/>
    <xf numFmtId="175" fontId="1" fillId="0" borderId="2" xfId="0" applyNumberFormat="1" applyFont="1" applyBorder="1"/>
    <xf numFmtId="174" fontId="1" fillId="0" borderId="2" xfId="0" applyNumberFormat="1" applyFont="1" applyBorder="1"/>
    <xf numFmtId="172" fontId="1" fillId="0" borderId="0" xfId="0" applyNumberFormat="1" applyFont="1" applyAlignment="1">
      <alignment horizontal="center"/>
    </xf>
    <xf numFmtId="165" fontId="1" fillId="0" borderId="0" xfId="0" applyNumberFormat="1" applyFont="1"/>
    <xf numFmtId="0" fontId="1" fillId="0" borderId="0" xfId="0" applyFont="1" applyAlignment="1">
      <alignment horizontal="left" indent="1"/>
    </xf>
    <xf numFmtId="0" fontId="3" fillId="0" borderId="0" xfId="0" applyFont="1" applyAlignment="1">
      <alignment horizontal="left" vertical="justify" wrapText="1"/>
    </xf>
    <xf numFmtId="182" fontId="1" fillId="0" borderId="0" xfId="0" applyNumberFormat="1" applyFont="1" applyAlignment="1">
      <alignment horizontal="center"/>
    </xf>
    <xf numFmtId="0" fontId="1" fillId="0" borderId="0" xfId="0" applyFont="1" applyAlignment="1">
      <alignment horizontal="center"/>
    </xf>
    <xf numFmtId="182" fontId="1" fillId="0" borderId="2" xfId="0" applyNumberFormat="1" applyFont="1" applyFill="1" applyBorder="1"/>
    <xf numFmtId="182" fontId="1" fillId="0" borderId="8" xfId="0" applyNumberFormat="1" applyFont="1" applyBorder="1"/>
    <xf numFmtId="171" fontId="1" fillId="0" borderId="0" xfId="0" applyNumberFormat="1" applyFont="1"/>
    <xf numFmtId="177" fontId="14" fillId="0" borderId="0" xfId="0" applyNumberFormat="1" applyFont="1" applyFill="1" applyAlignment="1">
      <alignment vertical="center"/>
    </xf>
    <xf numFmtId="177" fontId="14" fillId="0" borderId="28" xfId="0" applyNumberFormat="1" applyFont="1" applyFill="1" applyBorder="1" applyAlignment="1">
      <alignment vertical="center"/>
    </xf>
    <xf numFmtId="0" fontId="14" fillId="0" borderId="0" xfId="0" applyFont="1" applyFill="1" applyAlignment="1">
      <alignment vertical="center"/>
    </xf>
    <xf numFmtId="182" fontId="1" fillId="0" borderId="0" xfId="0" applyNumberFormat="1" applyFont="1" applyFill="1"/>
    <xf numFmtId="182" fontId="1" fillId="0" borderId="8" xfId="0" applyNumberFormat="1" applyFont="1" applyFill="1" applyBorder="1"/>
    <xf numFmtId="0" fontId="1" fillId="0" borderId="0" xfId="0" applyFont="1" applyFill="1"/>
    <xf numFmtId="0" fontId="1" fillId="0" borderId="2" xfId="0" applyFont="1" applyFill="1" applyBorder="1"/>
    <xf numFmtId="179" fontId="1" fillId="0" borderId="4" xfId="4" applyNumberFormat="1" applyFont="1" applyFill="1" applyBorder="1"/>
    <xf numFmtId="0" fontId="0" fillId="0" borderId="1" xfId="0" applyFill="1" applyBorder="1"/>
    <xf numFmtId="182" fontId="0" fillId="0" borderId="3" xfId="0" applyNumberFormat="1" applyFill="1" applyBorder="1"/>
    <xf numFmtId="179" fontId="0" fillId="0" borderId="4" xfId="4" applyNumberFormat="1" applyFont="1" applyFill="1" applyBorder="1"/>
    <xf numFmtId="174" fontId="0" fillId="0" borderId="0" xfId="0" applyNumberFormat="1" applyFill="1" applyAlignment="1">
      <alignment horizontal="right"/>
    </xf>
    <xf numFmtId="0" fontId="14" fillId="0" borderId="0" xfId="0" applyFont="1" applyBorder="1" applyAlignment="1">
      <alignment horizontal="center"/>
    </xf>
    <xf numFmtId="0" fontId="14" fillId="0" borderId="0" xfId="0" applyFont="1" applyBorder="1"/>
    <xf numFmtId="179" fontId="14" fillId="0" borderId="0" xfId="0" applyNumberFormat="1" applyFont="1" applyBorder="1"/>
    <xf numFmtId="181" fontId="14" fillId="0" borderId="0" xfId="1" applyNumberFormat="1" applyFont="1" applyBorder="1"/>
    <xf numFmtId="182" fontId="4" fillId="0" borderId="0" xfId="0" applyNumberFormat="1" applyFont="1" applyFill="1"/>
    <xf numFmtId="182" fontId="0" fillId="0" borderId="1" xfId="0" applyNumberFormat="1" applyFill="1" applyBorder="1"/>
    <xf numFmtId="0" fontId="0" fillId="0" borderId="1" xfId="0" applyFill="1" applyBorder="1" applyAlignment="1">
      <alignment horizontal="right" vertical="distributed"/>
    </xf>
    <xf numFmtId="0" fontId="0" fillId="0" borderId="1" xfId="0" applyFill="1" applyBorder="1" applyAlignment="1">
      <alignment horizontal="right" vertical="justify"/>
    </xf>
    <xf numFmtId="0" fontId="0" fillId="0" borderId="23" xfId="0" applyFill="1" applyBorder="1" applyAlignment="1">
      <alignment horizontal="right" vertical="justify"/>
    </xf>
    <xf numFmtId="182" fontId="0" fillId="0" borderId="0" xfId="0" applyNumberFormat="1" applyFill="1" applyBorder="1" applyAlignment="1">
      <alignment horizontal="right" vertical="distributed"/>
    </xf>
    <xf numFmtId="174" fontId="0" fillId="0" borderId="0" xfId="0" applyNumberFormat="1" applyFill="1" applyBorder="1" applyAlignment="1">
      <alignment horizontal="right" vertical="justify"/>
    </xf>
    <xf numFmtId="0" fontId="4" fillId="0" borderId="0" xfId="0" applyFont="1" applyFill="1"/>
    <xf numFmtId="0" fontId="0" fillId="0" borderId="0" xfId="0" applyFill="1" applyBorder="1" applyAlignment="1">
      <alignment horizontal="right" vertical="justify"/>
    </xf>
    <xf numFmtId="182" fontId="0" fillId="0" borderId="0" xfId="0" applyNumberFormat="1" applyFill="1" applyAlignment="1">
      <alignment horizontal="left" indent="1"/>
    </xf>
    <xf numFmtId="0" fontId="0" fillId="0" borderId="9" xfId="0" applyFill="1" applyBorder="1"/>
    <xf numFmtId="0" fontId="3" fillId="0" borderId="0" xfId="0" applyFont="1" applyAlignment="1">
      <alignment horizontal="left" wrapText="1" indent="2"/>
    </xf>
    <xf numFmtId="0" fontId="2" fillId="0" borderId="0" xfId="0" applyFont="1" applyAlignment="1">
      <alignment horizontal="center"/>
    </xf>
    <xf numFmtId="0" fontId="3" fillId="0" borderId="0" xfId="0" applyFont="1" applyAlignment="1">
      <alignment horizontal="left" vertical="justify" wrapText="1"/>
    </xf>
    <xf numFmtId="0" fontId="0" fillId="0" borderId="0" xfId="0" applyAlignment="1">
      <alignment wrapText="1"/>
    </xf>
    <xf numFmtId="0" fontId="3" fillId="0" borderId="0" xfId="0" applyFont="1" applyBorder="1" applyAlignment="1">
      <alignment horizontal="left" vertical="center" wrapText="1"/>
    </xf>
    <xf numFmtId="0" fontId="3" fillId="0" borderId="0" xfId="0" applyFont="1" applyAlignment="1">
      <alignment horizontal="left" wrapText="1"/>
    </xf>
    <xf numFmtId="0" fontId="3" fillId="0" borderId="0" xfId="0" applyFont="1" applyBorder="1" applyAlignment="1">
      <alignment horizontal="left" vertical="justify" wrapText="1"/>
    </xf>
    <xf numFmtId="0" fontId="3" fillId="0" borderId="0" xfId="0" applyFont="1" applyAlignment="1">
      <alignment horizontal="left" wrapText="1" indent="2"/>
    </xf>
    <xf numFmtId="0" fontId="3" fillId="0" borderId="0" xfId="0" applyFont="1" applyAlignment="1">
      <alignment wrapText="1"/>
    </xf>
    <xf numFmtId="0" fontId="3" fillId="0" borderId="0" xfId="0" quotePrefix="1" applyFont="1" applyAlignment="1">
      <alignment horizontal="left" wrapText="1" indent="2"/>
    </xf>
    <xf numFmtId="0" fontId="12" fillId="0" borderId="1" xfId="0" applyFont="1" applyFill="1" applyBorder="1" applyAlignment="1">
      <alignment horizontal="center"/>
    </xf>
    <xf numFmtId="0" fontId="12" fillId="0" borderId="1" xfId="0" applyFont="1" applyFill="1" applyBorder="1" applyAlignment="1"/>
    <xf numFmtId="0" fontId="0" fillId="0" borderId="5" xfId="0" applyBorder="1" applyAlignment="1">
      <alignment horizontal="right" wrapText="1"/>
    </xf>
    <xf numFmtId="0" fontId="0" fillId="0" borderId="0" xfId="0" applyBorder="1" applyAlignment="1">
      <alignment horizontal="right" wrapText="1"/>
    </xf>
    <xf numFmtId="0" fontId="0" fillId="0" borderId="1" xfId="0" applyBorder="1" applyAlignment="1">
      <alignment horizontal="right" wrapText="1"/>
    </xf>
    <xf numFmtId="0" fontId="0" fillId="0" borderId="4" xfId="0" applyBorder="1" applyAlignment="1">
      <alignment horizontal="center" wrapText="1"/>
    </xf>
    <xf numFmtId="0" fontId="0" fillId="0" borderId="29" xfId="0" applyBorder="1" applyAlignment="1">
      <alignment horizontal="center" wrapText="1"/>
    </xf>
    <xf numFmtId="0" fontId="0" fillId="0" borderId="2" xfId="0" applyBorder="1" applyAlignment="1">
      <alignment horizontal="center" wrapText="1"/>
    </xf>
    <xf numFmtId="0" fontId="4" fillId="0" borderId="0" xfId="0" applyFont="1" applyAlignment="1">
      <alignment horizontal="left" wrapText="1"/>
    </xf>
    <xf numFmtId="0" fontId="0" fillId="0" borderId="2" xfId="0" applyBorder="1" applyAlignment="1">
      <alignment horizontal="center" vertical="center" wrapText="1"/>
    </xf>
    <xf numFmtId="0" fontId="0" fillId="0" borderId="0" xfId="0" applyAlignment="1">
      <alignment horizontal="left" wrapText="1"/>
    </xf>
    <xf numFmtId="0" fontId="0" fillId="0" borderId="30" xfId="0" applyBorder="1" applyAlignment="1">
      <alignment horizontal="left" wrapText="1"/>
    </xf>
    <xf numFmtId="0" fontId="0" fillId="0" borderId="4" xfId="0" applyBorder="1" applyAlignment="1">
      <alignment horizontal="left" wrapText="1"/>
    </xf>
    <xf numFmtId="0" fontId="0" fillId="0" borderId="29" xfId="0" applyBorder="1" applyAlignment="1">
      <alignment horizontal="left" wrapText="1"/>
    </xf>
    <xf numFmtId="0" fontId="5" fillId="0" borderId="0" xfId="0" applyFont="1" applyAlignment="1">
      <alignment wrapText="1"/>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200" b="1" i="0" u="none" strike="noStrike" baseline="0">
                <a:solidFill>
                  <a:srgbClr val="000000"/>
                </a:solidFill>
                <a:latin typeface="Arial"/>
                <a:ea typeface="Arial"/>
                <a:cs typeface="Arial"/>
              </a:defRPr>
            </a:pPr>
            <a:r>
              <a:t>Common-Size Income Statement</a:t>
            </a:r>
          </a:p>
        </c:rich>
      </c:tx>
      <c:layout>
        <c:manualLayout>
          <c:xMode val="edge"/>
          <c:yMode val="edge"/>
          <c:x val="0.33761232349165599"/>
          <c:y val="2.8790786948176585E-2"/>
        </c:manualLayout>
      </c:layout>
      <c:spPr>
        <a:noFill/>
        <a:ln w="25400">
          <a:noFill/>
        </a:ln>
      </c:spPr>
    </c:title>
    <c:plotArea>
      <c:layout>
        <c:manualLayout>
          <c:layoutTarget val="inner"/>
          <c:xMode val="edge"/>
          <c:yMode val="edge"/>
          <c:x val="0.11810012836970475"/>
          <c:y val="0.14395393474088292"/>
          <c:w val="0.503209242618742"/>
          <c:h val="0.80806142034548945"/>
        </c:manualLayout>
      </c:layout>
      <c:lineChart>
        <c:grouping val="standard"/>
        <c:ser>
          <c:idx val="1"/>
          <c:order val="0"/>
          <c:tx>
            <c:v>Cost of Sales</c:v>
          </c:tx>
          <c:spPr>
            <a:ln w="12700">
              <a:solidFill>
                <a:srgbClr val="FF00FF"/>
              </a:solidFill>
              <a:prstDash val="solid"/>
            </a:ln>
          </c:spPr>
          <c:marker>
            <c:symbol val="square"/>
            <c:size val="5"/>
            <c:spPr>
              <a:solidFill>
                <a:srgbClr val="FF00FF"/>
              </a:solidFill>
              <a:ln>
                <a:solidFill>
                  <a:srgbClr val="FF00FF"/>
                </a:solidFill>
                <a:prstDash val="solid"/>
              </a:ln>
            </c:spPr>
          </c:marker>
          <c:cat>
            <c:numRef>
              <c:f>'Common Size and Trend Analysis'!$C$19:$O$19</c:f>
              <c:numCache>
                <c:formatCode>yyyy/mm/dd</c:formatCode>
                <c:ptCount val="13"/>
                <c:pt idx="0">
                  <c:v>39599</c:v>
                </c:pt>
                <c:pt idx="1">
                  <c:v>39233</c:v>
                </c:pt>
                <c:pt idx="2">
                  <c:v>38868</c:v>
                </c:pt>
                <c:pt idx="3">
                  <c:v>38503</c:v>
                </c:pt>
                <c:pt idx="4">
                  <c:v>38138</c:v>
                </c:pt>
                <c:pt idx="5">
                  <c:v>37772</c:v>
                </c:pt>
                <c:pt idx="6">
                  <c:v>37407</c:v>
                </c:pt>
                <c:pt idx="7">
                  <c:v>37042</c:v>
                </c:pt>
                <c:pt idx="8">
                  <c:v>36677</c:v>
                </c:pt>
                <c:pt idx="9">
                  <c:v>36311</c:v>
                </c:pt>
                <c:pt idx="10">
                  <c:v>35946</c:v>
                </c:pt>
                <c:pt idx="11">
                  <c:v>35581</c:v>
                </c:pt>
                <c:pt idx="12">
                  <c:v>35216</c:v>
                </c:pt>
              </c:numCache>
            </c:numRef>
          </c:cat>
          <c:val>
            <c:numRef>
              <c:f>'Common Size and Trend Analysis'!$C$21:$K$21</c:f>
              <c:numCache>
                <c:formatCode>0.0%</c:formatCode>
                <c:ptCount val="9"/>
                <c:pt idx="0">
                  <c:v>0.54971815107102595</c:v>
                </c:pt>
                <c:pt idx="1">
                  <c:v>0.5614024341690198</c:v>
                </c:pt>
                <c:pt idx="2">
                  <c:v>0.55954235735444569</c:v>
                </c:pt>
                <c:pt idx="3">
                  <c:v>0.55491022365844955</c:v>
                </c:pt>
                <c:pt idx="4">
                  <c:v>0.57139825839991509</c:v>
                </c:pt>
                <c:pt idx="5">
                  <c:v>0.5902215574460129</c:v>
                </c:pt>
                <c:pt idx="6">
                  <c:v>0.60696452036793691</c:v>
                </c:pt>
                <c:pt idx="7">
                  <c:v>0.60965559396340951</c:v>
                </c:pt>
                <c:pt idx="8">
                  <c:v>0.60074929683939038</c:v>
                </c:pt>
              </c:numCache>
            </c:numRef>
          </c:val>
        </c:ser>
        <c:ser>
          <c:idx val="2"/>
          <c:order val="1"/>
          <c:tx>
            <c:strRef>
              <c:f>'Common Size and Trend Analysis'!$B$22</c:f>
              <c:strCache>
                <c:ptCount val="1"/>
                <c:pt idx="0">
                  <c:v>Gross margin</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cat>
            <c:numRef>
              <c:f>'Common Size and Trend Analysis'!$C$19:$O$19</c:f>
              <c:numCache>
                <c:formatCode>yyyy/mm/dd</c:formatCode>
                <c:ptCount val="13"/>
                <c:pt idx="0">
                  <c:v>39599</c:v>
                </c:pt>
                <c:pt idx="1">
                  <c:v>39233</c:v>
                </c:pt>
                <c:pt idx="2">
                  <c:v>38868</c:v>
                </c:pt>
                <c:pt idx="3">
                  <c:v>38503</c:v>
                </c:pt>
                <c:pt idx="4">
                  <c:v>38138</c:v>
                </c:pt>
                <c:pt idx="5">
                  <c:v>37772</c:v>
                </c:pt>
                <c:pt idx="6">
                  <c:v>37407</c:v>
                </c:pt>
                <c:pt idx="7">
                  <c:v>37042</c:v>
                </c:pt>
                <c:pt idx="8">
                  <c:v>36677</c:v>
                </c:pt>
                <c:pt idx="9">
                  <c:v>36311</c:v>
                </c:pt>
                <c:pt idx="10">
                  <c:v>35946</c:v>
                </c:pt>
                <c:pt idx="11">
                  <c:v>35581</c:v>
                </c:pt>
                <c:pt idx="12">
                  <c:v>35216</c:v>
                </c:pt>
              </c:numCache>
            </c:numRef>
          </c:cat>
          <c:val>
            <c:numRef>
              <c:f>'Common Size and Trend Analysis'!$C$22:$K$22</c:f>
              <c:numCache>
                <c:formatCode>0.0%</c:formatCode>
                <c:ptCount val="9"/>
                <c:pt idx="0">
                  <c:v>0.45028184892897405</c:v>
                </c:pt>
                <c:pt idx="1">
                  <c:v>0.43859756583098025</c:v>
                </c:pt>
                <c:pt idx="2">
                  <c:v>0.44045764264555431</c:v>
                </c:pt>
                <c:pt idx="3">
                  <c:v>0.44508977634155039</c:v>
                </c:pt>
                <c:pt idx="4">
                  <c:v>0.42860174160008491</c:v>
                </c:pt>
                <c:pt idx="5">
                  <c:v>0.40977844255398704</c:v>
                </c:pt>
                <c:pt idx="6">
                  <c:v>0.39303547963206309</c:v>
                </c:pt>
                <c:pt idx="7">
                  <c:v>0.39034440603659049</c:v>
                </c:pt>
                <c:pt idx="8">
                  <c:v>0.39925070316060968</c:v>
                </c:pt>
              </c:numCache>
            </c:numRef>
          </c:val>
        </c:ser>
        <c:ser>
          <c:idx val="4"/>
          <c:order val="2"/>
          <c:tx>
            <c:strRef>
              <c:f>'Common Size and Trend Analysis'!$B$24</c:f>
              <c:strCache>
                <c:ptCount val="1"/>
                <c:pt idx="0">
                  <c:v>Administrative expenses </c:v>
                </c:pt>
              </c:strCache>
            </c:strRef>
          </c:tx>
          <c:spPr>
            <a:ln w="12700">
              <a:solidFill>
                <a:srgbClr val="800080"/>
              </a:solidFill>
              <a:prstDash val="solid"/>
            </a:ln>
          </c:spPr>
          <c:marker>
            <c:symbol val="star"/>
            <c:size val="5"/>
            <c:spPr>
              <a:noFill/>
              <a:ln>
                <a:solidFill>
                  <a:srgbClr val="800080"/>
                </a:solidFill>
                <a:prstDash val="solid"/>
              </a:ln>
            </c:spPr>
          </c:marker>
          <c:cat>
            <c:numRef>
              <c:f>'Common Size and Trend Analysis'!$C$19:$O$19</c:f>
              <c:numCache>
                <c:formatCode>yyyy/mm/dd</c:formatCode>
                <c:ptCount val="13"/>
                <c:pt idx="0">
                  <c:v>39599</c:v>
                </c:pt>
                <c:pt idx="1">
                  <c:v>39233</c:v>
                </c:pt>
                <c:pt idx="2">
                  <c:v>38868</c:v>
                </c:pt>
                <c:pt idx="3">
                  <c:v>38503</c:v>
                </c:pt>
                <c:pt idx="4">
                  <c:v>38138</c:v>
                </c:pt>
                <c:pt idx="5">
                  <c:v>37772</c:v>
                </c:pt>
                <c:pt idx="6">
                  <c:v>37407</c:v>
                </c:pt>
                <c:pt idx="7">
                  <c:v>37042</c:v>
                </c:pt>
                <c:pt idx="8">
                  <c:v>36677</c:v>
                </c:pt>
                <c:pt idx="9">
                  <c:v>36311</c:v>
                </c:pt>
                <c:pt idx="10">
                  <c:v>35946</c:v>
                </c:pt>
                <c:pt idx="11">
                  <c:v>35581</c:v>
                </c:pt>
                <c:pt idx="12">
                  <c:v>35216</c:v>
                </c:pt>
              </c:numCache>
            </c:numRef>
          </c:cat>
          <c:val>
            <c:numRef>
              <c:f>'Common Size and Trend Analysis'!$C$24:$K$24</c:f>
              <c:numCache>
                <c:formatCode>0.0%</c:formatCode>
                <c:ptCount val="9"/>
                <c:pt idx="0">
                  <c:v>0.19570515917753797</c:v>
                </c:pt>
                <c:pt idx="1">
                  <c:v>0.19088074776888256</c:v>
                </c:pt>
                <c:pt idx="2">
                  <c:v>0.18305705822172</c:v>
                </c:pt>
                <c:pt idx="3">
                  <c:v>0.19076107920842522</c:v>
                </c:pt>
                <c:pt idx="4">
                  <c:v>0.18869510572834627</c:v>
                </c:pt>
                <c:pt idx="5">
                  <c:v>0.18522015518369636</c:v>
                </c:pt>
                <c:pt idx="6">
                  <c:v>0.18230061659759425</c:v>
                </c:pt>
                <c:pt idx="7">
                  <c:v>0.17946421043756849</c:v>
                </c:pt>
                <c:pt idx="8">
                  <c:v>0.18046491978966325</c:v>
                </c:pt>
              </c:numCache>
            </c:numRef>
          </c:val>
        </c:ser>
        <c:ser>
          <c:idx val="5"/>
          <c:order val="3"/>
          <c:tx>
            <c:strRef>
              <c:f>'Common Size and Trend Analysis'!$B$25</c:f>
              <c:strCache>
                <c:ptCount val="1"/>
                <c:pt idx="0">
                  <c:v>Advertising</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'Common Size and Trend Analysis'!$C$19:$O$19</c:f>
              <c:numCache>
                <c:formatCode>yyyy/mm/dd</c:formatCode>
                <c:ptCount val="13"/>
                <c:pt idx="0">
                  <c:v>39599</c:v>
                </c:pt>
                <c:pt idx="1">
                  <c:v>39233</c:v>
                </c:pt>
                <c:pt idx="2">
                  <c:v>38868</c:v>
                </c:pt>
                <c:pt idx="3">
                  <c:v>38503</c:v>
                </c:pt>
                <c:pt idx="4">
                  <c:v>38138</c:v>
                </c:pt>
                <c:pt idx="5">
                  <c:v>37772</c:v>
                </c:pt>
                <c:pt idx="6">
                  <c:v>37407</c:v>
                </c:pt>
                <c:pt idx="7">
                  <c:v>37042</c:v>
                </c:pt>
                <c:pt idx="8">
                  <c:v>36677</c:v>
                </c:pt>
                <c:pt idx="9">
                  <c:v>36311</c:v>
                </c:pt>
                <c:pt idx="10">
                  <c:v>35946</c:v>
                </c:pt>
                <c:pt idx="11">
                  <c:v>35581</c:v>
                </c:pt>
                <c:pt idx="12">
                  <c:v>35216</c:v>
                </c:pt>
              </c:numCache>
            </c:numRef>
          </c:cat>
          <c:val>
            <c:numRef>
              <c:f>'Common Size and Trend Analysis'!$C$25:$K$25</c:f>
              <c:numCache>
                <c:formatCode>0.0%</c:formatCode>
                <c:ptCount val="9"/>
                <c:pt idx="0">
                  <c:v>0.12392226338111345</c:v>
                </c:pt>
                <c:pt idx="1">
                  <c:v>0.11713902449482112</c:v>
                </c:pt>
                <c:pt idx="2">
                  <c:v>0.11636319868404336</c:v>
                </c:pt>
                <c:pt idx="3">
                  <c:v>0.11650181590573302</c:v>
                </c:pt>
                <c:pt idx="4">
                  <c:v>0.11245317511486889</c:v>
                </c:pt>
                <c:pt idx="5">
                  <c:v>0.10907731139571843</c:v>
                </c:pt>
                <c:pt idx="6">
                  <c:v>0.10390174871120995</c:v>
                </c:pt>
                <c:pt idx="7">
                  <c:v>0.10519770677008686</c:v>
                </c:pt>
                <c:pt idx="8">
                  <c:v>0.10874809618570111</c:v>
                </c:pt>
              </c:numCache>
            </c:numRef>
          </c:val>
        </c:ser>
        <c:ser>
          <c:idx val="6"/>
          <c:order val="4"/>
          <c:tx>
            <c:strRef>
              <c:f>'Common Size and Trend Analysis'!$B$26</c:f>
              <c:strCache>
                <c:ptCount val="1"/>
                <c:pt idx="0">
                  <c:v>Amortization of identifiable intangibles </c:v>
                </c:pt>
              </c:strCache>
            </c:strRef>
          </c:tx>
          <c:spPr>
            <a:ln w="12700">
              <a:solidFill>
                <a:srgbClr val="008080"/>
              </a:solidFill>
              <a:prstDash val="solid"/>
            </a:ln>
          </c:spPr>
          <c:marker>
            <c:symbol val="plus"/>
            <c:size val="5"/>
            <c:spPr>
              <a:noFill/>
              <a:ln>
                <a:solidFill>
                  <a:srgbClr val="008080"/>
                </a:solidFill>
                <a:prstDash val="solid"/>
              </a:ln>
            </c:spPr>
          </c:marker>
          <c:cat>
            <c:numRef>
              <c:f>'Common Size and Trend Analysis'!$C$19:$O$19</c:f>
              <c:numCache>
                <c:formatCode>yyyy/mm/dd</c:formatCode>
                <c:ptCount val="13"/>
                <c:pt idx="0">
                  <c:v>39599</c:v>
                </c:pt>
                <c:pt idx="1">
                  <c:v>39233</c:v>
                </c:pt>
                <c:pt idx="2">
                  <c:v>38868</c:v>
                </c:pt>
                <c:pt idx="3">
                  <c:v>38503</c:v>
                </c:pt>
                <c:pt idx="4">
                  <c:v>38138</c:v>
                </c:pt>
                <c:pt idx="5">
                  <c:v>37772</c:v>
                </c:pt>
                <c:pt idx="6">
                  <c:v>37407</c:v>
                </c:pt>
                <c:pt idx="7">
                  <c:v>37042</c:v>
                </c:pt>
                <c:pt idx="8">
                  <c:v>36677</c:v>
                </c:pt>
                <c:pt idx="9">
                  <c:v>36311</c:v>
                </c:pt>
                <c:pt idx="10">
                  <c:v>35946</c:v>
                </c:pt>
                <c:pt idx="11">
                  <c:v>35581</c:v>
                </c:pt>
                <c:pt idx="12">
                  <c:v>35216</c:v>
                </c:pt>
              </c:numCache>
            </c:numRef>
          </c:cat>
          <c:val>
            <c:numRef>
              <c:f>'Common Size and Trend Analysis'!$C$26:$K$26</c:f>
              <c:numCache>
                <c:formatCode>0.0%</c:formatCode>
                <c:ptCount val="9"/>
                <c:pt idx="0">
                  <c:v>0</c:v>
                </c:pt>
                <c:pt idx="1">
                  <c:v>0</c:v>
                </c:pt>
                <c:pt idx="2">
                  <c:v>0</c:v>
                </c:pt>
                <c:pt idx="3">
                  <c:v>0</c:v>
                </c:pt>
                <c:pt idx="4">
                  <c:v>9.793440027421631E-4</c:v>
                </c:pt>
                <c:pt idx="5">
                  <c:v>3.3654295596896328E-4</c:v>
                </c:pt>
                <c:pt idx="6">
                  <c:v>2.6281208935611036E-4</c:v>
                </c:pt>
                <c:pt idx="7">
                  <c:v>2.634685102436557E-4</c:v>
                </c:pt>
                <c:pt idx="8">
                  <c:v>2.0566753009972094E-3</c:v>
                </c:pt>
              </c:numCache>
            </c:numRef>
          </c:val>
        </c:ser>
        <c:ser>
          <c:idx val="7"/>
          <c:order val="5"/>
          <c:tx>
            <c:strRef>
              <c:f>'Common Size and Trend Analysis'!$B$27</c:f>
              <c:strCache>
                <c:ptCount val="1"/>
                <c:pt idx="0">
                  <c:v>Other expense, net</c:v>
                </c:pt>
              </c:strCache>
            </c:strRef>
          </c:tx>
          <c:spPr>
            <a:ln w="12700">
              <a:solidFill>
                <a:srgbClr val="0000FF"/>
              </a:solidFill>
              <a:prstDash val="solid"/>
            </a:ln>
          </c:spPr>
          <c:marker>
            <c:symbol val="dot"/>
            <c:size val="5"/>
            <c:spPr>
              <a:noFill/>
              <a:ln>
                <a:solidFill>
                  <a:srgbClr val="0000FF"/>
                </a:solidFill>
                <a:prstDash val="solid"/>
              </a:ln>
            </c:spPr>
          </c:marker>
          <c:cat>
            <c:numRef>
              <c:f>'Common Size and Trend Analysis'!$C$19:$O$19</c:f>
              <c:numCache>
                <c:formatCode>yyyy/mm/dd</c:formatCode>
                <c:ptCount val="13"/>
                <c:pt idx="0">
                  <c:v>39599</c:v>
                </c:pt>
                <c:pt idx="1">
                  <c:v>39233</c:v>
                </c:pt>
                <c:pt idx="2">
                  <c:v>38868</c:v>
                </c:pt>
                <c:pt idx="3">
                  <c:v>38503</c:v>
                </c:pt>
                <c:pt idx="4">
                  <c:v>38138</c:v>
                </c:pt>
                <c:pt idx="5">
                  <c:v>37772</c:v>
                </c:pt>
                <c:pt idx="6">
                  <c:v>37407</c:v>
                </c:pt>
                <c:pt idx="7">
                  <c:v>37042</c:v>
                </c:pt>
                <c:pt idx="8">
                  <c:v>36677</c:v>
                </c:pt>
                <c:pt idx="9">
                  <c:v>36311</c:v>
                </c:pt>
                <c:pt idx="10">
                  <c:v>35946</c:v>
                </c:pt>
                <c:pt idx="11">
                  <c:v>35581</c:v>
                </c:pt>
                <c:pt idx="12">
                  <c:v>35216</c:v>
                </c:pt>
              </c:numCache>
            </c:numRef>
          </c:cat>
          <c:val>
            <c:numRef>
              <c:f>'Common Size and Trend Analysis'!$C$27:$K$27</c:f>
              <c:numCache>
                <c:formatCode>0.0%</c:formatCode>
                <c:ptCount val="9"/>
                <c:pt idx="0">
                  <c:v>-3.6774574542331024E-3</c:v>
                </c:pt>
                <c:pt idx="1">
                  <c:v>5.5127129285368648E-5</c:v>
                </c:pt>
                <c:pt idx="2">
                  <c:v>-2.9421794863222089E-4</c:v>
                </c:pt>
                <c:pt idx="3">
                  <c:v>-2.1179501735845759E-3</c:v>
                </c:pt>
                <c:pt idx="4">
                  <c:v>6.0964164170699657E-3</c:v>
                </c:pt>
                <c:pt idx="5">
                  <c:v>7.4693839394222687E-3</c:v>
                </c:pt>
                <c:pt idx="6">
                  <c:v>3.0324471848781968E-4</c:v>
                </c:pt>
                <c:pt idx="7">
                  <c:v>3.593710479723464E-3</c:v>
                </c:pt>
                <c:pt idx="8">
                  <c:v>2.5791819990883926E-3</c:v>
                </c:pt>
              </c:numCache>
            </c:numRef>
          </c:val>
        </c:ser>
        <c:ser>
          <c:idx val="15"/>
          <c:order val="6"/>
          <c:tx>
            <c:strRef>
              <c:f>'Common Size and Trend Analysis'!$B$35</c:f>
              <c:strCache>
                <c:ptCount val="1"/>
                <c:pt idx="0">
                  <c:v>Core operating income (after tax)</c:v>
                </c:pt>
              </c:strCache>
            </c:strRef>
          </c:tx>
          <c:spPr>
            <a:ln w="12700">
              <a:solidFill>
                <a:srgbClr val="FFCC99"/>
              </a:solidFill>
              <a:prstDash val="solid"/>
            </a:ln>
          </c:spPr>
          <c:marker>
            <c:symbol val="plus"/>
            <c:size val="5"/>
            <c:spPr>
              <a:noFill/>
              <a:ln>
                <a:solidFill>
                  <a:srgbClr val="FFCC99"/>
                </a:solidFill>
                <a:prstDash val="solid"/>
              </a:ln>
            </c:spPr>
          </c:marker>
          <c:cat>
            <c:numRef>
              <c:f>'Common Size and Trend Analysis'!$C$19:$O$19</c:f>
              <c:numCache>
                <c:formatCode>yyyy/mm/dd</c:formatCode>
                <c:ptCount val="13"/>
                <c:pt idx="0">
                  <c:v>39599</c:v>
                </c:pt>
                <c:pt idx="1">
                  <c:v>39233</c:v>
                </c:pt>
                <c:pt idx="2">
                  <c:v>38868</c:v>
                </c:pt>
                <c:pt idx="3">
                  <c:v>38503</c:v>
                </c:pt>
                <c:pt idx="4">
                  <c:v>38138</c:v>
                </c:pt>
                <c:pt idx="5">
                  <c:v>37772</c:v>
                </c:pt>
                <c:pt idx="6">
                  <c:v>37407</c:v>
                </c:pt>
                <c:pt idx="7">
                  <c:v>37042</c:v>
                </c:pt>
                <c:pt idx="8">
                  <c:v>36677</c:v>
                </c:pt>
                <c:pt idx="9">
                  <c:v>36311</c:v>
                </c:pt>
                <c:pt idx="10">
                  <c:v>35946</c:v>
                </c:pt>
                <c:pt idx="11">
                  <c:v>35581</c:v>
                </c:pt>
                <c:pt idx="12">
                  <c:v>35216</c:v>
                </c:pt>
              </c:numCache>
            </c:numRef>
          </c:cat>
          <c:val>
            <c:numRef>
              <c:f>'Common Size and Trend Analysis'!$C$35:$K$35</c:f>
              <c:numCache>
                <c:formatCode>0.0%</c:formatCode>
                <c:ptCount val="9"/>
                <c:pt idx="0">
                  <c:v>9.641189670907821E-2</c:v>
                </c:pt>
                <c:pt idx="1">
                  <c:v>8.8740026583526782E-2</c:v>
                </c:pt>
                <c:pt idx="2">
                  <c:v>9.1514834602705486E-2</c:v>
                </c:pt>
                <c:pt idx="3">
                  <c:v>9.2894837587429197E-2</c:v>
                </c:pt>
                <c:pt idx="4">
                  <c:v>7.8455656119675907E-2</c:v>
                </c:pt>
                <c:pt idx="5">
                  <c:v>7.0870337477797488E-2</c:v>
                </c:pt>
                <c:pt idx="6">
                  <c:v>6.9711108864853946E-2</c:v>
                </c:pt>
                <c:pt idx="7">
                  <c:v>6.5102520866705996E-2</c:v>
                </c:pt>
                <c:pt idx="8">
                  <c:v>6.6393958933197009E-2</c:v>
                </c:pt>
              </c:numCache>
            </c:numRef>
          </c:val>
        </c:ser>
        <c:ser>
          <c:idx val="24"/>
          <c:order val="7"/>
          <c:tx>
            <c:strRef>
              <c:f>'Common Size and Trend Analysis'!$B$44</c:f>
              <c:strCache>
                <c:ptCount val="1"/>
                <c:pt idx="0">
                  <c:v>Total other operating income (expense)</c:v>
                </c:pt>
              </c:strCache>
            </c:strRef>
          </c:tx>
          <c:spPr>
            <a:ln w="12700">
              <a:solidFill>
                <a:srgbClr val="003366"/>
              </a:solidFill>
              <a:prstDash val="solid"/>
            </a:ln>
          </c:spPr>
          <c:marker>
            <c:symbol val="plus"/>
            <c:size val="5"/>
            <c:spPr>
              <a:noFill/>
              <a:ln>
                <a:solidFill>
                  <a:srgbClr val="003366"/>
                </a:solidFill>
                <a:prstDash val="solid"/>
              </a:ln>
            </c:spPr>
          </c:marker>
          <c:cat>
            <c:numRef>
              <c:f>'Common Size and Trend Analysis'!$C$19:$O$19</c:f>
              <c:numCache>
                <c:formatCode>yyyy/mm/dd</c:formatCode>
                <c:ptCount val="13"/>
                <c:pt idx="0">
                  <c:v>39599</c:v>
                </c:pt>
                <c:pt idx="1">
                  <c:v>39233</c:v>
                </c:pt>
                <c:pt idx="2">
                  <c:v>38868</c:v>
                </c:pt>
                <c:pt idx="3">
                  <c:v>38503</c:v>
                </c:pt>
                <c:pt idx="4">
                  <c:v>38138</c:v>
                </c:pt>
                <c:pt idx="5">
                  <c:v>37772</c:v>
                </c:pt>
                <c:pt idx="6">
                  <c:v>37407</c:v>
                </c:pt>
                <c:pt idx="7">
                  <c:v>37042</c:v>
                </c:pt>
                <c:pt idx="8">
                  <c:v>36677</c:v>
                </c:pt>
                <c:pt idx="9">
                  <c:v>36311</c:v>
                </c:pt>
                <c:pt idx="10">
                  <c:v>35946</c:v>
                </c:pt>
                <c:pt idx="11">
                  <c:v>35581</c:v>
                </c:pt>
                <c:pt idx="12">
                  <c:v>35216</c:v>
                </c:pt>
              </c:numCache>
            </c:numRef>
          </c:cat>
          <c:val>
            <c:numRef>
              <c:f>'Common Size and Trend Analysis'!$C$44:$K$44</c:f>
              <c:numCache>
                <c:formatCode>0.0%</c:formatCode>
                <c:ptCount val="9"/>
                <c:pt idx="0">
                  <c:v>4.65990229237129E-3</c:v>
                </c:pt>
                <c:pt idx="1">
                  <c:v>1.2458731218493313E-2</c:v>
                </c:pt>
                <c:pt idx="2">
                  <c:v>3.9986893927742746E-3</c:v>
                </c:pt>
                <c:pt idx="3">
                  <c:v>6.972495760460563E-3</c:v>
                </c:pt>
                <c:pt idx="4">
                  <c:v>5.9883850065248897E-3</c:v>
                </c:pt>
                <c:pt idx="5">
                  <c:v>-3.1245520550933284E-2</c:v>
                </c:pt>
                <c:pt idx="6">
                  <c:v>-6.9509341350297649E-3</c:v>
                </c:pt>
                <c:pt idx="7">
                  <c:v>-1.0036149570312446E-2</c:v>
                </c:pt>
                <c:pt idx="8">
                  <c:v>-7.3016287419874091E-3</c:v>
                </c:pt>
              </c:numCache>
            </c:numRef>
          </c:val>
        </c:ser>
        <c:ser>
          <c:idx val="25"/>
          <c:order val="8"/>
          <c:tx>
            <c:strRef>
              <c:f>'Common Size and Trend Analysis'!$B$45</c:f>
              <c:strCache>
                <c:ptCount val="1"/>
                <c:pt idx="0">
                  <c:v>Operating income after tax</c:v>
                </c:pt>
              </c:strCache>
            </c:strRef>
          </c:tx>
          <c:spPr>
            <a:ln w="12700">
              <a:solidFill>
                <a:srgbClr val="339966"/>
              </a:solidFill>
              <a:prstDash val="solid"/>
            </a:ln>
          </c:spPr>
          <c:marker>
            <c:symbol val="dot"/>
            <c:size val="5"/>
            <c:spPr>
              <a:noFill/>
              <a:ln>
                <a:solidFill>
                  <a:srgbClr val="339966"/>
                </a:solidFill>
                <a:prstDash val="solid"/>
              </a:ln>
            </c:spPr>
          </c:marker>
          <c:cat>
            <c:numRef>
              <c:f>'Common Size and Trend Analysis'!$C$19:$O$19</c:f>
              <c:numCache>
                <c:formatCode>yyyy/mm/dd</c:formatCode>
                <c:ptCount val="13"/>
                <c:pt idx="0">
                  <c:v>39599</c:v>
                </c:pt>
                <c:pt idx="1">
                  <c:v>39233</c:v>
                </c:pt>
                <c:pt idx="2">
                  <c:v>38868</c:v>
                </c:pt>
                <c:pt idx="3">
                  <c:v>38503</c:v>
                </c:pt>
                <c:pt idx="4">
                  <c:v>38138</c:v>
                </c:pt>
                <c:pt idx="5">
                  <c:v>37772</c:v>
                </c:pt>
                <c:pt idx="6">
                  <c:v>37407</c:v>
                </c:pt>
                <c:pt idx="7">
                  <c:v>37042</c:v>
                </c:pt>
                <c:pt idx="8">
                  <c:v>36677</c:v>
                </c:pt>
                <c:pt idx="9">
                  <c:v>36311</c:v>
                </c:pt>
                <c:pt idx="10">
                  <c:v>35946</c:v>
                </c:pt>
                <c:pt idx="11">
                  <c:v>35581</c:v>
                </c:pt>
                <c:pt idx="12">
                  <c:v>35216</c:v>
                </c:pt>
              </c:numCache>
            </c:numRef>
          </c:cat>
          <c:val>
            <c:numRef>
              <c:f>'Common Size and Trend Analysis'!$C$45:$K$45</c:f>
              <c:numCache>
                <c:formatCode>0.0%</c:formatCode>
                <c:ptCount val="9"/>
                <c:pt idx="0">
                  <c:v>0.1010717990014495</c:v>
                </c:pt>
                <c:pt idx="1">
                  <c:v>0.10119875780202009</c:v>
                </c:pt>
                <c:pt idx="2">
                  <c:v>9.5513523995479757E-2</c:v>
                </c:pt>
                <c:pt idx="3">
                  <c:v>9.9867333347889761E-2</c:v>
                </c:pt>
                <c:pt idx="4">
                  <c:v>8.4444041126200797E-2</c:v>
                </c:pt>
                <c:pt idx="5">
                  <c:v>3.9624816926864197E-2</c:v>
                </c:pt>
                <c:pt idx="6">
                  <c:v>6.2760174729824189E-2</c:v>
                </c:pt>
                <c:pt idx="7">
                  <c:v>5.5066371296393551E-2</c:v>
                </c:pt>
                <c:pt idx="8">
                  <c:v>5.9092330191209588E-2</c:v>
                </c:pt>
              </c:numCache>
            </c:numRef>
          </c:val>
        </c:ser>
        <c:ser>
          <c:idx val="34"/>
          <c:order val="9"/>
          <c:tx>
            <c:strRef>
              <c:f>'Common Size and Trend Analysis'!$B$54</c:f>
              <c:strCache>
                <c:ptCount val="1"/>
                <c:pt idx="0">
                  <c:v>Net financial expense (NFE)</c:v>
                </c:pt>
              </c:strCache>
            </c:strRef>
          </c:tx>
          <c:spPr>
            <a:ln w="12700">
              <a:solidFill>
                <a:srgbClr val="00FF00"/>
              </a:solidFill>
              <a:prstDash val="solid"/>
            </a:ln>
          </c:spPr>
          <c:marker>
            <c:symbol val="dot"/>
            <c:size val="5"/>
            <c:spPr>
              <a:noFill/>
              <a:ln>
                <a:solidFill>
                  <a:srgbClr val="00FF00"/>
                </a:solidFill>
                <a:prstDash val="solid"/>
              </a:ln>
            </c:spPr>
          </c:marker>
          <c:cat>
            <c:numRef>
              <c:f>'Common Size and Trend Analysis'!$C$19:$O$19</c:f>
              <c:numCache>
                <c:formatCode>yyyy/mm/dd</c:formatCode>
                <c:ptCount val="13"/>
                <c:pt idx="0">
                  <c:v>39599</c:v>
                </c:pt>
                <c:pt idx="1">
                  <c:v>39233</c:v>
                </c:pt>
                <c:pt idx="2">
                  <c:v>38868</c:v>
                </c:pt>
                <c:pt idx="3">
                  <c:v>38503</c:v>
                </c:pt>
                <c:pt idx="4">
                  <c:v>38138</c:v>
                </c:pt>
                <c:pt idx="5">
                  <c:v>37772</c:v>
                </c:pt>
                <c:pt idx="6">
                  <c:v>37407</c:v>
                </c:pt>
                <c:pt idx="7">
                  <c:v>37042</c:v>
                </c:pt>
                <c:pt idx="8">
                  <c:v>36677</c:v>
                </c:pt>
                <c:pt idx="9">
                  <c:v>36311</c:v>
                </c:pt>
                <c:pt idx="10">
                  <c:v>35946</c:v>
                </c:pt>
                <c:pt idx="11">
                  <c:v>35581</c:v>
                </c:pt>
                <c:pt idx="12">
                  <c:v>35216</c:v>
                </c:pt>
              </c:numCache>
            </c:numRef>
          </c:cat>
          <c:val>
            <c:numRef>
              <c:f>'Common Size and Trend Analysis'!$C$54:$K$54</c:f>
              <c:numCache>
                <c:formatCode>0.0%</c:formatCode>
                <c:ptCount val="9"/>
                <c:pt idx="0">
                  <c:v>-2.6325012079239816E-3</c:v>
                </c:pt>
                <c:pt idx="1">
                  <c:v>-2.6178771155035865E-3</c:v>
                </c:pt>
                <c:pt idx="2">
                  <c:v>-1.5650255100335007E-3</c:v>
                </c:pt>
                <c:pt idx="3">
                  <c:v>2.2218825738553241E-4</c:v>
                </c:pt>
                <c:pt idx="4">
                  <c:v>1.2833487035933764E-3</c:v>
                </c:pt>
                <c:pt idx="5">
                  <c:v>1.6827147798448164E-3</c:v>
                </c:pt>
                <c:pt idx="6">
                  <c:v>2.1582937430506418E-3</c:v>
                </c:pt>
                <c:pt idx="7">
                  <c:v>2.9555686704325103E-3</c:v>
                </c:pt>
                <c:pt idx="8">
                  <c:v>2.1887249724850196E-3</c:v>
                </c:pt>
              </c:numCache>
            </c:numRef>
          </c:val>
        </c:ser>
        <c:ser>
          <c:idx val="36"/>
          <c:order val="10"/>
          <c:tx>
            <c:strRef>
              <c:f>'Common Size and Trend Analysis'!$B$56</c:f>
              <c:strCache>
                <c:ptCount val="1"/>
                <c:pt idx="0">
                  <c:v>Comprehensive income (available to common)</c:v>
                </c:pt>
              </c:strCache>
            </c:strRef>
          </c:tx>
          <c:spPr>
            <a:ln w="12700">
              <a:solidFill>
                <a:srgbClr val="FFFF00"/>
              </a:solidFill>
              <a:prstDash val="solid"/>
            </a:ln>
          </c:spPr>
          <c:marker>
            <c:symbol val="diamond"/>
            <c:size val="5"/>
            <c:spPr>
              <a:solidFill>
                <a:srgbClr val="FFFF00"/>
              </a:solidFill>
              <a:ln>
                <a:solidFill>
                  <a:srgbClr val="FFFF00"/>
                </a:solidFill>
                <a:prstDash val="solid"/>
              </a:ln>
            </c:spPr>
          </c:marker>
          <c:cat>
            <c:numRef>
              <c:f>'Common Size and Trend Analysis'!$C$19:$O$19</c:f>
              <c:numCache>
                <c:formatCode>yyyy/mm/dd</c:formatCode>
                <c:ptCount val="13"/>
                <c:pt idx="0">
                  <c:v>39599</c:v>
                </c:pt>
                <c:pt idx="1">
                  <c:v>39233</c:v>
                </c:pt>
                <c:pt idx="2">
                  <c:v>38868</c:v>
                </c:pt>
                <c:pt idx="3">
                  <c:v>38503</c:v>
                </c:pt>
                <c:pt idx="4">
                  <c:v>38138</c:v>
                </c:pt>
                <c:pt idx="5">
                  <c:v>37772</c:v>
                </c:pt>
                <c:pt idx="6">
                  <c:v>37407</c:v>
                </c:pt>
                <c:pt idx="7">
                  <c:v>37042</c:v>
                </c:pt>
                <c:pt idx="8">
                  <c:v>36677</c:v>
                </c:pt>
                <c:pt idx="9">
                  <c:v>36311</c:v>
                </c:pt>
                <c:pt idx="10">
                  <c:v>35946</c:v>
                </c:pt>
                <c:pt idx="11">
                  <c:v>35581</c:v>
                </c:pt>
                <c:pt idx="12">
                  <c:v>35216</c:v>
                </c:pt>
              </c:numCache>
            </c:numRef>
          </c:cat>
          <c:val>
            <c:numRef>
              <c:f>'Common Size and Trend Analysis'!$C$56:$K$56</c:f>
              <c:numCache>
                <c:formatCode>0.0%</c:formatCode>
                <c:ptCount val="9"/>
                <c:pt idx="0">
                  <c:v>0.10370430020937349</c:v>
                </c:pt>
                <c:pt idx="1">
                  <c:v>0.1038166349175237</c:v>
                </c:pt>
                <c:pt idx="2">
                  <c:v>9.7078549505513242E-2</c:v>
                </c:pt>
                <c:pt idx="3">
                  <c:v>0.10008952160527529</c:v>
                </c:pt>
                <c:pt idx="4">
                  <c:v>8.316069242260743E-2</c:v>
                </c:pt>
                <c:pt idx="5">
                  <c:v>3.7942102147019381E-2</c:v>
                </c:pt>
                <c:pt idx="6">
                  <c:v>6.0601880986773549E-2</c:v>
                </c:pt>
                <c:pt idx="7">
                  <c:v>5.2110802625961038E-2</c:v>
                </c:pt>
                <c:pt idx="8">
                  <c:v>5.6903605218724576E-2</c:v>
                </c:pt>
              </c:numCache>
            </c:numRef>
          </c:val>
        </c:ser>
        <c:marker val="1"/>
        <c:axId val="70664192"/>
        <c:axId val="70664576"/>
      </c:lineChart>
      <c:dateAx>
        <c:axId val="70664192"/>
        <c:scaling>
          <c:orientation val="minMax"/>
        </c:scaling>
        <c:axPos val="b"/>
        <c:numFmt formatCode="yyyy"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0664576"/>
        <c:crosses val="autoZero"/>
        <c:auto val="1"/>
        <c:lblOffset val="100"/>
        <c:baseTimeUnit val="years"/>
        <c:majorUnit val="1"/>
        <c:majorTimeUnit val="years"/>
        <c:minorUnit val="1"/>
        <c:minorTimeUnit val="years"/>
      </c:dateAx>
      <c:valAx>
        <c:axId val="70664576"/>
        <c:scaling>
          <c:orientation val="minMax"/>
        </c:scaling>
        <c:axPos val="l"/>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t>Percent of Operating Revenue</a:t>
                </a:r>
              </a:p>
            </c:rich>
          </c:tx>
          <c:layout>
            <c:manualLayout>
              <c:xMode val="edge"/>
              <c:yMode val="edge"/>
              <c:x val="2.0539152759948651E-2"/>
              <c:y val="0.35892514395393477"/>
            </c:manualLayout>
          </c:layout>
          <c:spPr>
            <a:noFill/>
            <a:ln w="25400">
              <a:noFill/>
            </a:ln>
          </c:spPr>
        </c:title>
        <c:numFmt formatCode="0.0%" sourceLinked="1"/>
        <c:tickLblPos val="nextTo"/>
        <c:spPr>
          <a:ln w="3175">
            <a:solidFill>
              <a:srgbClr val="969696"/>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0664192"/>
        <c:crosses val="autoZero"/>
        <c:crossBetween val="between"/>
      </c:valAx>
      <c:spPr>
        <a:noFill/>
        <a:ln w="25400">
          <a:noFill/>
        </a:ln>
      </c:spPr>
    </c:plotArea>
    <c:legend>
      <c:legendPos val="r"/>
      <c:layout>
        <c:manualLayout>
          <c:xMode val="edge"/>
          <c:yMode val="edge"/>
          <c:x val="0.65596919127086006"/>
          <c:y val="0.15738963531669867"/>
          <c:w val="0.33504492939666236"/>
          <c:h val="0.78310940499040305"/>
        </c:manualLayout>
      </c:layout>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200" b="1" i="0" u="none" strike="noStrike" baseline="0">
                <a:solidFill>
                  <a:srgbClr val="000000"/>
                </a:solidFill>
                <a:latin typeface="Arial"/>
                <a:ea typeface="Arial"/>
                <a:cs typeface="Arial"/>
              </a:defRPr>
            </a:pPr>
            <a:r>
              <a:t>Common-Size Balance Sheet</a:t>
            </a:r>
          </a:p>
        </c:rich>
      </c:tx>
      <c:layout>
        <c:manualLayout>
          <c:xMode val="edge"/>
          <c:yMode val="edge"/>
          <c:x val="0.35430038510911427"/>
          <c:y val="2.9013567053734601E-2"/>
        </c:manualLayout>
      </c:layout>
      <c:spPr>
        <a:noFill/>
        <a:ln w="25400">
          <a:noFill/>
        </a:ln>
      </c:spPr>
    </c:title>
    <c:plotArea>
      <c:layout>
        <c:manualLayout>
          <c:layoutTarget val="inner"/>
          <c:xMode val="edge"/>
          <c:yMode val="edge"/>
          <c:x val="0.11296534017971759"/>
          <c:y val="0.14506783526867301"/>
          <c:w val="0.51347881899871628"/>
          <c:h val="0.76789240802217573"/>
        </c:manualLayout>
      </c:layout>
      <c:lineChart>
        <c:grouping val="standard"/>
        <c:ser>
          <c:idx val="2"/>
          <c:order val="0"/>
          <c:tx>
            <c:strRef>
              <c:f>'Common Size and Trend Analysis'!$B$67</c:f>
              <c:strCache>
                <c:ptCount val="1"/>
                <c:pt idx="0">
                  <c:v>Cash and equivalents</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cat>
            <c:numRef>
              <c:f>'Common Size and Trend Analysis'!$C$64:$K$64</c:f>
              <c:numCache>
                <c:formatCode>yyyy/mm/dd</c:formatCode>
                <c:ptCount val="9"/>
                <c:pt idx="0">
                  <c:v>39599</c:v>
                </c:pt>
                <c:pt idx="1">
                  <c:v>39233</c:v>
                </c:pt>
                <c:pt idx="2">
                  <c:v>38868</c:v>
                </c:pt>
                <c:pt idx="3">
                  <c:v>38503</c:v>
                </c:pt>
                <c:pt idx="4">
                  <c:v>38138</c:v>
                </c:pt>
                <c:pt idx="5">
                  <c:v>37772</c:v>
                </c:pt>
                <c:pt idx="6">
                  <c:v>37407</c:v>
                </c:pt>
                <c:pt idx="7">
                  <c:v>37042</c:v>
                </c:pt>
                <c:pt idx="8">
                  <c:v>36677</c:v>
                </c:pt>
              </c:numCache>
            </c:numRef>
          </c:cat>
          <c:val>
            <c:numRef>
              <c:f>'Common Size and Trend Analysis'!$C$67:$K$67</c:f>
              <c:numCache>
                <c:formatCode>0.0%</c:formatCode>
                <c:ptCount val="9"/>
                <c:pt idx="0">
                  <c:v>9.5427795939131543E-3</c:v>
                </c:pt>
                <c:pt idx="1">
                  <c:v>1.0302944131965329E-2</c:v>
                </c:pt>
                <c:pt idx="2">
                  <c:v>9.7854777304789871E-3</c:v>
                </c:pt>
                <c:pt idx="3">
                  <c:v>9.761639570657522E-3</c:v>
                </c:pt>
                <c:pt idx="4">
                  <c:v>9.0808563133891844E-3</c:v>
                </c:pt>
                <c:pt idx="5">
                  <c:v>8.5696866861020779E-3</c:v>
                </c:pt>
                <c:pt idx="6">
                  <c:v>8.3568942054192685E-3</c:v>
                </c:pt>
                <c:pt idx="7">
                  <c:v>8.5132741330255588E-3</c:v>
                </c:pt>
                <c:pt idx="8">
                  <c:v>7.9472186855013525E-3</c:v>
                </c:pt>
              </c:numCache>
            </c:numRef>
          </c:val>
        </c:ser>
        <c:ser>
          <c:idx val="3"/>
          <c:order val="1"/>
          <c:tx>
            <c:strRef>
              <c:f>'Common Size and Trend Analysis'!$B$68</c:f>
              <c:strCache>
                <c:ptCount val="1"/>
                <c:pt idx="0">
                  <c:v>Accounts receivable, less allowance for doubtful accounts</c:v>
                </c:pt>
              </c:strCache>
            </c:strRef>
          </c:tx>
          <c:spPr>
            <a:ln w="12700">
              <a:solidFill>
                <a:srgbClr val="00FFFF"/>
              </a:solidFill>
              <a:prstDash val="solid"/>
            </a:ln>
          </c:spPr>
          <c:marker>
            <c:symbol val="x"/>
            <c:size val="5"/>
            <c:spPr>
              <a:noFill/>
              <a:ln>
                <a:solidFill>
                  <a:srgbClr val="00FFFF"/>
                </a:solidFill>
                <a:prstDash val="solid"/>
              </a:ln>
            </c:spPr>
          </c:marker>
          <c:cat>
            <c:numRef>
              <c:f>'Common Size and Trend Analysis'!$C$64:$K$64</c:f>
              <c:numCache>
                <c:formatCode>yyyy/mm/dd</c:formatCode>
                <c:ptCount val="9"/>
                <c:pt idx="0">
                  <c:v>39599</c:v>
                </c:pt>
                <c:pt idx="1">
                  <c:v>39233</c:v>
                </c:pt>
                <c:pt idx="2">
                  <c:v>38868</c:v>
                </c:pt>
                <c:pt idx="3">
                  <c:v>38503</c:v>
                </c:pt>
                <c:pt idx="4">
                  <c:v>38138</c:v>
                </c:pt>
                <c:pt idx="5">
                  <c:v>37772</c:v>
                </c:pt>
                <c:pt idx="6">
                  <c:v>37407</c:v>
                </c:pt>
                <c:pt idx="7">
                  <c:v>37042</c:v>
                </c:pt>
                <c:pt idx="8">
                  <c:v>36677</c:v>
                </c:pt>
              </c:numCache>
            </c:numRef>
          </c:cat>
          <c:val>
            <c:numRef>
              <c:f>'Common Size and Trend Analysis'!$C$68:$K$68</c:f>
              <c:numCache>
                <c:formatCode>0.0%</c:formatCode>
                <c:ptCount val="9"/>
                <c:pt idx="0">
                  <c:v>0.28641146506539367</c:v>
                </c:pt>
                <c:pt idx="1">
                  <c:v>0.31487090728246414</c:v>
                </c:pt>
                <c:pt idx="2">
                  <c:v>0.31354306741542376</c:v>
                </c:pt>
                <c:pt idx="3">
                  <c:v>0.32143066985137048</c:v>
                </c:pt>
                <c:pt idx="4">
                  <c:v>0.31425894762382983</c:v>
                </c:pt>
                <c:pt idx="5">
                  <c:v>0.33389492540278809</c:v>
                </c:pt>
                <c:pt idx="6">
                  <c:v>0.30479476065898919</c:v>
                </c:pt>
                <c:pt idx="7">
                  <c:v>0.29094137676603243</c:v>
                </c:pt>
                <c:pt idx="8">
                  <c:v>0.27692590685857227</c:v>
                </c:pt>
              </c:numCache>
            </c:numRef>
          </c:val>
        </c:ser>
        <c:ser>
          <c:idx val="4"/>
          <c:order val="2"/>
          <c:tx>
            <c:strRef>
              <c:f>'Common Size and Trend Analysis'!$B$69</c:f>
              <c:strCache>
                <c:ptCount val="1"/>
                <c:pt idx="0">
                  <c:v>Inventories</c:v>
                </c:pt>
              </c:strCache>
            </c:strRef>
          </c:tx>
          <c:spPr>
            <a:ln w="12700">
              <a:solidFill>
                <a:srgbClr val="800080"/>
              </a:solidFill>
              <a:prstDash val="solid"/>
            </a:ln>
          </c:spPr>
          <c:marker>
            <c:symbol val="star"/>
            <c:size val="5"/>
            <c:spPr>
              <a:noFill/>
              <a:ln>
                <a:solidFill>
                  <a:srgbClr val="800080"/>
                </a:solidFill>
                <a:prstDash val="solid"/>
              </a:ln>
            </c:spPr>
          </c:marker>
          <c:cat>
            <c:numRef>
              <c:f>'Common Size and Trend Analysis'!$C$64:$K$64</c:f>
              <c:numCache>
                <c:formatCode>yyyy/mm/dd</c:formatCode>
                <c:ptCount val="9"/>
                <c:pt idx="0">
                  <c:v>39599</c:v>
                </c:pt>
                <c:pt idx="1">
                  <c:v>39233</c:v>
                </c:pt>
                <c:pt idx="2">
                  <c:v>38868</c:v>
                </c:pt>
                <c:pt idx="3">
                  <c:v>38503</c:v>
                </c:pt>
                <c:pt idx="4">
                  <c:v>38138</c:v>
                </c:pt>
                <c:pt idx="5">
                  <c:v>37772</c:v>
                </c:pt>
                <c:pt idx="6">
                  <c:v>37407</c:v>
                </c:pt>
                <c:pt idx="7">
                  <c:v>37042</c:v>
                </c:pt>
                <c:pt idx="8">
                  <c:v>36677</c:v>
                </c:pt>
              </c:numCache>
            </c:numRef>
          </c:cat>
          <c:val>
            <c:numRef>
              <c:f>'Common Size and Trend Analysis'!$C$69:$K$69</c:f>
              <c:numCache>
                <c:formatCode>0.0%</c:formatCode>
                <c:ptCount val="9"/>
                <c:pt idx="0">
                  <c:v>0.24984284921670516</c:v>
                </c:pt>
                <c:pt idx="1">
                  <c:v>0.26781760458678827</c:v>
                </c:pt>
                <c:pt idx="2">
                  <c:v>0.27177047794215553</c:v>
                </c:pt>
                <c:pt idx="3">
                  <c:v>0.25734630925592022</c:v>
                </c:pt>
                <c:pt idx="4">
                  <c:v>0.24459490395662864</c:v>
                </c:pt>
                <c:pt idx="5">
                  <c:v>0.24272634123167314</c:v>
                </c:pt>
                <c:pt idx="6">
                  <c:v>0.23209746809673487</c:v>
                </c:pt>
                <c:pt idx="7">
                  <c:v>0.25553818592112171</c:v>
                </c:pt>
                <c:pt idx="8">
                  <c:v>0.25550973795143922</c:v>
                </c:pt>
              </c:numCache>
            </c:numRef>
          </c:val>
        </c:ser>
        <c:ser>
          <c:idx val="5"/>
          <c:order val="3"/>
          <c:tx>
            <c:strRef>
              <c:f>'Common Size and Trend Analysis'!$B$70</c:f>
              <c:strCache>
                <c:ptCount val="1"/>
                <c:pt idx="0">
                  <c:v>   Prepaid expenses and other current assets</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'Common Size and Trend Analysis'!$C$64:$K$64</c:f>
              <c:numCache>
                <c:formatCode>yyyy/mm/dd</c:formatCode>
                <c:ptCount val="9"/>
                <c:pt idx="0">
                  <c:v>39599</c:v>
                </c:pt>
                <c:pt idx="1">
                  <c:v>39233</c:v>
                </c:pt>
                <c:pt idx="2">
                  <c:v>38868</c:v>
                </c:pt>
                <c:pt idx="3">
                  <c:v>38503</c:v>
                </c:pt>
                <c:pt idx="4">
                  <c:v>38138</c:v>
                </c:pt>
                <c:pt idx="5">
                  <c:v>37772</c:v>
                </c:pt>
                <c:pt idx="6">
                  <c:v>37407</c:v>
                </c:pt>
                <c:pt idx="7">
                  <c:v>37042</c:v>
                </c:pt>
                <c:pt idx="8">
                  <c:v>36677</c:v>
                </c:pt>
              </c:numCache>
            </c:numRef>
          </c:cat>
          <c:val>
            <c:numRef>
              <c:f>'Common Size and Trend Analysis'!$C$70:$K$70</c:f>
              <c:numCache>
                <c:formatCode>0.0%</c:formatCode>
                <c:ptCount val="9"/>
                <c:pt idx="0">
                  <c:v>6.1712741175861834E-2</c:v>
                </c:pt>
                <c:pt idx="1">
                  <c:v>4.9628107886104507E-2</c:v>
                </c:pt>
                <c:pt idx="2">
                  <c:v>4.9742359833299631E-2</c:v>
                </c:pt>
                <c:pt idx="3">
                  <c:v>4.873821659476596E-2</c:v>
                </c:pt>
                <c:pt idx="4">
                  <c:v>5.4827084579782408E-2</c:v>
                </c:pt>
                <c:pt idx="5">
                  <c:v>5.3371274846042857E-2</c:v>
                </c:pt>
                <c:pt idx="6">
                  <c:v>4.4871951904566013E-2</c:v>
                </c:pt>
                <c:pt idx="7">
                  <c:v>3.09351753758875E-2</c:v>
                </c:pt>
                <c:pt idx="8">
                  <c:v>4.0093471328617944E-2</c:v>
                </c:pt>
              </c:numCache>
            </c:numRef>
          </c:val>
        </c:ser>
        <c:ser>
          <c:idx val="6"/>
          <c:order val="4"/>
          <c:tx>
            <c:strRef>
              <c:f>'Common Size and Trend Analysis'!$B$71</c:f>
              <c:strCache>
                <c:ptCount val="1"/>
                <c:pt idx="0">
                  <c:v>Property, plant and equipment, net</c:v>
                </c:pt>
              </c:strCache>
            </c:strRef>
          </c:tx>
          <c:spPr>
            <a:ln w="12700">
              <a:solidFill>
                <a:srgbClr val="008080"/>
              </a:solidFill>
              <a:prstDash val="solid"/>
            </a:ln>
          </c:spPr>
          <c:marker>
            <c:symbol val="plus"/>
            <c:size val="5"/>
            <c:spPr>
              <a:noFill/>
              <a:ln>
                <a:solidFill>
                  <a:srgbClr val="008080"/>
                </a:solidFill>
                <a:prstDash val="solid"/>
              </a:ln>
            </c:spPr>
          </c:marker>
          <c:cat>
            <c:numRef>
              <c:f>'Common Size and Trend Analysis'!$C$64:$K$64</c:f>
              <c:numCache>
                <c:formatCode>yyyy/mm/dd</c:formatCode>
                <c:ptCount val="9"/>
                <c:pt idx="0">
                  <c:v>39599</c:v>
                </c:pt>
                <c:pt idx="1">
                  <c:v>39233</c:v>
                </c:pt>
                <c:pt idx="2">
                  <c:v>38868</c:v>
                </c:pt>
                <c:pt idx="3">
                  <c:v>38503</c:v>
                </c:pt>
                <c:pt idx="4">
                  <c:v>38138</c:v>
                </c:pt>
                <c:pt idx="5">
                  <c:v>37772</c:v>
                </c:pt>
                <c:pt idx="6">
                  <c:v>37407</c:v>
                </c:pt>
                <c:pt idx="7">
                  <c:v>37042</c:v>
                </c:pt>
                <c:pt idx="8">
                  <c:v>36677</c:v>
                </c:pt>
              </c:numCache>
            </c:numRef>
          </c:cat>
          <c:val>
            <c:numRef>
              <c:f>'Common Size and Trend Analysis'!$C$71:$K$71</c:f>
              <c:numCache>
                <c:formatCode>0.0%</c:formatCode>
                <c:ptCount val="9"/>
                <c:pt idx="0">
                  <c:v>0.19376550695280145</c:v>
                </c:pt>
                <c:pt idx="1">
                  <c:v>0.21182821328903659</c:v>
                </c:pt>
                <c:pt idx="2">
                  <c:v>0.21693741093307231</c:v>
                </c:pt>
                <c:pt idx="3">
                  <c:v>0.22817442626202677</c:v>
                </c:pt>
                <c:pt idx="4">
                  <c:v>0.23890320336764878</c:v>
                </c:pt>
                <c:pt idx="5">
                  <c:v>0.2596942728023604</c:v>
                </c:pt>
                <c:pt idx="6">
                  <c:v>0.27276267451024783</c:v>
                </c:pt>
                <c:pt idx="7">
                  <c:v>0.29047483699818261</c:v>
                </c:pt>
                <c:pt idx="8">
                  <c:v>0.27978846408873365</c:v>
                </c:pt>
              </c:numCache>
            </c:numRef>
          </c:val>
        </c:ser>
        <c:ser>
          <c:idx val="7"/>
          <c:order val="5"/>
          <c:tx>
            <c:strRef>
              <c:f>'Common Size and Trend Analysis'!$B$72</c:f>
              <c:strCache>
                <c:ptCount val="1"/>
                <c:pt idx="0">
                  <c:v>Goodwill</c:v>
                </c:pt>
              </c:strCache>
            </c:strRef>
          </c:tx>
          <c:spPr>
            <a:ln w="12700">
              <a:solidFill>
                <a:srgbClr val="0000FF"/>
              </a:solidFill>
              <a:prstDash val="solid"/>
            </a:ln>
          </c:spPr>
          <c:marker>
            <c:symbol val="dot"/>
            <c:size val="5"/>
            <c:spPr>
              <a:noFill/>
              <a:ln>
                <a:solidFill>
                  <a:srgbClr val="0000FF"/>
                </a:solidFill>
                <a:prstDash val="solid"/>
              </a:ln>
            </c:spPr>
          </c:marker>
          <c:cat>
            <c:numRef>
              <c:f>'Common Size and Trend Analysis'!$C$64:$K$64</c:f>
              <c:numCache>
                <c:formatCode>yyyy/mm/dd</c:formatCode>
                <c:ptCount val="9"/>
                <c:pt idx="0">
                  <c:v>39599</c:v>
                </c:pt>
                <c:pt idx="1">
                  <c:v>39233</c:v>
                </c:pt>
                <c:pt idx="2">
                  <c:v>38868</c:v>
                </c:pt>
                <c:pt idx="3">
                  <c:v>38503</c:v>
                </c:pt>
                <c:pt idx="4">
                  <c:v>38138</c:v>
                </c:pt>
                <c:pt idx="5">
                  <c:v>37772</c:v>
                </c:pt>
                <c:pt idx="6">
                  <c:v>37407</c:v>
                </c:pt>
                <c:pt idx="7">
                  <c:v>37042</c:v>
                </c:pt>
                <c:pt idx="8">
                  <c:v>36677</c:v>
                </c:pt>
              </c:numCache>
            </c:numRef>
          </c:cat>
          <c:val>
            <c:numRef>
              <c:f>'Common Size and Trend Analysis'!$C$72:$K$72</c:f>
              <c:numCache>
                <c:formatCode>0.0%</c:formatCode>
                <c:ptCount val="9"/>
                <c:pt idx="0">
                  <c:v>4.5984855121578606E-2</c:v>
                </c:pt>
                <c:pt idx="1">
                  <c:v>1.6509045044512893E-2</c:v>
                </c:pt>
                <c:pt idx="2">
                  <c:v>1.7117339295436969E-2</c:v>
                </c:pt>
                <c:pt idx="3">
                  <c:v>1.9239517571228312E-2</c:v>
                </c:pt>
                <c:pt idx="4">
                  <c:v>2.0069173430934142E-2</c:v>
                </c:pt>
                <c:pt idx="5">
                  <c:v>1.0510824466828012E-2</c:v>
                </c:pt>
                <c:pt idx="6">
                  <c:v>3.9313641597110358E-2</c:v>
                </c:pt>
                <c:pt idx="7">
                  <c:v>3.2065637121062043E-2</c:v>
                </c:pt>
                <c:pt idx="8">
                  <c:v>3.4580398144603494E-2</c:v>
                </c:pt>
              </c:numCache>
            </c:numRef>
          </c:val>
        </c:ser>
        <c:ser>
          <c:idx val="8"/>
          <c:order val="6"/>
          <c:tx>
            <c:strRef>
              <c:f>'Common Size and Trend Analysis'!$B$73</c:f>
              <c:strCache>
                <c:ptCount val="1"/>
                <c:pt idx="0">
                  <c:v>Identifiable intangible assets</c:v>
                </c:pt>
              </c:strCache>
            </c:strRef>
          </c:tx>
          <c:spPr>
            <a:ln w="12700">
              <a:solidFill>
                <a:srgbClr val="00CCFF"/>
              </a:solidFill>
              <a:prstDash val="solid"/>
            </a:ln>
          </c:spPr>
          <c:marker>
            <c:symbol val="dash"/>
            <c:size val="5"/>
            <c:spPr>
              <a:noFill/>
              <a:ln>
                <a:solidFill>
                  <a:srgbClr val="00CCFF"/>
                </a:solidFill>
                <a:prstDash val="solid"/>
              </a:ln>
            </c:spPr>
          </c:marker>
          <c:cat>
            <c:numRef>
              <c:f>'Common Size and Trend Analysis'!$C$64:$K$64</c:f>
              <c:numCache>
                <c:formatCode>yyyy/mm/dd</c:formatCode>
                <c:ptCount val="9"/>
                <c:pt idx="0">
                  <c:v>39599</c:v>
                </c:pt>
                <c:pt idx="1">
                  <c:v>39233</c:v>
                </c:pt>
                <c:pt idx="2">
                  <c:v>38868</c:v>
                </c:pt>
                <c:pt idx="3">
                  <c:v>38503</c:v>
                </c:pt>
                <c:pt idx="4">
                  <c:v>38138</c:v>
                </c:pt>
                <c:pt idx="5">
                  <c:v>37772</c:v>
                </c:pt>
                <c:pt idx="6">
                  <c:v>37407</c:v>
                </c:pt>
                <c:pt idx="7">
                  <c:v>37042</c:v>
                </c:pt>
                <c:pt idx="8">
                  <c:v>36677</c:v>
                </c:pt>
              </c:numCache>
            </c:numRef>
          </c:cat>
          <c:val>
            <c:numRef>
              <c:f>'Common Size and Trend Analysis'!$C$73:$K$73</c:f>
              <c:numCache>
                <c:formatCode>0.0%</c:formatCode>
                <c:ptCount val="9"/>
                <c:pt idx="0">
                  <c:v>7.6139362390474738E-2</c:v>
                </c:pt>
                <c:pt idx="1">
                  <c:v>5.1735914095916165E-2</c:v>
                </c:pt>
                <c:pt idx="2">
                  <c:v>5.3066369146022092E-2</c:v>
                </c:pt>
                <c:pt idx="3">
                  <c:v>5.7704343321091714E-2</c:v>
                </c:pt>
                <c:pt idx="4">
                  <c:v>5.4293487649565556E-2</c:v>
                </c:pt>
                <c:pt idx="5">
                  <c:v>1.8938711158217551E-2</c:v>
                </c:pt>
                <c:pt idx="6">
                  <c:v>3.4802794022366711E-2</c:v>
                </c:pt>
                <c:pt idx="7">
                  <c:v>3.9225228173834149E-2</c:v>
                </c:pt>
                <c:pt idx="8">
                  <c:v>3.8026068884612525E-2</c:v>
                </c:pt>
              </c:numCache>
            </c:numRef>
          </c:val>
        </c:ser>
        <c:ser>
          <c:idx val="9"/>
          <c:order val="7"/>
          <c:tx>
            <c:strRef>
              <c:f>'Common Size and Trend Analysis'!$B$74</c:f>
              <c:strCache>
                <c:ptCount val="1"/>
                <c:pt idx="0">
                  <c:v>Deferred income taxes and other assets</c:v>
                </c:pt>
              </c:strCache>
            </c:strRef>
          </c:tx>
          <c:spPr>
            <a:ln w="12700">
              <a:solidFill>
                <a:srgbClr val="CCFFFF"/>
              </a:solidFill>
              <a:prstDash val="solid"/>
            </a:ln>
          </c:spPr>
          <c:marker>
            <c:symbol val="diamond"/>
            <c:size val="5"/>
            <c:spPr>
              <a:solidFill>
                <a:srgbClr val="CCFFFF"/>
              </a:solidFill>
              <a:ln>
                <a:solidFill>
                  <a:srgbClr val="CCFFFF"/>
                </a:solidFill>
                <a:prstDash val="solid"/>
              </a:ln>
            </c:spPr>
          </c:marker>
          <c:cat>
            <c:numRef>
              <c:f>'Common Size and Trend Analysis'!$C$64:$K$64</c:f>
              <c:numCache>
                <c:formatCode>yyyy/mm/dd</c:formatCode>
                <c:ptCount val="9"/>
                <c:pt idx="0">
                  <c:v>39599</c:v>
                </c:pt>
                <c:pt idx="1">
                  <c:v>39233</c:v>
                </c:pt>
                <c:pt idx="2">
                  <c:v>38868</c:v>
                </c:pt>
                <c:pt idx="3">
                  <c:v>38503</c:v>
                </c:pt>
                <c:pt idx="4">
                  <c:v>38138</c:v>
                </c:pt>
                <c:pt idx="5">
                  <c:v>37772</c:v>
                </c:pt>
                <c:pt idx="6">
                  <c:v>37407</c:v>
                </c:pt>
                <c:pt idx="7">
                  <c:v>37042</c:v>
                </c:pt>
                <c:pt idx="8">
                  <c:v>36677</c:v>
                </c:pt>
              </c:numCache>
            </c:numRef>
          </c:cat>
          <c:val>
            <c:numRef>
              <c:f>'Common Size and Trend Analysis'!$C$74:$K$74</c:f>
              <c:numCache>
                <c:formatCode>0.0%</c:formatCode>
                <c:ptCount val="9"/>
                <c:pt idx="0">
                  <c:v>7.6600440483271304E-2</c:v>
                </c:pt>
                <c:pt idx="1">
                  <c:v>7.7307263683212127E-2</c:v>
                </c:pt>
                <c:pt idx="2">
                  <c:v>6.8037497704110703E-2</c:v>
                </c:pt>
                <c:pt idx="3">
                  <c:v>5.7604877572939125E-2</c:v>
                </c:pt>
                <c:pt idx="4">
                  <c:v>6.3972343078221389E-2</c:v>
                </c:pt>
                <c:pt idx="5">
                  <c:v>7.2293963405987802E-2</c:v>
                </c:pt>
                <c:pt idx="6">
                  <c:v>6.2999815004565751E-2</c:v>
                </c:pt>
                <c:pt idx="7">
                  <c:v>5.2306285510853867E-2</c:v>
                </c:pt>
                <c:pt idx="8">
                  <c:v>6.7128734057919609E-2</c:v>
                </c:pt>
              </c:numCache>
            </c:numRef>
          </c:val>
        </c:ser>
        <c:ser>
          <c:idx val="12"/>
          <c:order val="8"/>
          <c:tx>
            <c:strRef>
              <c:f>'Common Size and Trend Analysis'!$B$77</c:f>
              <c:strCache>
                <c:ptCount val="1"/>
                <c:pt idx="0">
                  <c:v>Accounts payable - non-interest bearing</c:v>
                </c:pt>
              </c:strCache>
            </c:strRef>
          </c:tx>
          <c:spPr>
            <a:ln w="12700">
              <a:solidFill>
                <a:srgbClr val="99CCFF"/>
              </a:solidFill>
              <a:prstDash val="solid"/>
            </a:ln>
          </c:spPr>
          <c:marker>
            <c:symbol val="x"/>
            <c:size val="5"/>
            <c:spPr>
              <a:noFill/>
              <a:ln>
                <a:solidFill>
                  <a:srgbClr val="99CCFF"/>
                </a:solidFill>
                <a:prstDash val="solid"/>
              </a:ln>
            </c:spPr>
          </c:marker>
          <c:cat>
            <c:numRef>
              <c:f>'Common Size and Trend Analysis'!$C$64:$K$64</c:f>
              <c:numCache>
                <c:formatCode>yyyy/mm/dd</c:formatCode>
                <c:ptCount val="9"/>
                <c:pt idx="0">
                  <c:v>39599</c:v>
                </c:pt>
                <c:pt idx="1">
                  <c:v>39233</c:v>
                </c:pt>
                <c:pt idx="2">
                  <c:v>38868</c:v>
                </c:pt>
                <c:pt idx="3">
                  <c:v>38503</c:v>
                </c:pt>
                <c:pt idx="4">
                  <c:v>38138</c:v>
                </c:pt>
                <c:pt idx="5">
                  <c:v>37772</c:v>
                </c:pt>
                <c:pt idx="6">
                  <c:v>37407</c:v>
                </c:pt>
                <c:pt idx="7">
                  <c:v>37042</c:v>
                </c:pt>
                <c:pt idx="8">
                  <c:v>36677</c:v>
                </c:pt>
              </c:numCache>
            </c:numRef>
          </c:cat>
          <c:val>
            <c:numRef>
              <c:f>'Common Size and Trend Analysis'!$C$77:$K$77</c:f>
              <c:numCache>
                <c:formatCode>0.0%</c:formatCode>
                <c:ptCount val="9"/>
                <c:pt idx="0">
                  <c:v>0.30897043575023392</c:v>
                </c:pt>
                <c:pt idx="1">
                  <c:v>0.33370199075005025</c:v>
                </c:pt>
                <c:pt idx="2">
                  <c:v>0.32379379930288021</c:v>
                </c:pt>
                <c:pt idx="3">
                  <c:v>0.348769515744906</c:v>
                </c:pt>
                <c:pt idx="4">
                  <c:v>0.33550473760932947</c:v>
                </c:pt>
                <c:pt idx="5">
                  <c:v>0.27374535559160607</c:v>
                </c:pt>
                <c:pt idx="6">
                  <c:v>0.32105624142661182</c:v>
                </c:pt>
                <c:pt idx="7">
                  <c:v>0.40248546802966528</c:v>
                </c:pt>
                <c:pt idx="8">
                  <c:v>0.39791135597401528</c:v>
                </c:pt>
              </c:numCache>
            </c:numRef>
          </c:val>
        </c:ser>
        <c:ser>
          <c:idx val="13"/>
          <c:order val="9"/>
          <c:tx>
            <c:strRef>
              <c:f>'Common Size and Trend Analysis'!$B$78</c:f>
              <c:strCache>
                <c:ptCount val="1"/>
                <c:pt idx="0">
                  <c:v>Accrued liabilities</c:v>
                </c:pt>
              </c:strCache>
            </c:strRef>
          </c:tx>
          <c:spPr>
            <a:ln w="12700">
              <a:solidFill>
                <a:srgbClr val="FF99CC"/>
              </a:solidFill>
              <a:prstDash val="solid"/>
            </a:ln>
          </c:spPr>
          <c:marker>
            <c:symbol val="star"/>
            <c:size val="5"/>
            <c:spPr>
              <a:noFill/>
              <a:ln>
                <a:solidFill>
                  <a:srgbClr val="FF99CC"/>
                </a:solidFill>
                <a:prstDash val="solid"/>
              </a:ln>
            </c:spPr>
          </c:marker>
          <c:cat>
            <c:numRef>
              <c:f>'Common Size and Trend Analysis'!$C$64:$K$64</c:f>
              <c:numCache>
                <c:formatCode>yyyy/mm/dd</c:formatCode>
                <c:ptCount val="9"/>
                <c:pt idx="0">
                  <c:v>39599</c:v>
                </c:pt>
                <c:pt idx="1">
                  <c:v>39233</c:v>
                </c:pt>
                <c:pt idx="2">
                  <c:v>38868</c:v>
                </c:pt>
                <c:pt idx="3">
                  <c:v>38503</c:v>
                </c:pt>
                <c:pt idx="4">
                  <c:v>38138</c:v>
                </c:pt>
                <c:pt idx="5">
                  <c:v>37772</c:v>
                </c:pt>
                <c:pt idx="6">
                  <c:v>37407</c:v>
                </c:pt>
                <c:pt idx="7">
                  <c:v>37042</c:v>
                </c:pt>
                <c:pt idx="8">
                  <c:v>36677</c:v>
                </c:pt>
              </c:numCache>
            </c:numRef>
          </c:cat>
          <c:val>
            <c:numRef>
              <c:f>'Common Size and Trend Analysis'!$C$78:$K$78</c:f>
              <c:numCache>
                <c:formatCode>0.0%</c:formatCode>
                <c:ptCount val="9"/>
                <c:pt idx="0">
                  <c:v>0.41701019195265676</c:v>
                </c:pt>
                <c:pt idx="1">
                  <c:v>0.40565721563107449</c:v>
                </c:pt>
                <c:pt idx="2">
                  <c:v>0.44300128416804258</c:v>
                </c:pt>
                <c:pt idx="3">
                  <c:v>0.40531004674958099</c:v>
                </c:pt>
                <c:pt idx="4">
                  <c:v>0.42214832361516036</c:v>
                </c:pt>
                <c:pt idx="5">
                  <c:v>0.52294730231827935</c:v>
                </c:pt>
                <c:pt idx="6">
                  <c:v>0.5248971193415638</c:v>
                </c:pt>
                <c:pt idx="7">
                  <c:v>0.47314091000200442</c:v>
                </c:pt>
                <c:pt idx="8">
                  <c:v>0.51138886604720013</c:v>
                </c:pt>
              </c:numCache>
            </c:numRef>
          </c:val>
        </c:ser>
        <c:ser>
          <c:idx val="14"/>
          <c:order val="10"/>
          <c:tx>
            <c:strRef>
              <c:f>'Common Size and Trend Analysis'!$B$79</c:f>
              <c:strCache>
                <c:ptCount val="1"/>
                <c:pt idx="0">
                  <c:v>Income taxes payable</c:v>
                </c:pt>
              </c:strCache>
            </c:strRef>
          </c:tx>
          <c:spPr>
            <a:ln w="12700">
              <a:solidFill>
                <a:srgbClr val="CC99FF"/>
              </a:solidFill>
              <a:prstDash val="solid"/>
            </a:ln>
          </c:spPr>
          <c:marker>
            <c:symbol val="circle"/>
            <c:size val="5"/>
            <c:spPr>
              <a:solidFill>
                <a:srgbClr val="CC99FF"/>
              </a:solidFill>
              <a:ln>
                <a:solidFill>
                  <a:srgbClr val="CC99FF"/>
                </a:solidFill>
                <a:prstDash val="solid"/>
              </a:ln>
            </c:spPr>
          </c:marker>
          <c:cat>
            <c:numRef>
              <c:f>'Common Size and Trend Analysis'!$C$64:$K$64</c:f>
              <c:numCache>
                <c:formatCode>yyyy/mm/dd</c:formatCode>
                <c:ptCount val="9"/>
                <c:pt idx="0">
                  <c:v>39599</c:v>
                </c:pt>
                <c:pt idx="1">
                  <c:v>39233</c:v>
                </c:pt>
                <c:pt idx="2">
                  <c:v>38868</c:v>
                </c:pt>
                <c:pt idx="3">
                  <c:v>38503</c:v>
                </c:pt>
                <c:pt idx="4">
                  <c:v>38138</c:v>
                </c:pt>
                <c:pt idx="5">
                  <c:v>37772</c:v>
                </c:pt>
                <c:pt idx="6">
                  <c:v>37407</c:v>
                </c:pt>
                <c:pt idx="7">
                  <c:v>37042</c:v>
                </c:pt>
                <c:pt idx="8">
                  <c:v>36677</c:v>
                </c:pt>
              </c:numCache>
            </c:numRef>
          </c:cat>
          <c:val>
            <c:numRef>
              <c:f>'Common Size and Trend Analysis'!$C$79:$K$79</c:f>
              <c:numCache>
                <c:formatCode>0.0%</c:formatCode>
                <c:ptCount val="9"/>
                <c:pt idx="0">
                  <c:v>2.2255380491135783E-2</c:v>
                </c:pt>
                <c:pt idx="1">
                  <c:v>3.6530598565587505E-2</c:v>
                </c:pt>
                <c:pt idx="2">
                  <c:v>3.1370390753990091E-2</c:v>
                </c:pt>
                <c:pt idx="3">
                  <c:v>4.1898209402840253E-2</c:v>
                </c:pt>
                <c:pt idx="4">
                  <c:v>5.3844752186588928E-2</c:v>
                </c:pt>
                <c:pt idx="5">
                  <c:v>6.8344759014077133E-2</c:v>
                </c:pt>
                <c:pt idx="6">
                  <c:v>5.6927297668038418E-2</c:v>
                </c:pt>
                <c:pt idx="7">
                  <c:v>2.1948286229705349E-2</c:v>
                </c:pt>
                <c:pt idx="8">
                  <c:v>0</c:v>
                </c:pt>
              </c:numCache>
            </c:numRef>
          </c:val>
        </c:ser>
        <c:ser>
          <c:idx val="15"/>
          <c:order val="11"/>
          <c:tx>
            <c:strRef>
              <c:f>'Common Size and Trend Analysis'!$B$80</c:f>
              <c:strCache>
                <c:ptCount val="1"/>
                <c:pt idx="0">
                  <c:v>Deferred income taxes and other liabilities</c:v>
                </c:pt>
              </c:strCache>
            </c:strRef>
          </c:tx>
          <c:spPr>
            <a:ln w="12700">
              <a:solidFill>
                <a:srgbClr val="FFCC99"/>
              </a:solidFill>
              <a:prstDash val="solid"/>
            </a:ln>
          </c:spPr>
          <c:marker>
            <c:symbol val="plus"/>
            <c:size val="5"/>
            <c:spPr>
              <a:noFill/>
              <a:ln>
                <a:solidFill>
                  <a:srgbClr val="FFCC99"/>
                </a:solidFill>
                <a:prstDash val="solid"/>
              </a:ln>
            </c:spPr>
          </c:marker>
          <c:cat>
            <c:numRef>
              <c:f>'Common Size and Trend Analysis'!$C$64:$K$64</c:f>
              <c:numCache>
                <c:formatCode>yyyy/mm/dd</c:formatCode>
                <c:ptCount val="9"/>
                <c:pt idx="0">
                  <c:v>39599</c:v>
                </c:pt>
                <c:pt idx="1">
                  <c:v>39233</c:v>
                </c:pt>
                <c:pt idx="2">
                  <c:v>38868</c:v>
                </c:pt>
                <c:pt idx="3">
                  <c:v>38503</c:v>
                </c:pt>
                <c:pt idx="4">
                  <c:v>38138</c:v>
                </c:pt>
                <c:pt idx="5">
                  <c:v>37772</c:v>
                </c:pt>
                <c:pt idx="6">
                  <c:v>37407</c:v>
                </c:pt>
                <c:pt idx="7">
                  <c:v>37042</c:v>
                </c:pt>
                <c:pt idx="8">
                  <c:v>36677</c:v>
                </c:pt>
              </c:numCache>
            </c:numRef>
          </c:cat>
          <c:val>
            <c:numRef>
              <c:f>'Common Size and Trend Analysis'!$C$80:$K$80</c:f>
              <c:numCache>
                <c:formatCode>0.0%</c:formatCode>
                <c:ptCount val="9"/>
                <c:pt idx="0">
                  <c:v>0.25176399180597353</c:v>
                </c:pt>
                <c:pt idx="1">
                  <c:v>0.22411019505328775</c:v>
                </c:pt>
                <c:pt idx="2">
                  <c:v>0.20183452577508715</c:v>
                </c:pt>
                <c:pt idx="3">
                  <c:v>0.20402222810267268</c:v>
                </c:pt>
                <c:pt idx="4">
                  <c:v>0.18850218658892132</c:v>
                </c:pt>
                <c:pt idx="5">
                  <c:v>0.13496258307603745</c:v>
                </c:pt>
                <c:pt idx="6">
                  <c:v>9.7119341563786016E-2</c:v>
                </c:pt>
                <c:pt idx="7">
                  <c:v>0.10242533573862497</c:v>
                </c:pt>
                <c:pt idx="8">
                  <c:v>9.0699777978784646E-2</c:v>
                </c:pt>
              </c:numCache>
            </c:numRef>
          </c:val>
        </c:ser>
        <c:marker val="1"/>
        <c:axId val="70857856"/>
        <c:axId val="70859776"/>
      </c:lineChart>
      <c:dateAx>
        <c:axId val="70857856"/>
        <c:scaling>
          <c:orientation val="minMax"/>
        </c:scaling>
        <c:axPos val="b"/>
        <c:numFmt formatCode="yyyy"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0859776"/>
        <c:crosses val="autoZero"/>
        <c:auto val="1"/>
        <c:lblOffset val="100"/>
        <c:baseTimeUnit val="years"/>
        <c:majorUnit val="1"/>
        <c:majorTimeUnit val="years"/>
        <c:minorUnit val="1"/>
        <c:minorTimeUnit val="years"/>
      </c:dateAx>
      <c:valAx>
        <c:axId val="70859776"/>
        <c:scaling>
          <c:orientation val="minMax"/>
        </c:scaling>
        <c:axPos val="l"/>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t>Percent of Total Operating Assets</a:t>
                </a:r>
              </a:p>
            </c:rich>
          </c:tx>
          <c:layout>
            <c:manualLayout>
              <c:xMode val="edge"/>
              <c:yMode val="edge"/>
              <c:x val="2.0539152759948651E-2"/>
              <c:y val="0.32108347539466292"/>
            </c:manualLayout>
          </c:layout>
          <c:spPr>
            <a:noFill/>
            <a:ln w="25400">
              <a:noFill/>
            </a:ln>
          </c:spPr>
        </c:title>
        <c:numFmt formatCode="0.0%" sourceLinked="1"/>
        <c:tickLblPos val="nextTo"/>
        <c:spPr>
          <a:ln w="3175">
            <a:solidFill>
              <a:srgbClr val="969696"/>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0857856"/>
        <c:crosses val="autoZero"/>
        <c:crossBetween val="between"/>
      </c:valAx>
      <c:spPr>
        <a:noFill/>
        <a:ln w="25400">
          <a:noFill/>
        </a:ln>
      </c:spPr>
    </c:plotArea>
    <c:legend>
      <c:legendPos val="r"/>
      <c:layout>
        <c:manualLayout>
          <c:xMode val="edge"/>
          <c:yMode val="edge"/>
          <c:x val="0.6611039794608472"/>
          <c:y val="0.11798850601852071"/>
          <c:w val="0.32991014120667522"/>
          <c:h val="0.8607358225941264"/>
        </c:manualLayout>
      </c:layout>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200" b="1" i="0" u="none" strike="noStrike" baseline="0">
                <a:solidFill>
                  <a:srgbClr val="000000"/>
                </a:solidFill>
                <a:latin typeface="Arial"/>
                <a:ea typeface="Arial"/>
                <a:cs typeface="Arial"/>
              </a:defRPr>
            </a:pPr>
            <a:r>
              <a:t>Trend Analysis of Income Statement Items</a:t>
            </a:r>
          </a:p>
        </c:rich>
      </c:tx>
      <c:layout>
        <c:manualLayout>
          <c:xMode val="edge"/>
          <c:yMode val="edge"/>
          <c:x val="0.29268292682926828"/>
          <c:y val="2.9013567053734601E-2"/>
        </c:manualLayout>
      </c:layout>
      <c:spPr>
        <a:noFill/>
        <a:ln w="25400">
          <a:noFill/>
        </a:ln>
      </c:spPr>
    </c:title>
    <c:plotArea>
      <c:layout>
        <c:manualLayout>
          <c:layoutTarget val="inner"/>
          <c:xMode val="edge"/>
          <c:yMode val="edge"/>
          <c:x val="0.12195121951219512"/>
          <c:y val="0.14506783526867301"/>
          <c:w val="0.51989730423620029"/>
          <c:h val="0.76789240802217573"/>
        </c:manualLayout>
      </c:layout>
      <c:lineChart>
        <c:grouping val="standard"/>
        <c:ser>
          <c:idx val="0"/>
          <c:order val="0"/>
          <c:tx>
            <c:strRef>
              <c:f>'Common Size and Trend Analysis'!$Q$21</c:f>
              <c:strCache>
                <c:ptCount val="1"/>
                <c:pt idx="0">
                  <c:v>   Cost of sales</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'Common Size and Trend Analysis'!$R$19:$W$19</c:f>
              <c:numCache>
                <c:formatCode>yyyy/mm/dd</c:formatCode>
                <c:ptCount val="6"/>
                <c:pt idx="0">
                  <c:v>39599</c:v>
                </c:pt>
                <c:pt idx="1">
                  <c:v>39233</c:v>
                </c:pt>
                <c:pt idx="2">
                  <c:v>38868</c:v>
                </c:pt>
                <c:pt idx="3">
                  <c:v>38503</c:v>
                </c:pt>
                <c:pt idx="4">
                  <c:v>38138</c:v>
                </c:pt>
                <c:pt idx="5">
                  <c:v>37772</c:v>
                </c:pt>
              </c:numCache>
            </c:numRef>
          </c:cat>
          <c:val>
            <c:numRef>
              <c:f>'Common Size and Trend Analysis'!$R$21:$W$21</c:f>
              <c:numCache>
                <c:formatCode>0.0%</c:formatCode>
                <c:ptCount val="6"/>
                <c:pt idx="0">
                  <c:v>1.6218322351748606</c:v>
                </c:pt>
                <c:pt idx="1">
                  <c:v>1.4516915864166242</c:v>
                </c:pt>
                <c:pt idx="2">
                  <c:v>1.3253769640141915</c:v>
                </c:pt>
                <c:pt idx="3">
                  <c:v>1.2075994678155093</c:v>
                </c:pt>
                <c:pt idx="4">
                  <c:v>1.1089394323365431</c:v>
                </c:pt>
                <c:pt idx="5">
                  <c:v>1</c:v>
                </c:pt>
              </c:numCache>
            </c:numRef>
          </c:val>
        </c:ser>
        <c:ser>
          <c:idx val="1"/>
          <c:order val="1"/>
          <c:tx>
            <c:strRef>
              <c:f>'Common Size and Trend Analysis'!$Q$20</c:f>
              <c:strCache>
                <c:ptCount val="1"/>
                <c:pt idx="0">
                  <c:v>Operating revenue</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numRef>
              <c:f>'Common Size and Trend Analysis'!$R$19:$W$19</c:f>
              <c:numCache>
                <c:formatCode>yyyy/mm/dd</c:formatCode>
                <c:ptCount val="6"/>
                <c:pt idx="0">
                  <c:v>39599</c:v>
                </c:pt>
                <c:pt idx="1">
                  <c:v>39233</c:v>
                </c:pt>
                <c:pt idx="2">
                  <c:v>38868</c:v>
                </c:pt>
                <c:pt idx="3">
                  <c:v>38503</c:v>
                </c:pt>
                <c:pt idx="4">
                  <c:v>38138</c:v>
                </c:pt>
                <c:pt idx="5">
                  <c:v>37772</c:v>
                </c:pt>
              </c:numCache>
            </c:numRef>
          </c:cat>
          <c:val>
            <c:numRef>
              <c:f>'Common Size and Trend Analysis'!$R$20:$W$20</c:f>
              <c:numCache>
                <c:formatCode>0.0%</c:formatCode>
                <c:ptCount val="6"/>
                <c:pt idx="0">
                  <c:v>1.7413293446760774</c:v>
                </c:pt>
                <c:pt idx="1">
                  <c:v>1.5262129569038048</c:v>
                </c:pt>
                <c:pt idx="2">
                  <c:v>1.3980461811722913</c:v>
                </c:pt>
                <c:pt idx="3">
                  <c:v>1.2844442367018791</c:v>
                </c:pt>
                <c:pt idx="4">
                  <c:v>1.1454706927175844</c:v>
                </c:pt>
                <c:pt idx="5">
                  <c:v>1</c:v>
                </c:pt>
              </c:numCache>
            </c:numRef>
          </c:val>
        </c:ser>
        <c:ser>
          <c:idx val="2"/>
          <c:order val="2"/>
          <c:tx>
            <c:strRef>
              <c:f>'Common Size and Trend Analysis'!$Q$22</c:f>
              <c:strCache>
                <c:ptCount val="1"/>
                <c:pt idx="0">
                  <c:v>Gross margin</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cat>
            <c:numRef>
              <c:f>'Common Size and Trend Analysis'!$R$19:$W$19</c:f>
              <c:numCache>
                <c:formatCode>yyyy/mm/dd</c:formatCode>
                <c:ptCount val="6"/>
                <c:pt idx="0">
                  <c:v>39599</c:v>
                </c:pt>
                <c:pt idx="1">
                  <c:v>39233</c:v>
                </c:pt>
                <c:pt idx="2">
                  <c:v>38868</c:v>
                </c:pt>
                <c:pt idx="3">
                  <c:v>38503</c:v>
                </c:pt>
                <c:pt idx="4">
                  <c:v>38138</c:v>
                </c:pt>
                <c:pt idx="5">
                  <c:v>37772</c:v>
                </c:pt>
              </c:numCache>
            </c:numRef>
          </c:cat>
          <c:val>
            <c:numRef>
              <c:f>'Common Size and Trend Analysis'!$R$22:$W$22</c:f>
              <c:numCache>
                <c:formatCode>0.0%</c:formatCode>
                <c:ptCount val="6"/>
                <c:pt idx="0">
                  <c:v>1.9134461833280103</c:v>
                </c:pt>
                <c:pt idx="1">
                  <c:v>1.6335492996304239</c:v>
                </c:pt>
                <c:pt idx="2">
                  <c:v>1.5027147876077931</c:v>
                </c:pt>
                <c:pt idx="3">
                  <c:v>1.3951270703107179</c:v>
                </c:pt>
                <c:pt idx="4">
                  <c:v>1.1980882420039241</c:v>
                </c:pt>
                <c:pt idx="5">
                  <c:v>1</c:v>
                </c:pt>
              </c:numCache>
            </c:numRef>
          </c:val>
        </c:ser>
        <c:ser>
          <c:idx val="3"/>
          <c:order val="3"/>
          <c:tx>
            <c:strRef>
              <c:f>'Common Size and Trend Analysis'!$Q$28</c:f>
              <c:strCache>
                <c:ptCount val="1"/>
                <c:pt idx="0">
                  <c:v>Total operating expenses</c:v>
                </c:pt>
              </c:strCache>
            </c:strRef>
          </c:tx>
          <c:spPr>
            <a:ln w="12700">
              <a:solidFill>
                <a:srgbClr val="00FFFF"/>
              </a:solidFill>
              <a:prstDash val="solid"/>
            </a:ln>
          </c:spPr>
          <c:marker>
            <c:symbol val="x"/>
            <c:size val="5"/>
            <c:spPr>
              <a:noFill/>
              <a:ln>
                <a:solidFill>
                  <a:srgbClr val="00FFFF"/>
                </a:solidFill>
                <a:prstDash val="solid"/>
              </a:ln>
            </c:spPr>
          </c:marker>
          <c:cat>
            <c:numRef>
              <c:f>'Common Size and Trend Analysis'!$R$19:$W$19</c:f>
              <c:numCache>
                <c:formatCode>yyyy/mm/dd</c:formatCode>
                <c:ptCount val="6"/>
                <c:pt idx="0">
                  <c:v>39599</c:v>
                </c:pt>
                <c:pt idx="1">
                  <c:v>39233</c:v>
                </c:pt>
                <c:pt idx="2">
                  <c:v>38868</c:v>
                </c:pt>
                <c:pt idx="3">
                  <c:v>38503</c:v>
                </c:pt>
                <c:pt idx="4">
                  <c:v>38138</c:v>
                </c:pt>
                <c:pt idx="5">
                  <c:v>37772</c:v>
                </c:pt>
              </c:numCache>
            </c:numRef>
          </c:cat>
          <c:val>
            <c:numRef>
              <c:f>'Common Size and Trend Analysis'!$R$28:$W$28</c:f>
              <c:numCache>
                <c:formatCode>0.0%</c:formatCode>
                <c:ptCount val="6"/>
                <c:pt idx="0">
                  <c:v>1.863535090976606</c:v>
                </c:pt>
                <c:pt idx="1">
                  <c:v>1.5558237405619508</c:v>
                </c:pt>
                <c:pt idx="2">
                  <c:v>1.3869909642282461</c:v>
                </c:pt>
                <c:pt idx="3">
                  <c:v>1.2973759128605025</c:v>
                </c:pt>
                <c:pt idx="4">
                  <c:v>1.1686780542146304</c:v>
                </c:pt>
                <c:pt idx="5">
                  <c:v>1</c:v>
                </c:pt>
              </c:numCache>
            </c:numRef>
          </c:val>
        </c:ser>
        <c:ser>
          <c:idx val="4"/>
          <c:order val="4"/>
          <c:tx>
            <c:strRef>
              <c:f>'Common Size and Trend Analysis'!$Q$29</c:f>
              <c:strCache>
                <c:ptCount val="1"/>
                <c:pt idx="0">
                  <c:v>Core operating income (before tax)</c:v>
                </c:pt>
              </c:strCache>
            </c:strRef>
          </c:tx>
          <c:spPr>
            <a:ln w="12700">
              <a:solidFill>
                <a:srgbClr val="800080"/>
              </a:solidFill>
              <a:prstDash val="solid"/>
            </a:ln>
          </c:spPr>
          <c:marker>
            <c:symbol val="star"/>
            <c:size val="5"/>
            <c:spPr>
              <a:noFill/>
              <a:ln>
                <a:solidFill>
                  <a:srgbClr val="800080"/>
                </a:solidFill>
                <a:prstDash val="solid"/>
              </a:ln>
            </c:spPr>
          </c:marker>
          <c:cat>
            <c:numRef>
              <c:f>'Common Size and Trend Analysis'!$R$19:$W$19</c:f>
              <c:numCache>
                <c:formatCode>yyyy/mm/dd</c:formatCode>
                <c:ptCount val="6"/>
                <c:pt idx="0">
                  <c:v>39599</c:v>
                </c:pt>
                <c:pt idx="1">
                  <c:v>39233</c:v>
                </c:pt>
                <c:pt idx="2">
                  <c:v>38868</c:v>
                </c:pt>
                <c:pt idx="3">
                  <c:v>38503</c:v>
                </c:pt>
                <c:pt idx="4">
                  <c:v>38138</c:v>
                </c:pt>
                <c:pt idx="5">
                  <c:v>37772</c:v>
                </c:pt>
              </c:numCache>
            </c:numRef>
          </c:cat>
          <c:val>
            <c:numRef>
              <c:f>'Common Size and Trend Analysis'!$R$29:$W$29</c:f>
              <c:numCache>
                <c:formatCode>0.0%</c:formatCode>
                <c:ptCount val="6"/>
                <c:pt idx="0">
                  <c:v>2.0534815072061123</c:v>
                </c:pt>
                <c:pt idx="1">
                  <c:v>1.8516235457544716</c:v>
                </c:pt>
                <c:pt idx="2">
                  <c:v>1.827400590380275</c:v>
                </c:pt>
                <c:pt idx="3">
                  <c:v>1.6693870463622169</c:v>
                </c:pt>
                <c:pt idx="4">
                  <c:v>1.2806042715749273</c:v>
                </c:pt>
                <c:pt idx="5">
                  <c:v>1</c:v>
                </c:pt>
              </c:numCache>
            </c:numRef>
          </c:val>
        </c:ser>
        <c:ser>
          <c:idx val="5"/>
          <c:order val="5"/>
          <c:tx>
            <c:strRef>
              <c:f>'Common Size and Trend Analysis'!$Q$35</c:f>
              <c:strCache>
                <c:ptCount val="1"/>
                <c:pt idx="0">
                  <c:v>Core operating income (after tax)</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'Common Size and Trend Analysis'!$R$19:$W$19</c:f>
              <c:numCache>
                <c:formatCode>yyyy/mm/dd</c:formatCode>
                <c:ptCount val="6"/>
                <c:pt idx="0">
                  <c:v>39599</c:v>
                </c:pt>
                <c:pt idx="1">
                  <c:v>39233</c:v>
                </c:pt>
                <c:pt idx="2">
                  <c:v>38868</c:v>
                </c:pt>
                <c:pt idx="3">
                  <c:v>38503</c:v>
                </c:pt>
                <c:pt idx="4">
                  <c:v>38138</c:v>
                </c:pt>
                <c:pt idx="5">
                  <c:v>37772</c:v>
                </c:pt>
              </c:numCache>
            </c:numRef>
          </c:cat>
          <c:val>
            <c:numRef>
              <c:f>'Common Size and Trend Analysis'!$R$35:$W$35</c:f>
              <c:numCache>
                <c:formatCode>0.0%</c:formatCode>
                <c:ptCount val="6"/>
                <c:pt idx="0">
                  <c:v>2.3689017280042219</c:v>
                </c:pt>
                <c:pt idx="1">
                  <c:v>1.9110418150639763</c:v>
                </c:pt>
                <c:pt idx="2">
                  <c:v>1.8052963988919677</c:v>
                </c:pt>
                <c:pt idx="3">
                  <c:v>1.6836132436354063</c:v>
                </c:pt>
                <c:pt idx="4">
                  <c:v>1.26807149452579</c:v>
                </c:pt>
                <c:pt idx="5">
                  <c:v>1</c:v>
                </c:pt>
              </c:numCache>
            </c:numRef>
          </c:val>
        </c:ser>
        <c:ser>
          <c:idx val="6"/>
          <c:order val="6"/>
          <c:tx>
            <c:strRef>
              <c:f>'Common Size and Trend Analysis'!$Q$45</c:f>
              <c:strCache>
                <c:ptCount val="1"/>
                <c:pt idx="0">
                  <c:v>Operating income after tax</c:v>
                </c:pt>
              </c:strCache>
            </c:strRef>
          </c:tx>
          <c:spPr>
            <a:ln w="12700">
              <a:solidFill>
                <a:srgbClr val="008080"/>
              </a:solidFill>
              <a:prstDash val="solid"/>
            </a:ln>
          </c:spPr>
          <c:marker>
            <c:symbol val="plus"/>
            <c:size val="5"/>
            <c:spPr>
              <a:noFill/>
              <a:ln>
                <a:solidFill>
                  <a:srgbClr val="008080"/>
                </a:solidFill>
                <a:prstDash val="solid"/>
              </a:ln>
            </c:spPr>
          </c:marker>
          <c:cat>
            <c:numRef>
              <c:f>'Common Size and Trend Analysis'!$R$19:$W$19</c:f>
              <c:numCache>
                <c:formatCode>yyyy/mm/dd</c:formatCode>
                <c:ptCount val="6"/>
                <c:pt idx="0">
                  <c:v>39599</c:v>
                </c:pt>
                <c:pt idx="1">
                  <c:v>39233</c:v>
                </c:pt>
                <c:pt idx="2">
                  <c:v>38868</c:v>
                </c:pt>
                <c:pt idx="3">
                  <c:v>38503</c:v>
                </c:pt>
                <c:pt idx="4">
                  <c:v>38138</c:v>
                </c:pt>
                <c:pt idx="5">
                  <c:v>37772</c:v>
                </c:pt>
              </c:numCache>
            </c:numRef>
          </c:cat>
          <c:val>
            <c:numRef>
              <c:f>'Common Size and Trend Analysis'!$R$45:$W$45</c:f>
              <c:numCache>
                <c:formatCode>0.0%</c:formatCode>
                <c:ptCount val="6"/>
                <c:pt idx="0">
                  <c:v>4.4416429694872637</c:v>
                </c:pt>
                <c:pt idx="1">
                  <c:v>3.8978313935199771</c:v>
                </c:pt>
                <c:pt idx="2">
                  <c:v>3.3699163258886471</c:v>
                </c:pt>
                <c:pt idx="3">
                  <c:v>3.2372142183076487</c:v>
                </c:pt>
                <c:pt idx="4">
                  <c:v>2.441100850086785</c:v>
                </c:pt>
                <c:pt idx="5">
                  <c:v>1</c:v>
                </c:pt>
              </c:numCache>
            </c:numRef>
          </c:val>
        </c:ser>
        <c:ser>
          <c:idx val="7"/>
          <c:order val="7"/>
          <c:tx>
            <c:strRef>
              <c:f>'Common Size and Trend Analysis'!$Q$56</c:f>
              <c:strCache>
                <c:ptCount val="1"/>
                <c:pt idx="0">
                  <c:v>Comprehensive income (available to common)</c:v>
                </c:pt>
              </c:strCache>
            </c:strRef>
          </c:tx>
          <c:spPr>
            <a:ln w="12700">
              <a:solidFill>
                <a:srgbClr val="0000FF"/>
              </a:solidFill>
              <a:prstDash val="solid"/>
            </a:ln>
          </c:spPr>
          <c:marker>
            <c:symbol val="dot"/>
            <c:size val="5"/>
            <c:spPr>
              <a:noFill/>
              <a:ln>
                <a:solidFill>
                  <a:srgbClr val="0000FF"/>
                </a:solidFill>
                <a:prstDash val="solid"/>
              </a:ln>
            </c:spPr>
          </c:marker>
          <c:cat>
            <c:numRef>
              <c:f>'Common Size and Trend Analysis'!$R$19:$W$19</c:f>
              <c:numCache>
                <c:formatCode>yyyy/mm/dd</c:formatCode>
                <c:ptCount val="6"/>
                <c:pt idx="0">
                  <c:v>39599</c:v>
                </c:pt>
                <c:pt idx="1">
                  <c:v>39233</c:v>
                </c:pt>
                <c:pt idx="2">
                  <c:v>38868</c:v>
                </c:pt>
                <c:pt idx="3">
                  <c:v>38503</c:v>
                </c:pt>
                <c:pt idx="4">
                  <c:v>38138</c:v>
                </c:pt>
                <c:pt idx="5">
                  <c:v>37772</c:v>
                </c:pt>
              </c:numCache>
            </c:numRef>
          </c:cat>
          <c:val>
            <c:numRef>
              <c:f>'Common Size and Trend Analysis'!$R$56:$W$56</c:f>
              <c:numCache>
                <c:formatCode>0.0%</c:formatCode>
                <c:ptCount val="6"/>
                <c:pt idx="0">
                  <c:v>4.7594448094612396</c:v>
                </c:pt>
                <c:pt idx="1">
                  <c:v>4.1760019710906739</c:v>
                </c:pt>
                <c:pt idx="2">
                  <c:v>3.5770367936925127</c:v>
                </c:pt>
                <c:pt idx="3">
                  <c:v>3.3883048620236584</c:v>
                </c:pt>
                <c:pt idx="4">
                  <c:v>2.5106182990886627</c:v>
                </c:pt>
                <c:pt idx="5">
                  <c:v>1</c:v>
                </c:pt>
              </c:numCache>
            </c:numRef>
          </c:val>
        </c:ser>
        <c:marker val="1"/>
        <c:axId val="75723520"/>
        <c:axId val="75725440"/>
      </c:lineChart>
      <c:dateAx>
        <c:axId val="75723520"/>
        <c:scaling>
          <c:orientation val="minMax"/>
        </c:scaling>
        <c:axPos val="b"/>
        <c:numFmt formatCode="yyyy"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5725440"/>
        <c:crosses val="autoZero"/>
        <c:auto val="1"/>
        <c:lblOffset val="100"/>
        <c:baseTimeUnit val="years"/>
        <c:majorUnit val="1"/>
        <c:majorTimeUnit val="years"/>
        <c:minorUnit val="1"/>
        <c:minorTimeUnit val="years"/>
      </c:dateAx>
      <c:valAx>
        <c:axId val="75725440"/>
        <c:scaling>
          <c:orientation val="minMax"/>
        </c:scaling>
        <c:axPos val="l"/>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t>Percent of 2003 Value</a:t>
                </a:r>
              </a:p>
            </c:rich>
          </c:tx>
          <c:layout>
            <c:manualLayout>
              <c:xMode val="edge"/>
              <c:yMode val="edge"/>
              <c:x val="2.0539152759948651E-2"/>
              <c:y val="0.39071603632362595"/>
            </c:manualLayout>
          </c:layout>
          <c:spPr>
            <a:noFill/>
            <a:ln w="25400">
              <a:noFill/>
            </a:ln>
          </c:spPr>
        </c:title>
        <c:numFmt formatCode="0.0%" sourceLinked="1"/>
        <c:tickLblPos val="nextTo"/>
        <c:spPr>
          <a:ln w="3175">
            <a:solidFill>
              <a:srgbClr val="969696"/>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5723520"/>
        <c:crosses val="autoZero"/>
        <c:crossBetween val="between"/>
      </c:valAx>
      <c:spPr>
        <a:noFill/>
        <a:ln w="25400">
          <a:noFill/>
        </a:ln>
      </c:spPr>
    </c:plotArea>
    <c:legend>
      <c:legendPos val="r"/>
      <c:layout>
        <c:manualLayout>
          <c:xMode val="edge"/>
          <c:yMode val="edge"/>
          <c:x val="0.67650834403080873"/>
          <c:y val="0.24177972544778834"/>
          <c:w val="0.31450577663671375"/>
          <c:h val="0.57446862766394502"/>
        </c:manualLayout>
      </c:layout>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sz="1200" b="1" i="0" u="none" strike="noStrike" baseline="0">
                <a:solidFill>
                  <a:srgbClr val="000000"/>
                </a:solidFill>
                <a:latin typeface="Arial"/>
                <a:ea typeface="Arial"/>
                <a:cs typeface="Arial"/>
              </a:defRPr>
            </a:pPr>
            <a:r>
              <a:t>Trend Analysis of Balance Sheet Items</a:t>
            </a:r>
          </a:p>
        </c:rich>
      </c:tx>
      <c:layout>
        <c:manualLayout>
          <c:xMode val="edge"/>
          <c:yMode val="edge"/>
          <c:x val="0.30937098844672656"/>
          <c:y val="2.9013567053734601E-2"/>
        </c:manualLayout>
      </c:layout>
      <c:spPr>
        <a:noFill/>
        <a:ln w="25400">
          <a:noFill/>
        </a:ln>
      </c:spPr>
    </c:title>
    <c:plotArea>
      <c:layout>
        <c:manualLayout>
          <c:layoutTarget val="inner"/>
          <c:xMode val="edge"/>
          <c:yMode val="edge"/>
          <c:x val="0.12708600770218229"/>
          <c:y val="0.14506783526867301"/>
          <c:w val="0.50449293966623876"/>
          <c:h val="0.80657716409382185"/>
        </c:manualLayout>
      </c:layout>
      <c:lineChart>
        <c:grouping val="standard"/>
        <c:ser>
          <c:idx val="3"/>
          <c:order val="0"/>
          <c:tx>
            <c:strRef>
              <c:f>'Common Size and Trend Analysis'!$Q$68</c:f>
              <c:strCache>
                <c:ptCount val="1"/>
                <c:pt idx="0">
                  <c:v>Accounts receivable, less allowance for doubtful accounts</c:v>
                </c:pt>
              </c:strCache>
            </c:strRef>
          </c:tx>
          <c:spPr>
            <a:ln w="12700">
              <a:solidFill>
                <a:srgbClr val="00FFFF"/>
              </a:solidFill>
              <a:prstDash val="solid"/>
            </a:ln>
          </c:spPr>
          <c:marker>
            <c:symbol val="x"/>
            <c:size val="5"/>
            <c:spPr>
              <a:noFill/>
              <a:ln>
                <a:solidFill>
                  <a:srgbClr val="00FFFF"/>
                </a:solidFill>
                <a:prstDash val="solid"/>
              </a:ln>
            </c:spPr>
          </c:marker>
          <c:cat>
            <c:numRef>
              <c:f>'Common Size and Trend Analysis'!$R$64:$W$64</c:f>
              <c:numCache>
                <c:formatCode>yyyy/mm/dd</c:formatCode>
                <c:ptCount val="6"/>
                <c:pt idx="0">
                  <c:v>39599</c:v>
                </c:pt>
                <c:pt idx="1">
                  <c:v>39233</c:v>
                </c:pt>
                <c:pt idx="2">
                  <c:v>38868</c:v>
                </c:pt>
                <c:pt idx="3">
                  <c:v>38503</c:v>
                </c:pt>
                <c:pt idx="4">
                  <c:v>38138</c:v>
                </c:pt>
                <c:pt idx="5">
                  <c:v>37772</c:v>
                </c:pt>
              </c:numCache>
            </c:numRef>
          </c:cat>
          <c:val>
            <c:numRef>
              <c:f>'Common Size and Trend Analysis'!$R$68:$Z$68</c:f>
              <c:numCache>
                <c:formatCode>0.0%</c:formatCode>
                <c:ptCount val="9"/>
                <c:pt idx="0">
                  <c:v>1.3413791448725947</c:v>
                </c:pt>
                <c:pt idx="1">
                  <c:v>1.1971303805364939</c:v>
                </c:pt>
                <c:pt idx="2">
                  <c:v>1.1497192763568309</c:v>
                </c:pt>
                <c:pt idx="3">
                  <c:v>1.0855127405345746</c:v>
                </c:pt>
                <c:pt idx="4">
                  <c:v>1.0174192619607465</c:v>
                </c:pt>
                <c:pt idx="5">
                  <c:v>1</c:v>
                </c:pt>
              </c:numCache>
            </c:numRef>
          </c:val>
        </c:ser>
        <c:ser>
          <c:idx val="4"/>
          <c:order val="1"/>
          <c:tx>
            <c:strRef>
              <c:f>'Common Size and Trend Analysis'!$Q$69</c:f>
              <c:strCache>
                <c:ptCount val="1"/>
                <c:pt idx="0">
                  <c:v>Inventories</c:v>
                </c:pt>
              </c:strCache>
            </c:strRef>
          </c:tx>
          <c:spPr>
            <a:ln w="12700">
              <a:solidFill>
                <a:srgbClr val="800080"/>
              </a:solidFill>
              <a:prstDash val="solid"/>
            </a:ln>
          </c:spPr>
          <c:marker>
            <c:symbol val="star"/>
            <c:size val="5"/>
            <c:spPr>
              <a:noFill/>
              <a:ln>
                <a:solidFill>
                  <a:srgbClr val="800080"/>
                </a:solidFill>
                <a:prstDash val="solid"/>
              </a:ln>
            </c:spPr>
          </c:marker>
          <c:cat>
            <c:numRef>
              <c:f>'Common Size and Trend Analysis'!$R$64:$W$64</c:f>
              <c:numCache>
                <c:formatCode>yyyy/mm/dd</c:formatCode>
                <c:ptCount val="6"/>
                <c:pt idx="0">
                  <c:v>39599</c:v>
                </c:pt>
                <c:pt idx="1">
                  <c:v>39233</c:v>
                </c:pt>
                <c:pt idx="2">
                  <c:v>38868</c:v>
                </c:pt>
                <c:pt idx="3">
                  <c:v>38503</c:v>
                </c:pt>
                <c:pt idx="4">
                  <c:v>38138</c:v>
                </c:pt>
                <c:pt idx="5">
                  <c:v>37772</c:v>
                </c:pt>
              </c:numCache>
            </c:numRef>
          </c:cat>
          <c:val>
            <c:numRef>
              <c:f>'Common Size and Trend Analysis'!$R$69:$Z$69</c:f>
              <c:numCache>
                <c:formatCode>0.0%</c:formatCode>
                <c:ptCount val="9"/>
                <c:pt idx="0">
                  <c:v>1.609611195458446</c:v>
                </c:pt>
                <c:pt idx="1">
                  <c:v>1.4006865139613176</c:v>
                </c:pt>
                <c:pt idx="2">
                  <c:v>1.3708495610271303</c:v>
                </c:pt>
                <c:pt idx="3">
                  <c:v>1.1955244570598718</c:v>
                </c:pt>
                <c:pt idx="4">
                  <c:v>1.0893128259291043</c:v>
                </c:pt>
                <c:pt idx="5">
                  <c:v>1</c:v>
                </c:pt>
              </c:numCache>
            </c:numRef>
          </c:val>
        </c:ser>
        <c:ser>
          <c:idx val="6"/>
          <c:order val="2"/>
          <c:tx>
            <c:strRef>
              <c:f>'Common Size and Trend Analysis'!$Q$71</c:f>
              <c:strCache>
                <c:ptCount val="1"/>
                <c:pt idx="0">
                  <c:v>Property, plant and equipment, net</c:v>
                </c:pt>
              </c:strCache>
            </c:strRef>
          </c:tx>
          <c:spPr>
            <a:ln w="12700">
              <a:solidFill>
                <a:srgbClr val="008080"/>
              </a:solidFill>
              <a:prstDash val="solid"/>
            </a:ln>
          </c:spPr>
          <c:marker>
            <c:symbol val="plus"/>
            <c:size val="5"/>
            <c:spPr>
              <a:noFill/>
              <a:ln>
                <a:solidFill>
                  <a:srgbClr val="008080"/>
                </a:solidFill>
                <a:prstDash val="solid"/>
              </a:ln>
            </c:spPr>
          </c:marker>
          <c:cat>
            <c:numRef>
              <c:f>'Common Size and Trend Analysis'!$R$64:$W$64</c:f>
              <c:numCache>
                <c:formatCode>yyyy/mm/dd</c:formatCode>
                <c:ptCount val="6"/>
                <c:pt idx="0">
                  <c:v>39599</c:v>
                </c:pt>
                <c:pt idx="1">
                  <c:v>39233</c:v>
                </c:pt>
                <c:pt idx="2">
                  <c:v>38868</c:v>
                </c:pt>
                <c:pt idx="3">
                  <c:v>38503</c:v>
                </c:pt>
                <c:pt idx="4">
                  <c:v>38138</c:v>
                </c:pt>
                <c:pt idx="5">
                  <c:v>37772</c:v>
                </c:pt>
              </c:numCache>
            </c:numRef>
          </c:cat>
          <c:val>
            <c:numRef>
              <c:f>'Common Size and Trend Analysis'!$R$71:$Z$71</c:f>
              <c:numCache>
                <c:formatCode>0.0%</c:formatCode>
                <c:ptCount val="9"/>
                <c:pt idx="0">
                  <c:v>1.166769496544916</c:v>
                </c:pt>
                <c:pt idx="1">
                  <c:v>1.0354763079960514</c:v>
                </c:pt>
                <c:pt idx="2">
                  <c:v>1.0227665350444226</c:v>
                </c:pt>
                <c:pt idx="3">
                  <c:v>0.99074531095755181</c:v>
                </c:pt>
                <c:pt idx="4">
                  <c:v>0.99444718657453113</c:v>
                </c:pt>
                <c:pt idx="5">
                  <c:v>1</c:v>
                </c:pt>
              </c:numCache>
            </c:numRef>
          </c:val>
        </c:ser>
        <c:ser>
          <c:idx val="10"/>
          <c:order val="3"/>
          <c:tx>
            <c:strRef>
              <c:f>'Common Size and Trend Analysis'!$Q$75</c:f>
              <c:strCache>
                <c:ptCount val="1"/>
                <c:pt idx="0">
                  <c:v>Total operating assets</c:v>
                </c:pt>
              </c:strCache>
            </c:strRef>
          </c:tx>
          <c:spPr>
            <a:ln w="12700">
              <a:solidFill>
                <a:srgbClr val="CCFFCC"/>
              </a:solidFill>
              <a:prstDash val="solid"/>
            </a:ln>
          </c:spPr>
          <c:marker>
            <c:symbol val="square"/>
            <c:size val="5"/>
            <c:spPr>
              <a:solidFill>
                <a:srgbClr val="CCFFCC"/>
              </a:solidFill>
              <a:ln>
                <a:solidFill>
                  <a:srgbClr val="CCFFCC"/>
                </a:solidFill>
                <a:prstDash val="solid"/>
              </a:ln>
            </c:spPr>
          </c:marker>
          <c:cat>
            <c:numRef>
              <c:f>'Common Size and Trend Analysis'!$R$64:$W$64</c:f>
              <c:numCache>
                <c:formatCode>yyyy/mm/dd</c:formatCode>
                <c:ptCount val="6"/>
                <c:pt idx="0">
                  <c:v>39599</c:v>
                </c:pt>
                <c:pt idx="1">
                  <c:v>39233</c:v>
                </c:pt>
                <c:pt idx="2">
                  <c:v>38868</c:v>
                </c:pt>
                <c:pt idx="3">
                  <c:v>38503</c:v>
                </c:pt>
                <c:pt idx="4">
                  <c:v>38138</c:v>
                </c:pt>
                <c:pt idx="5">
                  <c:v>37772</c:v>
                </c:pt>
              </c:numCache>
            </c:numRef>
          </c:cat>
          <c:val>
            <c:numRef>
              <c:f>'Common Size and Trend Analysis'!$R$75:$Z$75</c:f>
              <c:numCache>
                <c:formatCode>0.0%</c:formatCode>
                <c:ptCount val="9"/>
                <c:pt idx="0">
                  <c:v>1.5637631315206968</c:v>
                </c:pt>
                <c:pt idx="1">
                  <c:v>1.2694591652066072</c:v>
                </c:pt>
                <c:pt idx="2">
                  <c:v>1.2243467386401781</c:v>
                </c:pt>
                <c:pt idx="3">
                  <c:v>1.1276061356937823</c:v>
                </c:pt>
                <c:pt idx="4">
                  <c:v>1.0809911098613485</c:v>
                </c:pt>
                <c:pt idx="5">
                  <c:v>1</c:v>
                </c:pt>
              </c:numCache>
            </c:numRef>
          </c:val>
        </c:ser>
        <c:ser>
          <c:idx val="12"/>
          <c:order val="4"/>
          <c:tx>
            <c:strRef>
              <c:f>'Common Size and Trend Analysis'!$Q$77</c:f>
              <c:strCache>
                <c:ptCount val="1"/>
                <c:pt idx="0">
                  <c:v>Accounts payable - non-interest bearing</c:v>
                </c:pt>
              </c:strCache>
            </c:strRef>
          </c:tx>
          <c:spPr>
            <a:ln w="12700">
              <a:solidFill>
                <a:srgbClr val="99CCFF"/>
              </a:solidFill>
              <a:prstDash val="solid"/>
            </a:ln>
          </c:spPr>
          <c:marker>
            <c:symbol val="x"/>
            <c:size val="5"/>
            <c:spPr>
              <a:noFill/>
              <a:ln>
                <a:solidFill>
                  <a:srgbClr val="99CCFF"/>
                </a:solidFill>
                <a:prstDash val="solid"/>
              </a:ln>
            </c:spPr>
          </c:marker>
          <c:cat>
            <c:numRef>
              <c:f>'Common Size and Trend Analysis'!$R$64:$W$64</c:f>
              <c:numCache>
                <c:formatCode>yyyy/mm/dd</c:formatCode>
                <c:ptCount val="6"/>
                <c:pt idx="0">
                  <c:v>39599</c:v>
                </c:pt>
                <c:pt idx="1">
                  <c:v>39233</c:v>
                </c:pt>
                <c:pt idx="2">
                  <c:v>38868</c:v>
                </c:pt>
                <c:pt idx="3">
                  <c:v>38503</c:v>
                </c:pt>
                <c:pt idx="4">
                  <c:v>38138</c:v>
                </c:pt>
                <c:pt idx="5">
                  <c:v>37772</c:v>
                </c:pt>
              </c:numCache>
            </c:numRef>
          </c:cat>
          <c:val>
            <c:numRef>
              <c:f>'Common Size and Trend Analysis'!$R$77:$Z$77</c:f>
              <c:numCache>
                <c:formatCode>0.0%</c:formatCode>
                <c:ptCount val="9"/>
                <c:pt idx="0">
                  <c:v>2.3354999044159812</c:v>
                </c:pt>
                <c:pt idx="1">
                  <c:v>1.9034601414643471</c:v>
                </c:pt>
                <c:pt idx="2">
                  <c:v>1.6870579239151213</c:v>
                </c:pt>
                <c:pt idx="3">
                  <c:v>1.511756834257312</c:v>
                </c:pt>
                <c:pt idx="4">
                  <c:v>1.4079525903268972</c:v>
                </c:pt>
                <c:pt idx="5">
                  <c:v>1</c:v>
                </c:pt>
              </c:numCache>
            </c:numRef>
          </c:val>
        </c:ser>
        <c:ser>
          <c:idx val="13"/>
          <c:order val="5"/>
          <c:tx>
            <c:strRef>
              <c:f>'Common Size and Trend Analysis'!$Q$78</c:f>
              <c:strCache>
                <c:ptCount val="1"/>
                <c:pt idx="0">
                  <c:v>Accrued liabilities</c:v>
                </c:pt>
              </c:strCache>
            </c:strRef>
          </c:tx>
          <c:spPr>
            <a:ln w="12700">
              <a:solidFill>
                <a:srgbClr val="FF99CC"/>
              </a:solidFill>
              <a:prstDash val="solid"/>
            </a:ln>
          </c:spPr>
          <c:marker>
            <c:symbol val="star"/>
            <c:size val="5"/>
            <c:spPr>
              <a:noFill/>
              <a:ln>
                <a:solidFill>
                  <a:srgbClr val="FF99CC"/>
                </a:solidFill>
                <a:prstDash val="solid"/>
              </a:ln>
            </c:spPr>
          </c:marker>
          <c:cat>
            <c:numRef>
              <c:f>'Common Size and Trend Analysis'!$R$64:$W$64</c:f>
              <c:numCache>
                <c:formatCode>yyyy/mm/dd</c:formatCode>
                <c:ptCount val="6"/>
                <c:pt idx="0">
                  <c:v>39599</c:v>
                </c:pt>
                <c:pt idx="1">
                  <c:v>39233</c:v>
                </c:pt>
                <c:pt idx="2">
                  <c:v>38868</c:v>
                </c:pt>
                <c:pt idx="3">
                  <c:v>38503</c:v>
                </c:pt>
                <c:pt idx="4">
                  <c:v>38138</c:v>
                </c:pt>
                <c:pt idx="5">
                  <c:v>37772</c:v>
                </c:pt>
              </c:numCache>
            </c:numRef>
          </c:cat>
          <c:val>
            <c:numRef>
              <c:f>'Common Size and Trend Analysis'!$R$78:$Z$78</c:f>
              <c:numCache>
                <c:formatCode>0.0%</c:formatCode>
                <c:ptCount val="9"/>
                <c:pt idx="0">
                  <c:v>1.6500550385269688</c:v>
                </c:pt>
                <c:pt idx="1">
                  <c:v>1.211247873511458</c:v>
                </c:pt>
                <c:pt idx="2">
                  <c:v>1.2082457720404283</c:v>
                </c:pt>
                <c:pt idx="3">
                  <c:v>0.91964375062543779</c:v>
                </c:pt>
                <c:pt idx="4">
                  <c:v>0.92734914440108063</c:v>
                </c:pt>
                <c:pt idx="5">
                  <c:v>1</c:v>
                </c:pt>
              </c:numCache>
            </c:numRef>
          </c:val>
        </c:ser>
        <c:ser>
          <c:idx val="16"/>
          <c:order val="6"/>
          <c:tx>
            <c:strRef>
              <c:f>'Common Size and Trend Analysis'!$Q$81</c:f>
              <c:strCache>
                <c:ptCount val="1"/>
                <c:pt idx="0">
                  <c:v>Total operating liabilities</c:v>
                </c:pt>
              </c:strCache>
            </c:strRef>
          </c:tx>
          <c:spPr>
            <a:ln w="12700">
              <a:solidFill>
                <a:srgbClr val="3366FF"/>
              </a:solidFill>
              <a:prstDash val="solid"/>
            </a:ln>
          </c:spPr>
          <c:marker>
            <c:symbol val="dot"/>
            <c:size val="5"/>
            <c:spPr>
              <a:noFill/>
              <a:ln>
                <a:solidFill>
                  <a:srgbClr val="3366FF"/>
                </a:solidFill>
                <a:prstDash val="solid"/>
              </a:ln>
            </c:spPr>
          </c:marker>
          <c:cat>
            <c:numRef>
              <c:f>'Common Size and Trend Analysis'!$R$64:$W$64</c:f>
              <c:numCache>
                <c:formatCode>yyyy/mm/dd</c:formatCode>
                <c:ptCount val="6"/>
                <c:pt idx="0">
                  <c:v>39599</c:v>
                </c:pt>
                <c:pt idx="1">
                  <c:v>39233</c:v>
                </c:pt>
                <c:pt idx="2">
                  <c:v>38868</c:v>
                </c:pt>
                <c:pt idx="3">
                  <c:v>38503</c:v>
                </c:pt>
                <c:pt idx="4">
                  <c:v>38138</c:v>
                </c:pt>
                <c:pt idx="5">
                  <c:v>37772</c:v>
                </c:pt>
              </c:numCache>
            </c:numRef>
          </c:cat>
          <c:val>
            <c:numRef>
              <c:f>'Common Size and Trend Analysis'!$R$81:$Z$81</c:f>
              <c:numCache>
                <c:formatCode>0.0%</c:formatCode>
                <c:ptCount val="9"/>
                <c:pt idx="0">
                  <c:v>2.0692343921712282</c:v>
                </c:pt>
                <c:pt idx="1">
                  <c:v>1.5614631848867027</c:v>
                </c:pt>
                <c:pt idx="2">
                  <c:v>1.4262912763619235</c:v>
                </c:pt>
                <c:pt idx="3">
                  <c:v>1.1865613061908002</c:v>
                </c:pt>
                <c:pt idx="4">
                  <c:v>1.1487780626929718</c:v>
                </c:pt>
                <c:pt idx="5">
                  <c:v>1</c:v>
                </c:pt>
              </c:numCache>
            </c:numRef>
          </c:val>
        </c:ser>
        <c:ser>
          <c:idx val="17"/>
          <c:order val="7"/>
          <c:tx>
            <c:strRef>
              <c:f>'Common Size and Trend Analysis'!$Q$82</c:f>
              <c:strCache>
                <c:ptCount val="1"/>
                <c:pt idx="0">
                  <c:v>Net operating assets (NOA):</c:v>
                </c:pt>
              </c:strCache>
            </c:strRef>
          </c:tx>
          <c:spPr>
            <a:ln w="12700">
              <a:solidFill>
                <a:srgbClr val="33CCCC"/>
              </a:solidFill>
              <a:prstDash val="solid"/>
            </a:ln>
          </c:spPr>
          <c:marker>
            <c:symbol val="dash"/>
            <c:size val="5"/>
            <c:spPr>
              <a:noFill/>
              <a:ln>
                <a:solidFill>
                  <a:srgbClr val="33CCCC"/>
                </a:solidFill>
                <a:prstDash val="solid"/>
              </a:ln>
            </c:spPr>
          </c:marker>
          <c:cat>
            <c:numRef>
              <c:f>'Common Size and Trend Analysis'!$R$64:$W$64</c:f>
              <c:numCache>
                <c:formatCode>yyyy/mm/dd</c:formatCode>
                <c:ptCount val="6"/>
                <c:pt idx="0">
                  <c:v>39599</c:v>
                </c:pt>
                <c:pt idx="1">
                  <c:v>39233</c:v>
                </c:pt>
                <c:pt idx="2">
                  <c:v>38868</c:v>
                </c:pt>
                <c:pt idx="3">
                  <c:v>38503</c:v>
                </c:pt>
                <c:pt idx="4">
                  <c:v>38138</c:v>
                </c:pt>
                <c:pt idx="5">
                  <c:v>37772</c:v>
                </c:pt>
              </c:numCache>
            </c:numRef>
          </c:cat>
          <c:val>
            <c:numRef>
              <c:f>'Common Size and Trend Analysis'!$R$82:$Z$82</c:f>
              <c:numCache>
                <c:formatCode>0.0%</c:formatCode>
                <c:ptCount val="9"/>
                <c:pt idx="0">
                  <c:v>1.3407050575193089</c:v>
                </c:pt>
                <c:pt idx="1">
                  <c:v>1.1406014846597854</c:v>
                </c:pt>
                <c:pt idx="2">
                  <c:v>1.1352311683873002</c:v>
                </c:pt>
                <c:pt idx="3">
                  <c:v>1.1015899646328127</c:v>
                </c:pt>
                <c:pt idx="4">
                  <c:v>1.0510775849626526</c:v>
                </c:pt>
                <c:pt idx="5">
                  <c:v>1</c:v>
                </c:pt>
              </c:numCache>
            </c:numRef>
          </c:val>
        </c:ser>
        <c:ser>
          <c:idx val="31"/>
          <c:order val="8"/>
          <c:tx>
            <c:strRef>
              <c:f>'Common Size and Trend Analysis'!$Q$96</c:f>
              <c:strCache>
                <c:ptCount val="1"/>
                <c:pt idx="0">
                  <c:v>Net financial assets (obligations) (NFA/NFO)</c:v>
                </c:pt>
              </c:strCache>
            </c:strRef>
          </c:tx>
          <c:spPr>
            <a:ln w="12700">
              <a:solidFill>
                <a:srgbClr val="000000"/>
              </a:solidFill>
              <a:prstDash val="solid"/>
            </a:ln>
          </c:spPr>
          <c:marker>
            <c:symbol val="star"/>
            <c:size val="5"/>
            <c:spPr>
              <a:noFill/>
              <a:ln>
                <a:solidFill>
                  <a:srgbClr val="000000"/>
                </a:solidFill>
                <a:prstDash val="solid"/>
              </a:ln>
            </c:spPr>
          </c:marker>
          <c:cat>
            <c:numRef>
              <c:f>'Common Size and Trend Analysis'!$R$64:$W$64</c:f>
              <c:numCache>
                <c:formatCode>yyyy/mm/dd</c:formatCode>
                <c:ptCount val="6"/>
                <c:pt idx="0">
                  <c:v>39599</c:v>
                </c:pt>
                <c:pt idx="1">
                  <c:v>39233</c:v>
                </c:pt>
                <c:pt idx="2">
                  <c:v>38868</c:v>
                </c:pt>
                <c:pt idx="3">
                  <c:v>38503</c:v>
                </c:pt>
                <c:pt idx="4">
                  <c:v>38138</c:v>
                </c:pt>
                <c:pt idx="5">
                  <c:v>37772</c:v>
                </c:pt>
              </c:numCache>
            </c:numRef>
          </c:cat>
          <c:val>
            <c:numRef>
              <c:f>'Common Size and Trend Analysis'!$R$96:$Z$96</c:f>
              <c:numCache>
                <c:formatCode>0.0%</c:formatCode>
                <c:ptCount val="9"/>
                <c:pt idx="0">
                  <c:v>-6.5930615555224525</c:v>
                </c:pt>
                <c:pt idx="1">
                  <c:v>-7.214097025671582</c:v>
                </c:pt>
                <c:pt idx="2">
                  <c:v>-4.7960855388384065</c:v>
                </c:pt>
                <c:pt idx="3">
                  <c:v>-3.1093947067878238</c:v>
                </c:pt>
                <c:pt idx="4">
                  <c:v>-0.95448135458562988</c:v>
                </c:pt>
                <c:pt idx="5">
                  <c:v>1</c:v>
                </c:pt>
              </c:numCache>
            </c:numRef>
          </c:val>
        </c:ser>
        <c:ser>
          <c:idx val="33"/>
          <c:order val="9"/>
          <c:tx>
            <c:strRef>
              <c:f>'Common Size and Trend Analysis'!$Q$98</c:f>
              <c:strCache>
                <c:ptCount val="1"/>
                <c:pt idx="0">
                  <c:v>Common Shareholders' Equity (CSE)</c:v>
                </c:pt>
              </c:strCache>
            </c:strRef>
          </c:tx>
          <c:spPr>
            <a:ln w="12700">
              <a:solidFill>
                <a:srgbClr val="FF0000"/>
              </a:solidFill>
              <a:prstDash val="solid"/>
            </a:ln>
          </c:spPr>
          <c:marker>
            <c:symbol val="plus"/>
            <c:size val="5"/>
            <c:spPr>
              <a:noFill/>
              <a:ln>
                <a:solidFill>
                  <a:srgbClr val="FF0000"/>
                </a:solidFill>
                <a:prstDash val="solid"/>
              </a:ln>
            </c:spPr>
          </c:marker>
          <c:cat>
            <c:numRef>
              <c:f>'Common Size and Trend Analysis'!$R$64:$W$64</c:f>
              <c:numCache>
                <c:formatCode>yyyy/mm/dd</c:formatCode>
                <c:ptCount val="6"/>
                <c:pt idx="0">
                  <c:v>39599</c:v>
                </c:pt>
                <c:pt idx="1">
                  <c:v>39233</c:v>
                </c:pt>
                <c:pt idx="2">
                  <c:v>38868</c:v>
                </c:pt>
                <c:pt idx="3">
                  <c:v>38503</c:v>
                </c:pt>
                <c:pt idx="4">
                  <c:v>38138</c:v>
                </c:pt>
                <c:pt idx="5">
                  <c:v>37772</c:v>
                </c:pt>
              </c:numCache>
            </c:numRef>
          </c:cat>
          <c:val>
            <c:numRef>
              <c:f>'Common Size and Trend Analysis'!$R$98:$Z$98</c:f>
              <c:numCache>
                <c:formatCode>0.0%</c:formatCode>
                <c:ptCount val="9"/>
                <c:pt idx="0">
                  <c:v>1.9356784668089968</c:v>
                </c:pt>
                <c:pt idx="1">
                  <c:v>1.7671416513579266</c:v>
                </c:pt>
                <c:pt idx="2">
                  <c:v>1.5800357479767639</c:v>
                </c:pt>
                <c:pt idx="3">
                  <c:v>1.4173824537014048</c:v>
                </c:pt>
                <c:pt idx="4">
                  <c:v>1.2014795690382802</c:v>
                </c:pt>
                <c:pt idx="5">
                  <c:v>1</c:v>
                </c:pt>
              </c:numCache>
            </c:numRef>
          </c:val>
        </c:ser>
        <c:marker val="1"/>
        <c:axId val="75810688"/>
        <c:axId val="76890112"/>
      </c:lineChart>
      <c:dateAx>
        <c:axId val="75810688"/>
        <c:scaling>
          <c:orientation val="minMax"/>
        </c:scaling>
        <c:axPos val="b"/>
        <c:numFmt formatCode="yyyy"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6890112"/>
        <c:crosses val="autoZero"/>
        <c:auto val="1"/>
        <c:lblOffset val="100"/>
        <c:baseTimeUnit val="years"/>
        <c:majorUnit val="1"/>
        <c:majorTimeUnit val="years"/>
        <c:minorUnit val="1"/>
        <c:minorTimeUnit val="years"/>
      </c:dateAx>
      <c:valAx>
        <c:axId val="76890112"/>
        <c:scaling>
          <c:orientation val="minMax"/>
        </c:scaling>
        <c:axPos val="l"/>
        <c:majorGridlines>
          <c:spPr>
            <a:ln w="3175">
              <a:solidFill>
                <a:srgbClr val="C0C0C0"/>
              </a:solidFill>
              <a:prstDash val="solid"/>
            </a:ln>
          </c:spPr>
        </c:majorGridlines>
        <c:title>
          <c:tx>
            <c:rich>
              <a:bodyPr/>
              <a:lstStyle/>
              <a:p>
                <a:pPr>
                  <a:defRPr sz="1000" b="1" i="0" u="none" strike="noStrike" baseline="0">
                    <a:solidFill>
                      <a:srgbClr val="000000"/>
                    </a:solidFill>
                    <a:latin typeface="Arial"/>
                    <a:ea typeface="Arial"/>
                    <a:cs typeface="Arial"/>
                  </a:defRPr>
                </a:pPr>
                <a:r>
                  <a:t>Percent of 2003 Values</a:t>
                </a:r>
              </a:p>
            </c:rich>
          </c:tx>
          <c:layout>
            <c:manualLayout>
              <c:xMode val="edge"/>
              <c:yMode val="edge"/>
              <c:x val="2.0539152759948651E-2"/>
              <c:y val="0.40425570094870211"/>
            </c:manualLayout>
          </c:layout>
          <c:spPr>
            <a:noFill/>
            <a:ln w="25400">
              <a:noFill/>
            </a:ln>
          </c:spPr>
        </c:title>
        <c:numFmt formatCode="0.0%" sourceLinked="1"/>
        <c:tickLblPos val="nextTo"/>
        <c:spPr>
          <a:ln w="3175">
            <a:solidFill>
              <a:srgbClr val="969696"/>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5810688"/>
        <c:crosses val="autoZero"/>
        <c:crossBetween val="between"/>
      </c:valAx>
      <c:spPr>
        <a:noFill/>
        <a:ln w="25400">
          <a:noFill/>
        </a:ln>
      </c:spPr>
    </c:plotArea>
    <c:legend>
      <c:legendPos val="r"/>
      <c:layout>
        <c:manualLayout>
          <c:xMode val="edge"/>
          <c:yMode val="edge"/>
          <c:x val="0.66623876765083445"/>
          <c:y val="0.18955530475106605"/>
          <c:w val="0.32477535301668808"/>
          <c:h val="0.71760222512903571"/>
        </c:manualLayout>
      </c:layout>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7.1887034659820284E-2"/>
          <c:y val="5.9665871121718374E-2"/>
          <c:w val="0.7740693196405648"/>
          <c:h val="0.84248210023866343"/>
        </c:manualLayout>
      </c:layout>
      <c:lineChart>
        <c:grouping val="standard"/>
        <c:ser>
          <c:idx val="0"/>
          <c:order val="0"/>
          <c:tx>
            <c:strRef>
              <c:f>Charts!$B$99</c:f>
              <c:strCache>
                <c:ptCount val="1"/>
                <c:pt idx="0">
                  <c:v>RNOA</c:v>
                </c:pt>
              </c:strCache>
            </c:strRef>
          </c:tx>
          <c:spPr>
            <a:ln w="25400">
              <a:solidFill>
                <a:srgbClr val="0000FF"/>
              </a:solidFill>
              <a:prstDash val="solid"/>
            </a:ln>
          </c:spPr>
          <c:marker>
            <c:symbol val="diamond"/>
            <c:size val="7"/>
            <c:spPr>
              <a:solidFill>
                <a:srgbClr val="FFFFFF"/>
              </a:solidFill>
              <a:ln>
                <a:solidFill>
                  <a:srgbClr val="0000FF"/>
                </a:solidFill>
                <a:prstDash val="solid"/>
              </a:ln>
            </c:spPr>
          </c:marker>
          <c:cat>
            <c:numRef>
              <c:f>Charts!$C$98:$K$98</c:f>
              <c:numCache>
                <c:formatCode>General</c:formatCode>
                <c:ptCount val="9"/>
                <c:pt idx="0">
                  <c:v>2008</c:v>
                </c:pt>
                <c:pt idx="1">
                  <c:v>2007</c:v>
                </c:pt>
                <c:pt idx="2">
                  <c:v>2006</c:v>
                </c:pt>
                <c:pt idx="3">
                  <c:v>2005</c:v>
                </c:pt>
                <c:pt idx="4">
                  <c:v>2004</c:v>
                </c:pt>
                <c:pt idx="5">
                  <c:v>2003</c:v>
                </c:pt>
                <c:pt idx="6">
                  <c:v>2002</c:v>
                </c:pt>
                <c:pt idx="7">
                  <c:v>2001</c:v>
                </c:pt>
                <c:pt idx="8">
                  <c:v>2000</c:v>
                </c:pt>
              </c:numCache>
            </c:numRef>
          </c:cat>
          <c:val>
            <c:numRef>
              <c:f>Charts!$C$99:$K$99</c:f>
              <c:numCache>
                <c:formatCode>0.0%</c:formatCode>
                <c:ptCount val="9"/>
                <c:pt idx="0">
                  <c:v>0.35043381360289472</c:v>
                </c:pt>
                <c:pt idx="1">
                  <c:v>0.33529378577624114</c:v>
                </c:pt>
                <c:pt idx="2">
                  <c:v>0.29493793821293735</c:v>
                </c:pt>
                <c:pt idx="3">
                  <c:v>0.29439962650445267</c:v>
                </c:pt>
                <c:pt idx="4">
                  <c:v>0.23299489899506884</c:v>
                </c:pt>
                <c:pt idx="5">
                  <c:v>9.6428117790024609E-2</c:v>
                </c:pt>
                <c:pt idx="6">
                  <c:v>0.13742187871089542</c:v>
                </c:pt>
                <c:pt idx="7">
                  <c:v>0.11587830392507587</c:v>
                </c:pt>
                <c:pt idx="8">
                  <c:v>0.12465705431316136</c:v>
                </c:pt>
              </c:numCache>
            </c:numRef>
          </c:val>
        </c:ser>
        <c:ser>
          <c:idx val="1"/>
          <c:order val="1"/>
          <c:tx>
            <c:strRef>
              <c:f>Charts!$B$100</c:f>
              <c:strCache>
                <c:ptCount val="1"/>
                <c:pt idx="0">
                  <c:v>PM</c:v>
                </c:pt>
              </c:strCache>
            </c:strRef>
          </c:tx>
          <c:spPr>
            <a:ln w="25400">
              <a:solidFill>
                <a:srgbClr val="FF0000"/>
              </a:solidFill>
              <a:prstDash val="solid"/>
            </a:ln>
          </c:spPr>
          <c:marker>
            <c:symbol val="square"/>
            <c:size val="7"/>
            <c:spPr>
              <a:solidFill>
                <a:srgbClr val="FFFFFF"/>
              </a:solidFill>
              <a:ln>
                <a:solidFill>
                  <a:srgbClr val="FF0000"/>
                </a:solidFill>
                <a:prstDash val="solid"/>
              </a:ln>
            </c:spPr>
          </c:marker>
          <c:cat>
            <c:numRef>
              <c:f>Charts!$C$98:$K$98</c:f>
              <c:numCache>
                <c:formatCode>General</c:formatCode>
                <c:ptCount val="9"/>
                <c:pt idx="0">
                  <c:v>2008</c:v>
                </c:pt>
                <c:pt idx="1">
                  <c:v>2007</c:v>
                </c:pt>
                <c:pt idx="2">
                  <c:v>2006</c:v>
                </c:pt>
                <c:pt idx="3">
                  <c:v>2005</c:v>
                </c:pt>
                <c:pt idx="4">
                  <c:v>2004</c:v>
                </c:pt>
                <c:pt idx="5">
                  <c:v>2003</c:v>
                </c:pt>
                <c:pt idx="6">
                  <c:v>2002</c:v>
                </c:pt>
                <c:pt idx="7">
                  <c:v>2001</c:v>
                </c:pt>
                <c:pt idx="8">
                  <c:v>2000</c:v>
                </c:pt>
              </c:numCache>
            </c:numRef>
          </c:cat>
          <c:val>
            <c:numRef>
              <c:f>Charts!$C$100:$K$100</c:f>
              <c:numCache>
                <c:formatCode>0.0%</c:formatCode>
                <c:ptCount val="9"/>
                <c:pt idx="0">
                  <c:v>0.1010717990014495</c:v>
                </c:pt>
                <c:pt idx="1">
                  <c:v>0.10119875780202009</c:v>
                </c:pt>
                <c:pt idx="2">
                  <c:v>9.5513523995479757E-2</c:v>
                </c:pt>
                <c:pt idx="3">
                  <c:v>9.9867333347889761E-2</c:v>
                </c:pt>
                <c:pt idx="4">
                  <c:v>8.4444041126200797E-2</c:v>
                </c:pt>
                <c:pt idx="5">
                  <c:v>3.9624816926864197E-2</c:v>
                </c:pt>
                <c:pt idx="6">
                  <c:v>6.2760174729824189E-2</c:v>
                </c:pt>
                <c:pt idx="7">
                  <c:v>5.5066371296393551E-2</c:v>
                </c:pt>
                <c:pt idx="8">
                  <c:v>5.9092330191209588E-2</c:v>
                </c:pt>
              </c:numCache>
            </c:numRef>
          </c:val>
        </c:ser>
        <c:marker val="1"/>
        <c:axId val="76925184"/>
        <c:axId val="76927360"/>
      </c:lineChart>
      <c:lineChart>
        <c:grouping val="standard"/>
        <c:ser>
          <c:idx val="2"/>
          <c:order val="2"/>
          <c:tx>
            <c:strRef>
              <c:f>Charts!$B$101</c:f>
              <c:strCache>
                <c:ptCount val="1"/>
                <c:pt idx="0">
                  <c:v>ATO</c:v>
                </c:pt>
              </c:strCache>
            </c:strRef>
          </c:tx>
          <c:spPr>
            <a:ln w="25400">
              <a:solidFill>
                <a:srgbClr val="008000"/>
              </a:solidFill>
              <a:prstDash val="solid"/>
            </a:ln>
          </c:spPr>
          <c:marker>
            <c:symbol val="triangle"/>
            <c:size val="7"/>
            <c:spPr>
              <a:solidFill>
                <a:srgbClr val="FFFFFF"/>
              </a:solidFill>
              <a:ln>
                <a:solidFill>
                  <a:srgbClr val="008000"/>
                </a:solidFill>
                <a:prstDash val="solid"/>
              </a:ln>
            </c:spPr>
          </c:marker>
          <c:cat>
            <c:numRef>
              <c:f>Charts!$C$98:$K$98</c:f>
              <c:numCache>
                <c:formatCode>General</c:formatCode>
                <c:ptCount val="9"/>
                <c:pt idx="0">
                  <c:v>2008</c:v>
                </c:pt>
                <c:pt idx="1">
                  <c:v>2007</c:v>
                </c:pt>
                <c:pt idx="2">
                  <c:v>2006</c:v>
                </c:pt>
                <c:pt idx="3">
                  <c:v>2005</c:v>
                </c:pt>
                <c:pt idx="4">
                  <c:v>2004</c:v>
                </c:pt>
                <c:pt idx="5">
                  <c:v>2003</c:v>
                </c:pt>
                <c:pt idx="6">
                  <c:v>2002</c:v>
                </c:pt>
                <c:pt idx="7">
                  <c:v>2001</c:v>
                </c:pt>
                <c:pt idx="8">
                  <c:v>2000</c:v>
                </c:pt>
              </c:numCache>
            </c:numRef>
          </c:cat>
          <c:val>
            <c:numRef>
              <c:f>Charts!$C$101:$K$101</c:f>
              <c:numCache>
                <c:formatCode>_(* #,##0.0_);_(* \(#,##0.0\);_(* "-"??_);_(@_)</c:formatCode>
                <c:ptCount val="9"/>
                <c:pt idx="0">
                  <c:v>3.4671769679084172</c:v>
                </c:pt>
                <c:pt idx="1">
                  <c:v>3.3132203700779832</c:v>
                </c:pt>
                <c:pt idx="2">
                  <c:v>3.0879180861015607</c:v>
                </c:pt>
                <c:pt idx="3">
                  <c:v>2.9479071547740836</c:v>
                </c:pt>
                <c:pt idx="4">
                  <c:v>2.7591632978206269</c:v>
                </c:pt>
                <c:pt idx="5">
                  <c:v>2.4335284114498914</c:v>
                </c:pt>
                <c:pt idx="6">
                  <c:v>2.1896350560284743</c:v>
                </c:pt>
                <c:pt idx="7">
                  <c:v>2.1043388405123591</c:v>
                </c:pt>
                <c:pt idx="8">
                  <c:v>2.1095301862322735</c:v>
                </c:pt>
              </c:numCache>
            </c:numRef>
          </c:val>
        </c:ser>
        <c:marker val="1"/>
        <c:axId val="76928896"/>
        <c:axId val="76930432"/>
      </c:lineChart>
      <c:catAx>
        <c:axId val="76925184"/>
        <c:scaling>
          <c:orientation val="minMax"/>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6927360"/>
        <c:crosses val="autoZero"/>
        <c:auto val="1"/>
        <c:lblAlgn val="ctr"/>
        <c:lblOffset val="100"/>
        <c:tickLblSkip val="1"/>
        <c:tickMarkSkip val="1"/>
      </c:catAx>
      <c:valAx>
        <c:axId val="76927360"/>
        <c:scaling>
          <c:orientation val="minMax"/>
        </c:scaling>
        <c:axPos val="l"/>
        <c:majorGridlines>
          <c:spPr>
            <a:ln w="3175">
              <a:solidFill>
                <a:srgbClr val="969696"/>
              </a:solidFill>
              <a:prstDash val="solid"/>
            </a:ln>
          </c:spPr>
        </c:majorGridlines>
        <c:numFmt formatCode="0.0%"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6925184"/>
        <c:crosses val="autoZero"/>
        <c:crossBetween val="between"/>
      </c:valAx>
      <c:catAx>
        <c:axId val="76928896"/>
        <c:scaling>
          <c:orientation val="minMax"/>
        </c:scaling>
        <c:delete val="1"/>
        <c:axPos val="b"/>
        <c:numFmt formatCode="General" sourceLinked="1"/>
        <c:tickLblPos val="none"/>
        <c:crossAx val="76930432"/>
        <c:crosses val="autoZero"/>
        <c:auto val="1"/>
        <c:lblAlgn val="ctr"/>
        <c:lblOffset val="100"/>
      </c:catAx>
      <c:valAx>
        <c:axId val="76930432"/>
        <c:scaling>
          <c:orientation val="minMax"/>
        </c:scaling>
        <c:axPos val="r"/>
        <c:numFmt formatCode="_(* #,##0.0_);_(* \(#,##0.0\);_(* &quot;-&quot;??_);_(@_)" sourceLinked="1"/>
        <c:majorTickMark val="cross"/>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6928896"/>
        <c:crosses val="max"/>
        <c:crossBetween val="between"/>
      </c:valAx>
      <c:spPr>
        <a:noFill/>
        <a:ln w="25400">
          <a:noFill/>
        </a:ln>
      </c:spPr>
    </c:plotArea>
    <c:legend>
      <c:legendPos val="r"/>
      <c:layout>
        <c:manualLayout>
          <c:xMode val="edge"/>
          <c:yMode val="edge"/>
          <c:x val="0.90372272143774068"/>
          <c:y val="0.41288782816229119"/>
          <c:w val="8.7291399229781769E-2"/>
          <c:h val="0.13842482100238662"/>
        </c:manualLayout>
      </c:layout>
      <c:spPr>
        <a:noFill/>
        <a:ln w="25400">
          <a:noFill/>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104775</xdr:colOff>
      <xdr:row>9</xdr:row>
      <xdr:rowOff>123825</xdr:rowOff>
    </xdr:from>
    <xdr:to>
      <xdr:col>12</xdr:col>
      <xdr:colOff>209550</xdr:colOff>
      <xdr:row>40</xdr:row>
      <xdr:rowOff>66675</xdr:rowOff>
    </xdr:to>
    <xdr:graphicFrame macro="">
      <xdr:nvGraphicFramePr>
        <xdr:cNvPr id="1024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xdr:colOff>
      <xdr:row>39</xdr:row>
      <xdr:rowOff>152400</xdr:rowOff>
    </xdr:from>
    <xdr:to>
      <xdr:col>12</xdr:col>
      <xdr:colOff>247650</xdr:colOff>
      <xdr:row>70</xdr:row>
      <xdr:rowOff>57150</xdr:rowOff>
    </xdr:to>
    <xdr:graphicFrame macro="">
      <xdr:nvGraphicFramePr>
        <xdr:cNvPr id="1024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400050</xdr:colOff>
      <xdr:row>10</xdr:row>
      <xdr:rowOff>0</xdr:rowOff>
    </xdr:from>
    <xdr:to>
      <xdr:col>24</xdr:col>
      <xdr:colOff>504825</xdr:colOff>
      <xdr:row>40</xdr:row>
      <xdr:rowOff>66675</xdr:rowOff>
    </xdr:to>
    <xdr:graphicFrame macro="">
      <xdr:nvGraphicFramePr>
        <xdr:cNvPr id="1024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352425</xdr:colOff>
      <xdr:row>40</xdr:row>
      <xdr:rowOff>66675</xdr:rowOff>
    </xdr:from>
    <xdr:to>
      <xdr:col>24</xdr:col>
      <xdr:colOff>457200</xdr:colOff>
      <xdr:row>70</xdr:row>
      <xdr:rowOff>133350</xdr:rowOff>
    </xdr:to>
    <xdr:graphicFrame macro="">
      <xdr:nvGraphicFramePr>
        <xdr:cNvPr id="1024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266700</xdr:colOff>
      <xdr:row>71</xdr:row>
      <xdr:rowOff>123825</xdr:rowOff>
    </xdr:from>
    <xdr:to>
      <xdr:col>12</xdr:col>
      <xdr:colOff>371475</xdr:colOff>
      <xdr:row>96</xdr:row>
      <xdr:rowOff>66675</xdr:rowOff>
    </xdr:to>
    <xdr:graphicFrame macro="">
      <xdr:nvGraphicFramePr>
        <xdr:cNvPr id="1024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moneycentral.msn.com/investor/research/profile.asp?Symbol=US%3ANKE"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pageSetUpPr fitToPage="1"/>
  </sheetPr>
  <dimension ref="B1:M23"/>
  <sheetViews>
    <sheetView showGridLines="0" workbookViewId="0"/>
  </sheetViews>
  <sheetFormatPr defaultRowHeight="12.75"/>
  <cols>
    <col min="1" max="1" width="2" style="39" customWidth="1"/>
    <col min="2" max="12" width="9.140625" style="39"/>
    <col min="13" max="13" width="13.42578125" style="39" customWidth="1"/>
    <col min="14" max="16384" width="9.140625" style="39"/>
  </cols>
  <sheetData>
    <row r="1" spans="2:13" ht="10.5" customHeight="1"/>
    <row r="2" spans="2:13" ht="15.75">
      <c r="B2" s="1" t="s">
        <v>654</v>
      </c>
      <c r="H2" s="3" t="s">
        <v>707</v>
      </c>
    </row>
    <row r="3" spans="2:13" ht="15">
      <c r="B3" s="2" t="s">
        <v>708</v>
      </c>
      <c r="D3" s="2">
        <v>2010</v>
      </c>
    </row>
    <row r="4" spans="2:13" ht="15">
      <c r="B4" s="2"/>
    </row>
    <row r="5" spans="2:13" ht="15">
      <c r="B5" s="2"/>
    </row>
    <row r="6" spans="2:13" ht="15.75">
      <c r="B6" s="1" t="s">
        <v>495</v>
      </c>
    </row>
    <row r="7" spans="2:13" ht="15.75">
      <c r="B7" s="1"/>
    </row>
    <row r="9" spans="2:13" ht="15.75">
      <c r="B9" s="1" t="s">
        <v>487</v>
      </c>
    </row>
    <row r="11" spans="2:13" ht="64.5" customHeight="1">
      <c r="B11" s="367" t="s">
        <v>561</v>
      </c>
      <c r="C11" s="367"/>
      <c r="D11" s="367"/>
      <c r="E11" s="367"/>
      <c r="F11" s="367"/>
      <c r="G11" s="367"/>
      <c r="H11" s="367"/>
      <c r="I11" s="367"/>
      <c r="J11" s="367"/>
      <c r="K11" s="368"/>
      <c r="L11" s="368"/>
      <c r="M11" s="368"/>
    </row>
    <row r="12" spans="2:13" ht="15">
      <c r="B12" s="2"/>
    </row>
    <row r="13" spans="2:13" ht="15">
      <c r="B13" s="2" t="s">
        <v>492</v>
      </c>
    </row>
    <row r="14" spans="2:13" ht="15">
      <c r="B14" s="2"/>
    </row>
    <row r="15" spans="2:13" ht="20.100000000000001" customHeight="1">
      <c r="B15" s="93" t="s">
        <v>488</v>
      </c>
    </row>
    <row r="16" spans="2:13" ht="20.100000000000001" customHeight="1">
      <c r="B16" s="93" t="s">
        <v>489</v>
      </c>
    </row>
    <row r="17" spans="2:13" ht="20.100000000000001" customHeight="1">
      <c r="B17" s="93" t="s">
        <v>490</v>
      </c>
    </row>
    <row r="18" spans="2:13" ht="20.100000000000001" customHeight="1">
      <c r="B18" s="93" t="s">
        <v>375</v>
      </c>
    </row>
    <row r="19" spans="2:13" ht="20.100000000000001" customHeight="1">
      <c r="B19" s="93" t="s">
        <v>211</v>
      </c>
    </row>
    <row r="20" spans="2:13" ht="15">
      <c r="B20" s="2"/>
    </row>
    <row r="21" spans="2:13" ht="80.25" customHeight="1">
      <c r="B21" s="367" t="s">
        <v>531</v>
      </c>
      <c r="C21" s="367"/>
      <c r="D21" s="367"/>
      <c r="E21" s="367"/>
      <c r="F21" s="367"/>
      <c r="G21" s="367"/>
      <c r="H21" s="367"/>
      <c r="I21" s="367"/>
      <c r="J21" s="367"/>
      <c r="K21" s="368"/>
      <c r="L21" s="368"/>
      <c r="M21" s="368"/>
    </row>
    <row r="22" spans="2:13" ht="15">
      <c r="B22" s="95"/>
      <c r="C22" s="83"/>
      <c r="D22" s="83"/>
      <c r="E22" s="83"/>
      <c r="F22" s="83"/>
      <c r="G22" s="83"/>
      <c r="H22" s="83"/>
      <c r="I22" s="83"/>
      <c r="J22" s="83"/>
    </row>
    <row r="23" spans="2:13" ht="64.5" customHeight="1">
      <c r="B23" s="367" t="s">
        <v>376</v>
      </c>
      <c r="C23" s="367"/>
      <c r="D23" s="367"/>
      <c r="E23" s="367"/>
      <c r="F23" s="367"/>
      <c r="G23" s="367"/>
      <c r="H23" s="367"/>
      <c r="I23" s="367"/>
      <c r="J23" s="367"/>
      <c r="K23" s="368"/>
      <c r="L23" s="368"/>
      <c r="M23" s="368"/>
    </row>
  </sheetData>
  <mergeCells count="3">
    <mergeCell ref="B11:M11"/>
    <mergeCell ref="B21:M21"/>
    <mergeCell ref="B23:M23"/>
  </mergeCells>
  <phoneticPr fontId="0" type="noConversion"/>
  <pageMargins left="0.75" right="0.75" top="1" bottom="1" header="0.5" footer="0.5"/>
  <pageSetup scale="92" orientation="landscape" r:id="rId1"/>
  <headerFooter alignWithMargins="0">
    <oddFooter>&amp;C&amp;8Financial Statement Analysis and Security Valuation: Roadmap&amp;R&amp;8Stephen H. Penman 2003</oddFooter>
  </headerFooter>
</worksheet>
</file>

<file path=xl/worksheets/sheet10.xml><?xml version="1.0" encoding="utf-8"?>
<worksheet xmlns="http://schemas.openxmlformats.org/spreadsheetml/2006/main" xmlns:r="http://schemas.openxmlformats.org/officeDocument/2006/relationships">
  <sheetPr codeName="Sheet6">
    <pageSetUpPr fitToPage="1"/>
  </sheetPr>
  <dimension ref="B1:S48"/>
  <sheetViews>
    <sheetView showGridLines="0" zoomScaleNormal="100" workbookViewId="0"/>
  </sheetViews>
  <sheetFormatPr defaultRowHeight="12.75"/>
  <cols>
    <col min="1" max="1" width="2" style="275" customWidth="1"/>
    <col min="2" max="4" width="2.85546875" style="275" customWidth="1"/>
    <col min="5" max="5" width="31.7109375" style="275" customWidth="1"/>
    <col min="6" max="6" width="5.28515625" style="275" customWidth="1"/>
    <col min="7" max="10" width="13.28515625" style="275" customWidth="1"/>
    <col min="11" max="19" width="13.85546875" style="275" customWidth="1"/>
    <col min="20" max="16384" width="9.140625" style="275"/>
  </cols>
  <sheetData>
    <row r="1" spans="2:19" customFormat="1" ht="10.5" customHeight="1">
      <c r="C1" s="29"/>
      <c r="D1" s="29"/>
      <c r="E1" s="29"/>
      <c r="F1" s="29"/>
      <c r="G1" s="29"/>
      <c r="H1" s="29"/>
      <c r="I1" s="29"/>
      <c r="J1" s="29"/>
      <c r="K1" s="29"/>
    </row>
    <row r="2" spans="2:19" customFormat="1" ht="15.75">
      <c r="B2" s="1" t="s">
        <v>292</v>
      </c>
      <c r="C2" s="29"/>
      <c r="D2" s="29"/>
      <c r="E2" s="29"/>
      <c r="F2" s="29"/>
      <c r="G2" s="29"/>
      <c r="H2" s="29"/>
      <c r="I2" s="29"/>
      <c r="J2" s="29"/>
      <c r="K2" s="29"/>
    </row>
    <row r="3" spans="2:19" customFormat="1" ht="15">
      <c r="B3" s="2" t="s">
        <v>709</v>
      </c>
      <c r="C3" s="29"/>
      <c r="D3" s="29"/>
      <c r="E3" s="29"/>
      <c r="F3" s="29"/>
      <c r="G3" s="29"/>
      <c r="H3" s="29"/>
      <c r="I3" s="29"/>
      <c r="J3" s="29"/>
      <c r="K3" s="29"/>
    </row>
    <row r="4" spans="2:19" customFormat="1" ht="15">
      <c r="B4" s="2"/>
      <c r="C4" s="29"/>
      <c r="D4" s="29"/>
      <c r="E4" s="29"/>
      <c r="F4" s="29"/>
      <c r="G4" s="29"/>
      <c r="H4" s="29"/>
      <c r="I4" s="29"/>
      <c r="J4" s="29"/>
      <c r="K4" s="29"/>
    </row>
    <row r="5" spans="2:19" customFormat="1" ht="15.75">
      <c r="B5" s="1" t="s">
        <v>495</v>
      </c>
      <c r="C5" s="29"/>
      <c r="D5" s="29"/>
      <c r="E5" s="29"/>
      <c r="F5" s="29"/>
      <c r="G5" s="29"/>
      <c r="H5" s="29"/>
      <c r="I5" s="29"/>
      <c r="J5" s="29"/>
      <c r="K5" s="29"/>
    </row>
    <row r="6" spans="2:19" customFormat="1" ht="15.75">
      <c r="B6" s="1"/>
      <c r="C6" s="29"/>
      <c r="D6" s="29"/>
      <c r="E6" s="29"/>
      <c r="F6" s="29"/>
      <c r="G6" s="29"/>
      <c r="H6" s="29"/>
      <c r="I6" s="29"/>
      <c r="J6" s="29"/>
      <c r="K6" s="29"/>
    </row>
    <row r="7" spans="2:19" customFormat="1" ht="15.75">
      <c r="B7" s="1" t="s">
        <v>504</v>
      </c>
      <c r="C7" s="29"/>
      <c r="D7" s="29"/>
      <c r="E7" s="29"/>
      <c r="F7" s="29"/>
      <c r="G7" s="29"/>
      <c r="H7" s="29"/>
      <c r="I7" s="29"/>
      <c r="J7" s="29"/>
      <c r="K7" s="29"/>
    </row>
    <row r="8" spans="2:19" customFormat="1">
      <c r="B8" s="3" t="s">
        <v>673</v>
      </c>
      <c r="C8" s="29"/>
      <c r="D8" s="29"/>
      <c r="E8" s="29"/>
      <c r="F8" s="29"/>
      <c r="G8" s="29"/>
      <c r="H8" s="29"/>
      <c r="I8" s="29"/>
      <c r="J8" s="29"/>
      <c r="K8" s="29"/>
    </row>
    <row r="9" spans="2:19" ht="9.75" customHeight="1"/>
    <row r="10" spans="2:19" ht="8.25" customHeight="1"/>
    <row r="11" spans="2:19" s="280" customFormat="1" ht="17.25" customHeight="1">
      <c r="F11" s="286" t="s">
        <v>114</v>
      </c>
      <c r="G11" s="287">
        <v>39599</v>
      </c>
      <c r="H11" s="287">
        <v>39233</v>
      </c>
      <c r="I11" s="287">
        <v>38868</v>
      </c>
      <c r="J11" s="287">
        <v>38503</v>
      </c>
      <c r="K11" s="287">
        <v>38138</v>
      </c>
      <c r="L11" s="287">
        <v>37772</v>
      </c>
      <c r="M11" s="287">
        <v>37407</v>
      </c>
      <c r="N11" s="287">
        <v>37042</v>
      </c>
      <c r="O11" s="287">
        <v>36677</v>
      </c>
      <c r="P11" s="287">
        <v>36311</v>
      </c>
      <c r="Q11" s="287">
        <v>35946</v>
      </c>
      <c r="R11" s="287">
        <v>35581</v>
      </c>
      <c r="S11" s="287">
        <v>35216</v>
      </c>
    </row>
    <row r="12" spans="2:19" ht="9" customHeight="1">
      <c r="F12" s="276"/>
      <c r="G12" s="276"/>
      <c r="H12" s="276"/>
      <c r="I12" s="276"/>
      <c r="J12" s="276"/>
      <c r="K12" s="277"/>
      <c r="L12" s="277"/>
      <c r="M12" s="277"/>
      <c r="N12" s="277"/>
      <c r="O12" s="277"/>
      <c r="P12" s="277"/>
      <c r="Q12" s="277"/>
      <c r="R12" s="277"/>
      <c r="S12" s="277"/>
    </row>
    <row r="13" spans="2:19" s="280" customFormat="1" ht="14.25" customHeight="1">
      <c r="B13" s="279" t="s">
        <v>125</v>
      </c>
    </row>
    <row r="14" spans="2:19" s="280" customFormat="1" ht="14.25" customHeight="1">
      <c r="C14" s="280" t="s">
        <v>115</v>
      </c>
      <c r="G14" s="281">
        <f>'Nike Statement of SE'!Q159</f>
        <v>1931.7</v>
      </c>
      <c r="H14" s="281">
        <f>'Nike Statement of SE'!Q148</f>
        <v>1694.9</v>
      </c>
      <c r="I14" s="281">
        <f>'Nike Statement of SE'!Q137</f>
        <v>1451.8</v>
      </c>
      <c r="J14" s="338">
        <f>'Nike Statement of SE'!Q126</f>
        <v>1375.1999999999998</v>
      </c>
      <c r="K14" s="281">
        <f>'Nike Statement of SE'!Q115</f>
        <v>1018.9762803234502</v>
      </c>
      <c r="L14" s="281">
        <f>'Nike Statement of SE'!Q104</f>
        <v>405.86666666666673</v>
      </c>
      <c r="M14" s="281">
        <f>'Nike Statement of SE'!Q93</f>
        <v>599.53440860215051</v>
      </c>
      <c r="N14" s="281">
        <f>'Nike Statement of SE'!Q82</f>
        <v>494.46898395721928</v>
      </c>
      <c r="O14" s="281">
        <f>'Nike Statement of SE'!Q71</f>
        <v>511.85361930294903</v>
      </c>
      <c r="P14" s="281">
        <f>'Nike Statement of SE'!Q60</f>
        <v>375.89373368146215</v>
      </c>
      <c r="Q14" s="281">
        <f>'Nike Statement of SE'!Q49</f>
        <v>383.70000000000005</v>
      </c>
      <c r="R14" s="281">
        <f>'Nike Statement of SE'!Q38</f>
        <v>776.9</v>
      </c>
      <c r="S14" s="281">
        <f>'Nike Statement of SE'!Q27</f>
        <v>535.1</v>
      </c>
    </row>
    <row r="15" spans="2:19" s="280" customFormat="1" ht="14.25" customHeight="1">
      <c r="C15" s="284" t="s">
        <v>428</v>
      </c>
      <c r="D15" s="284"/>
      <c r="E15" s="284"/>
      <c r="F15" s="284"/>
      <c r="G15" s="285">
        <f>'Nike Income Statement'!S51</f>
        <v>1931.7</v>
      </c>
      <c r="H15" s="285">
        <f>'Nike Income Statement'!T51</f>
        <v>1694.9</v>
      </c>
      <c r="I15" s="285">
        <f>'Nike Income Statement'!U51</f>
        <v>1451.8</v>
      </c>
      <c r="J15" s="339">
        <f>'Nike Income Statement'!V51</f>
        <v>1375.200000000001</v>
      </c>
      <c r="K15" s="285">
        <f>'Nike Income Statement'!W51</f>
        <v>1018.9762803234511</v>
      </c>
      <c r="L15" s="285">
        <f>'Nike Income Statement'!X51</f>
        <v>405.86666666666633</v>
      </c>
      <c r="M15" s="285">
        <f>'Nike Income Statement'!Y51</f>
        <v>599.53440860215073</v>
      </c>
      <c r="N15" s="285">
        <f>'Nike Income Statement'!Z51</f>
        <v>494.46898395721905</v>
      </c>
      <c r="O15" s="285">
        <f>'Nike Income Statement'!AA51</f>
        <v>511.85361930294943</v>
      </c>
      <c r="P15" s="285">
        <f>'Nike Income Statement'!AB51</f>
        <v>375.89373368146192</v>
      </c>
      <c r="Q15" s="285">
        <f>'Nike Income Statement'!AC51</f>
        <v>383.7000000000001</v>
      </c>
      <c r="R15" s="285">
        <f>'Nike Income Statement'!AD51</f>
        <v>776.9000000000002</v>
      </c>
      <c r="S15" s="285">
        <f>'Nike Income Statement'!AE51</f>
        <v>535.1000000000007</v>
      </c>
    </row>
    <row r="16" spans="2:19" s="280" customFormat="1" ht="14.25" customHeight="1">
      <c r="C16" s="282" t="s">
        <v>103</v>
      </c>
      <c r="G16" s="281">
        <f>ROUND(ABS(G14-G15),10)</f>
        <v>0</v>
      </c>
      <c r="H16" s="281">
        <f>ROUND(ABS(H14-H15),10)</f>
        <v>0</v>
      </c>
      <c r="I16" s="281">
        <f>ROUND(ABS(I14-I15),10)</f>
        <v>0</v>
      </c>
      <c r="J16" s="338">
        <f>ROUND(ABS(J14-J15),10)</f>
        <v>0</v>
      </c>
      <c r="K16" s="281">
        <f t="shared" ref="K16:S16" si="0">ROUND(ABS(K14-K15),10)</f>
        <v>0</v>
      </c>
      <c r="L16" s="281">
        <f t="shared" si="0"/>
        <v>0</v>
      </c>
      <c r="M16" s="281">
        <f t="shared" si="0"/>
        <v>0</v>
      </c>
      <c r="N16" s="281">
        <f t="shared" si="0"/>
        <v>0</v>
      </c>
      <c r="O16" s="281">
        <f t="shared" si="0"/>
        <v>0</v>
      </c>
      <c r="P16" s="281">
        <f t="shared" si="0"/>
        <v>0</v>
      </c>
      <c r="Q16" s="281">
        <f t="shared" si="0"/>
        <v>0</v>
      </c>
      <c r="R16" s="281">
        <f t="shared" si="0"/>
        <v>0</v>
      </c>
      <c r="S16" s="281">
        <f t="shared" si="0"/>
        <v>0</v>
      </c>
    </row>
    <row r="17" spans="2:19" s="280" customFormat="1" ht="14.25" customHeight="1">
      <c r="J17" s="340"/>
      <c r="K17" s="281"/>
      <c r="L17" s="281"/>
      <c r="M17" s="281"/>
      <c r="N17" s="281"/>
      <c r="O17" s="281"/>
      <c r="P17" s="281"/>
      <c r="Q17" s="281"/>
      <c r="R17" s="281"/>
      <c r="S17" s="281"/>
    </row>
    <row r="18" spans="2:19" s="280" customFormat="1" ht="14.25" customHeight="1">
      <c r="B18" s="279" t="s">
        <v>125</v>
      </c>
      <c r="J18" s="340"/>
      <c r="K18" s="281"/>
      <c r="L18" s="281"/>
      <c r="M18" s="281"/>
      <c r="N18" s="281"/>
      <c r="O18" s="281"/>
      <c r="P18" s="281"/>
      <c r="Q18" s="281"/>
      <c r="R18" s="281"/>
      <c r="S18" s="281"/>
    </row>
    <row r="19" spans="2:19" s="280" customFormat="1" ht="14.25" customHeight="1">
      <c r="D19" s="280" t="s">
        <v>104</v>
      </c>
      <c r="G19" s="281">
        <f>'Nike Income Statement'!C28</f>
        <v>1883.4000000000015</v>
      </c>
      <c r="H19" s="281">
        <f>'Nike Income Statement'!D28</f>
        <v>1491.5000000000014</v>
      </c>
      <c r="I19" s="281">
        <f>'Nike Income Statement'!E28</f>
        <v>1391.9999999999986</v>
      </c>
      <c r="J19" s="338">
        <f>'Nike Income Statement'!F28</f>
        <v>1211.600000000001</v>
      </c>
      <c r="K19" s="281">
        <f>'Nike Income Statement'!G28</f>
        <v>945.6</v>
      </c>
      <c r="L19" s="281">
        <f>'Nike Income Statement'!H28</f>
        <v>474</v>
      </c>
      <c r="M19" s="281">
        <f>'Nike Income Statement'!I28</f>
        <v>663.3</v>
      </c>
      <c r="N19" s="281">
        <f>'Nike Income Statement'!J28</f>
        <v>589.70000000000005</v>
      </c>
      <c r="O19" s="281">
        <f>'Nike Income Statement'!K28</f>
        <v>579.1</v>
      </c>
      <c r="P19" s="281">
        <f>'Nike Income Statement'!L28</f>
        <v>451.40000000000003</v>
      </c>
      <c r="Q19" s="281">
        <f>'Nike Income Statement'!M28</f>
        <v>399.6</v>
      </c>
      <c r="R19" s="281">
        <f>'Nike Income Statement'!N28</f>
        <v>795.80000000000007</v>
      </c>
      <c r="S19" s="281">
        <f>'Nike Income Statement'!O28</f>
        <v>553.20000000000005</v>
      </c>
    </row>
    <row r="20" spans="2:19" s="280" customFormat="1" ht="14.25" customHeight="1">
      <c r="D20" s="280" t="s">
        <v>105</v>
      </c>
      <c r="G20" s="281">
        <f>SUM('Nike Income Statement'!S35:S38,'Nike Income Statement'!C27)</f>
        <v>48.300000000000026</v>
      </c>
      <c r="H20" s="281">
        <f>SUM('Nike Income Statement'!T35:T38,'Nike Income Statement'!D27)</f>
        <v>203.39999999999998</v>
      </c>
      <c r="I20" s="281">
        <f>SUM('Nike Income Statement'!U35:U38,'Nike Income Statement'!E27)</f>
        <v>59.8</v>
      </c>
      <c r="J20" s="338">
        <f>SUM('Nike Income Statement'!V35:V36,'Nike Income Statement'!V38,'Nike Income Statement'!F27)</f>
        <v>163.6</v>
      </c>
      <c r="K20" s="281">
        <f>SUM('Nike Income Statement'!W35:W38,'Nike Income Statement'!G27)</f>
        <v>73.376280323450132</v>
      </c>
      <c r="L20" s="281">
        <f>SUM('Nike Income Statement'!X35:X38,'Nike Income Statement'!H27)</f>
        <v>-68.133333333333326</v>
      </c>
      <c r="M20" s="281">
        <f>SUM('Nike Income Statement'!Y35:Y38,'Nike Income Statement'!I27)</f>
        <v>-63.765591397849462</v>
      </c>
      <c r="N20" s="281">
        <f>SUM('Nike Income Statement'!Z35:Z38,'Nike Income Statement'!J27)</f>
        <v>-95.231016042780738</v>
      </c>
      <c r="O20" s="281">
        <f>SUM('Nike Income Statement'!AA35:AA38,'Nike Income Statement'!K27)</f>
        <v>-67.246380697050938</v>
      </c>
      <c r="P20" s="281">
        <f>SUM('Nike Income Statement'!AB35:AB38,'Nike Income Statement'!L27)</f>
        <v>-75.506266318537854</v>
      </c>
      <c r="Q20" s="281">
        <f>SUM('Nike Income Statement'!AC35:AC38,'Nike Income Statement'!M27)</f>
        <v>-15.9</v>
      </c>
      <c r="R20" s="281">
        <f>SUM('Nike Income Statement'!AD35:AD38,'Nike Income Statement'!N27)</f>
        <v>-18.899999999999999</v>
      </c>
      <c r="S20" s="281">
        <f>SUM('Nike Income Statement'!AE35:AE38,'Nike Income Statement'!O27)</f>
        <v>-18.100000000000001</v>
      </c>
    </row>
    <row r="21" spans="2:19" s="280" customFormat="1" ht="14.25" customHeight="1">
      <c r="D21" s="280" t="s">
        <v>106</v>
      </c>
      <c r="G21" s="281">
        <v>0</v>
      </c>
      <c r="H21" s="281">
        <v>0</v>
      </c>
      <c r="I21" s="281">
        <v>0</v>
      </c>
      <c r="J21" s="338">
        <v>0</v>
      </c>
      <c r="K21" s="281">
        <v>0</v>
      </c>
      <c r="L21" s="281">
        <v>0</v>
      </c>
      <c r="M21" s="281">
        <v>0</v>
      </c>
      <c r="N21" s="281">
        <v>0</v>
      </c>
      <c r="O21" s="281">
        <v>0</v>
      </c>
      <c r="P21" s="281">
        <v>0</v>
      </c>
      <c r="Q21" s="281">
        <v>0</v>
      </c>
      <c r="R21" s="281">
        <v>0</v>
      </c>
      <c r="S21" s="281">
        <v>0</v>
      </c>
    </row>
    <row r="22" spans="2:19" s="280" customFormat="1" ht="14.25" customHeight="1">
      <c r="C22" s="280" t="s">
        <v>107</v>
      </c>
      <c r="G22" s="281">
        <f>G19+G20-G21</f>
        <v>1931.7000000000014</v>
      </c>
      <c r="H22" s="281">
        <f>H19+H20-H21</f>
        <v>1694.9000000000015</v>
      </c>
      <c r="I22" s="281">
        <f>I19+I20-I21</f>
        <v>1451.7999999999986</v>
      </c>
      <c r="J22" s="338">
        <f>J19+J20-J21</f>
        <v>1375.200000000001</v>
      </c>
      <c r="K22" s="281">
        <f t="shared" ref="K22:S22" si="1">K19+K20-K21</f>
        <v>1018.9762803234502</v>
      </c>
      <c r="L22" s="281">
        <f t="shared" si="1"/>
        <v>405.86666666666667</v>
      </c>
      <c r="M22" s="281">
        <f t="shared" si="1"/>
        <v>599.53440860215051</v>
      </c>
      <c r="N22" s="281">
        <f t="shared" si="1"/>
        <v>494.46898395721928</v>
      </c>
      <c r="O22" s="281">
        <f t="shared" si="1"/>
        <v>511.85361930294908</v>
      </c>
      <c r="P22" s="281">
        <f t="shared" si="1"/>
        <v>375.89373368146221</v>
      </c>
      <c r="Q22" s="281">
        <f t="shared" si="1"/>
        <v>383.70000000000005</v>
      </c>
      <c r="R22" s="281">
        <f t="shared" si="1"/>
        <v>776.90000000000009</v>
      </c>
      <c r="S22" s="281">
        <f t="shared" si="1"/>
        <v>535.1</v>
      </c>
    </row>
    <row r="23" spans="2:19" s="280" customFormat="1" ht="14.25" customHeight="1">
      <c r="C23" s="284" t="s">
        <v>108</v>
      </c>
      <c r="D23" s="284"/>
      <c r="E23" s="284"/>
      <c r="F23" s="284"/>
      <c r="G23" s="285">
        <f>'Nike Income Statement'!S51</f>
        <v>1931.7</v>
      </c>
      <c r="H23" s="285">
        <f>'Nike Income Statement'!T51</f>
        <v>1694.9</v>
      </c>
      <c r="I23" s="285">
        <f>'Nike Income Statement'!U51</f>
        <v>1451.8</v>
      </c>
      <c r="J23" s="339">
        <f>'Nike Income Statement'!V51</f>
        <v>1375.200000000001</v>
      </c>
      <c r="K23" s="285">
        <f>'Nike Income Statement'!W51</f>
        <v>1018.9762803234511</v>
      </c>
      <c r="L23" s="285">
        <f>'Nike Income Statement'!X51</f>
        <v>405.86666666666633</v>
      </c>
      <c r="M23" s="285">
        <f>'Nike Income Statement'!Y51</f>
        <v>599.53440860215073</v>
      </c>
      <c r="N23" s="285">
        <f>'Nike Income Statement'!Z51</f>
        <v>494.46898395721905</v>
      </c>
      <c r="O23" s="285">
        <f>'Nike Income Statement'!AA51</f>
        <v>511.85361930294943</v>
      </c>
      <c r="P23" s="285">
        <f>'Nike Income Statement'!AB51</f>
        <v>375.89373368146192</v>
      </c>
      <c r="Q23" s="285">
        <f>'Nike Income Statement'!AC51</f>
        <v>383.7000000000001</v>
      </c>
      <c r="R23" s="285">
        <f>'Nike Income Statement'!AD51</f>
        <v>776.9000000000002</v>
      </c>
      <c r="S23" s="285">
        <f>'Nike Income Statement'!AE51</f>
        <v>535.1000000000007</v>
      </c>
    </row>
    <row r="24" spans="2:19" s="280" customFormat="1" ht="14.25" customHeight="1">
      <c r="C24" s="282" t="s">
        <v>103</v>
      </c>
      <c r="G24" s="281">
        <f>ROUND(ABS(G22-G23),10)</f>
        <v>0</v>
      </c>
      <c r="H24" s="281">
        <f>ROUND(ABS(H22-H23),10)</f>
        <v>0</v>
      </c>
      <c r="I24" s="281">
        <f>ROUND(ABS(I22-I23),10)</f>
        <v>0</v>
      </c>
      <c r="J24" s="338">
        <f>ROUND(ABS(J22-J23),10)</f>
        <v>0</v>
      </c>
      <c r="K24" s="281">
        <f t="shared" ref="K24:S24" si="2">ROUND(ABS(K22-K23),10)</f>
        <v>0</v>
      </c>
      <c r="L24" s="281">
        <f t="shared" si="2"/>
        <v>0</v>
      </c>
      <c r="M24" s="281">
        <f t="shared" si="2"/>
        <v>0</v>
      </c>
      <c r="N24" s="281">
        <f t="shared" si="2"/>
        <v>0</v>
      </c>
      <c r="O24" s="281">
        <f t="shared" si="2"/>
        <v>0</v>
      </c>
      <c r="P24" s="281">
        <f t="shared" si="2"/>
        <v>0</v>
      </c>
      <c r="Q24" s="281">
        <f t="shared" si="2"/>
        <v>0</v>
      </c>
      <c r="R24" s="281">
        <f t="shared" si="2"/>
        <v>0</v>
      </c>
      <c r="S24" s="281">
        <f t="shared" si="2"/>
        <v>0</v>
      </c>
    </row>
    <row r="25" spans="2:19" s="280" customFormat="1" ht="14.25" customHeight="1">
      <c r="J25" s="340"/>
      <c r="K25" s="281"/>
      <c r="L25" s="281"/>
      <c r="M25" s="281"/>
      <c r="N25" s="281"/>
      <c r="O25" s="281"/>
      <c r="P25" s="281"/>
      <c r="Q25" s="281"/>
      <c r="R25" s="281"/>
      <c r="S25" s="281"/>
    </row>
    <row r="26" spans="2:19" s="280" customFormat="1" ht="14.25" customHeight="1">
      <c r="B26" s="279" t="s">
        <v>111</v>
      </c>
      <c r="J26" s="340"/>
      <c r="K26" s="281"/>
      <c r="L26" s="281"/>
      <c r="M26" s="281"/>
      <c r="N26" s="281"/>
      <c r="O26" s="281"/>
      <c r="P26" s="281"/>
      <c r="Q26" s="281"/>
      <c r="R26" s="281"/>
      <c r="S26" s="281"/>
    </row>
    <row r="27" spans="2:19" s="280" customFormat="1" ht="14.25" customHeight="1">
      <c r="C27" s="280" t="s">
        <v>115</v>
      </c>
      <c r="G27" s="281">
        <f>'Nike Statement of SE'!Q160</f>
        <v>7797.2999999999993</v>
      </c>
      <c r="H27" s="281">
        <f>'Nike Statement of SE'!Q149</f>
        <v>7118.4</v>
      </c>
      <c r="I27" s="281">
        <f>'Nike Statement of SE'!Q138</f>
        <v>6364.7</v>
      </c>
      <c r="J27" s="281">
        <f>'Nike Statement of SE'!Q127</f>
        <v>5709.5</v>
      </c>
      <c r="K27" s="281">
        <f>'Nike Statement of SE'!Q116</f>
        <v>4839.8</v>
      </c>
      <c r="L27" s="281">
        <f>'Nike Statement of SE'!Q105</f>
        <v>4028.2000000000007</v>
      </c>
      <c r="M27" s="281">
        <f>'Nike Statement of SE'!Q94</f>
        <v>3844.1000000000004</v>
      </c>
      <c r="N27" s="281">
        <f>'Nike Statement of SE'!Q83</f>
        <v>3504.4000000000005</v>
      </c>
      <c r="O27" s="281">
        <f>'Nike Statement of SE'!Q72</f>
        <v>3147.7000000000003</v>
      </c>
      <c r="P27" s="281">
        <f>'Nike Statement of SE'!Q61</f>
        <v>3334.6000000000004</v>
      </c>
      <c r="Q27" s="281">
        <f>'Nike Statement of SE'!Q50</f>
        <v>3261.6000000000004</v>
      </c>
      <c r="R27" s="281">
        <f>'Nike Statement of SE'!Q39</f>
        <v>3155.9</v>
      </c>
      <c r="S27" s="281">
        <f>'Nike Statement of SE'!Q28</f>
        <v>2431.4</v>
      </c>
    </row>
    <row r="28" spans="2:19" s="280" customFormat="1" ht="14.25" customHeight="1">
      <c r="C28" s="284" t="s">
        <v>433</v>
      </c>
      <c r="D28" s="284"/>
      <c r="E28" s="284"/>
      <c r="F28" s="284"/>
      <c r="G28" s="285">
        <f>'Nike Balance Sheet'!T48</f>
        <v>7797.3</v>
      </c>
      <c r="H28" s="285">
        <f>'Nike Balance Sheet'!U48</f>
        <v>7118.4</v>
      </c>
      <c r="I28" s="285">
        <f>'Nike Balance Sheet'!V48</f>
        <v>6364.7</v>
      </c>
      <c r="J28" s="285">
        <f>'Nike Balance Sheet'!W48</f>
        <v>5709.4999999999982</v>
      </c>
      <c r="K28" s="285">
        <f>'Nike Balance Sheet'!X48</f>
        <v>4839.8</v>
      </c>
      <c r="L28" s="285">
        <f>'Nike Balance Sheet'!Y48</f>
        <v>4028.2</v>
      </c>
      <c r="M28" s="285">
        <f>'Nike Balance Sheet'!Z48</f>
        <v>3844.1</v>
      </c>
      <c r="N28" s="285">
        <f>'Nike Balance Sheet'!AA48</f>
        <v>3504.4000000000005</v>
      </c>
      <c r="O28" s="285">
        <f>'Nike Balance Sheet'!AB48</f>
        <v>3147.6999999999994</v>
      </c>
      <c r="P28" s="285">
        <f>'Nike Balance Sheet'!AC48</f>
        <v>3334.5999999999995</v>
      </c>
      <c r="Q28" s="285">
        <f>'Nike Balance Sheet'!AD48</f>
        <v>3261.5999999999995</v>
      </c>
      <c r="R28" s="285">
        <f>'Nike Balance Sheet'!AE48</f>
        <v>3155.8999999999992</v>
      </c>
      <c r="S28" s="285">
        <f>'Nike Balance Sheet'!AF48</f>
        <v>2431.3879999999995</v>
      </c>
    </row>
    <row r="29" spans="2:19" s="280" customFormat="1" ht="14.25" customHeight="1">
      <c r="C29" s="282" t="s">
        <v>103</v>
      </c>
      <c r="G29" s="281">
        <f>ROUND(ABS(G27-G28),10)</f>
        <v>0</v>
      </c>
      <c r="H29" s="281">
        <f>ROUND(ABS(H27-H28),10)</f>
        <v>0</v>
      </c>
      <c r="I29" s="281">
        <f>ROUND(ABS(I27-I28),10)</f>
        <v>0</v>
      </c>
      <c r="J29" s="281">
        <f>ROUND(ABS(J27-J28),10)</f>
        <v>0</v>
      </c>
      <c r="K29" s="281">
        <f t="shared" ref="K29:S29" si="3">ROUND(ABS(K27-K28),10)</f>
        <v>0</v>
      </c>
      <c r="L29" s="281">
        <f t="shared" si="3"/>
        <v>0</v>
      </c>
      <c r="M29" s="281">
        <f t="shared" si="3"/>
        <v>0</v>
      </c>
      <c r="N29" s="281">
        <f t="shared" si="3"/>
        <v>0</v>
      </c>
      <c r="O29" s="281">
        <f t="shared" si="3"/>
        <v>0</v>
      </c>
      <c r="P29" s="281">
        <f t="shared" si="3"/>
        <v>0</v>
      </c>
      <c r="Q29" s="281">
        <f t="shared" si="3"/>
        <v>0</v>
      </c>
      <c r="R29" s="281">
        <f t="shared" si="3"/>
        <v>0</v>
      </c>
      <c r="S29" s="281">
        <f t="shared" si="3"/>
        <v>1.2E-2</v>
      </c>
    </row>
    <row r="30" spans="2:19" s="280" customFormat="1" ht="14.25" customHeight="1">
      <c r="K30" s="281"/>
      <c r="L30" s="281"/>
      <c r="M30" s="281"/>
      <c r="N30" s="281"/>
      <c r="O30" s="281"/>
      <c r="P30" s="281"/>
      <c r="Q30" s="281"/>
      <c r="R30" s="281"/>
      <c r="S30" s="281"/>
    </row>
    <row r="31" spans="2:19" s="280" customFormat="1" ht="14.25" customHeight="1">
      <c r="B31" s="279" t="s">
        <v>111</v>
      </c>
      <c r="K31" s="281"/>
      <c r="L31" s="281"/>
      <c r="M31" s="281"/>
      <c r="N31" s="281"/>
      <c r="O31" s="281"/>
      <c r="P31" s="281"/>
      <c r="Q31" s="281"/>
      <c r="R31" s="281"/>
      <c r="S31" s="281"/>
    </row>
    <row r="32" spans="2:19" s="280" customFormat="1" ht="14.25" customHeight="1">
      <c r="D32" s="280" t="s">
        <v>112</v>
      </c>
      <c r="G32" s="280">
        <f>'Nike Statement of SE'!K188</f>
        <v>7825.2999999999993</v>
      </c>
      <c r="H32" s="280">
        <f>'Nike Statement of SE'!K169</f>
        <v>7025.4</v>
      </c>
      <c r="I32" s="280">
        <f>'Nike Statement of SE'!K153</f>
        <v>6285.2</v>
      </c>
      <c r="J32" s="280">
        <f>'Nike Statement of SE'!K138</f>
        <v>5644.2</v>
      </c>
      <c r="K32" s="281">
        <f>'Nike Statement of SE'!K123</f>
        <v>4781.7</v>
      </c>
      <c r="L32" s="281">
        <f>'Nike Statement of SE'!K109</f>
        <v>3990.7000000000007</v>
      </c>
      <c r="M32" s="281">
        <f>'Nike Statement of SE'!K95</f>
        <v>3839.0000000000005</v>
      </c>
      <c r="N32" s="281">
        <f>'Nike Statement of SE'!K80</f>
        <v>3494.5</v>
      </c>
      <c r="O32" s="281">
        <f>'Nike Statement of SE'!K67</f>
        <v>3136</v>
      </c>
      <c r="P32" s="281">
        <f>'Nike Statement of SE'!K55</f>
        <v>3334.6</v>
      </c>
      <c r="Q32" s="281">
        <f>'Nike Statement of SE'!K46</f>
        <v>3261.6</v>
      </c>
      <c r="R32" s="281">
        <f>'Nike Statement of SE'!K37</f>
        <v>3155.9</v>
      </c>
      <c r="S32" s="281">
        <f>'Nike Statement of SE'!K27</f>
        <v>2431.4</v>
      </c>
    </row>
    <row r="33" spans="3:19" s="280" customFormat="1" ht="14.25" customHeight="1">
      <c r="D33" s="280" t="s">
        <v>109</v>
      </c>
      <c r="G33" s="281">
        <v>0</v>
      </c>
      <c r="H33" s="281">
        <v>0</v>
      </c>
      <c r="I33" s="281">
        <v>0</v>
      </c>
      <c r="J33" s="281">
        <v>0</v>
      </c>
      <c r="K33" s="281">
        <v>0</v>
      </c>
      <c r="L33" s="281">
        <v>0</v>
      </c>
      <c r="M33" s="281">
        <v>0</v>
      </c>
      <c r="N33" s="281">
        <v>0</v>
      </c>
      <c r="O33" s="281">
        <v>0</v>
      </c>
      <c r="P33" s="281">
        <v>0</v>
      </c>
      <c r="Q33" s="281">
        <v>0</v>
      </c>
      <c r="R33" s="281">
        <v>0</v>
      </c>
      <c r="S33" s="281">
        <v>0</v>
      </c>
    </row>
    <row r="34" spans="3:19" s="280" customFormat="1" ht="14.25" customHeight="1">
      <c r="D34" s="280" t="s">
        <v>655</v>
      </c>
      <c r="G34" s="280">
        <f>'Nike Statement of SE'!R160</f>
        <v>113</v>
      </c>
      <c r="H34" s="280">
        <f>'Nike Statement of SE'!R149</f>
        <v>93</v>
      </c>
      <c r="I34" s="280">
        <f>'Nike Statement of SE'!R138</f>
        <v>79.5</v>
      </c>
      <c r="J34" s="280">
        <f>'Nike Statement of SE'!R127</f>
        <v>65.3</v>
      </c>
      <c r="K34" s="281">
        <f>'Nike Statement of SE'!R116</f>
        <v>52.6</v>
      </c>
      <c r="L34" s="281">
        <f>'Nike Statement of SE'!R105</f>
        <v>36.9</v>
      </c>
      <c r="M34" s="281">
        <v>0</v>
      </c>
      <c r="N34" s="281">
        <v>0</v>
      </c>
      <c r="O34" s="281">
        <v>0</v>
      </c>
      <c r="P34" s="281">
        <v>0</v>
      </c>
      <c r="Q34" s="281">
        <v>0</v>
      </c>
      <c r="R34" s="281">
        <v>0</v>
      </c>
      <c r="S34" s="281">
        <v>0</v>
      </c>
    </row>
    <row r="35" spans="3:19" s="280" customFormat="1" ht="14.25" customHeight="1">
      <c r="D35" s="280" t="s">
        <v>110</v>
      </c>
      <c r="G35" s="281">
        <f>'Nike Balance Sheet'!D47</f>
        <v>0</v>
      </c>
      <c r="H35" s="281">
        <f>'Nike Balance Sheet'!E47</f>
        <v>0</v>
      </c>
      <c r="I35" s="281">
        <f>'Nike Balance Sheet'!F47</f>
        <v>0</v>
      </c>
      <c r="J35" s="281">
        <f>'Nike Balance Sheet'!G47</f>
        <v>0</v>
      </c>
      <c r="K35" s="281">
        <f>'Nike Balance Sheet'!H47</f>
        <v>-5.5</v>
      </c>
      <c r="L35" s="281">
        <f>'Nike Balance Sheet'!I47</f>
        <v>-0.6</v>
      </c>
      <c r="M35" s="281">
        <f>'Nike Balance Sheet'!J47</f>
        <v>-5.0999999999999996</v>
      </c>
      <c r="N35" s="281">
        <f>'Nike Balance Sheet'!K47</f>
        <v>-9.9</v>
      </c>
      <c r="O35" s="281">
        <f>'Nike Balance Sheet'!L47</f>
        <v>-11.7</v>
      </c>
      <c r="P35" s="281">
        <f>'Nike Balance Sheet'!M47</f>
        <v>0</v>
      </c>
      <c r="Q35" s="281">
        <f>'Nike Balance Sheet'!N47</f>
        <v>0</v>
      </c>
      <c r="R35" s="281">
        <f>'Nike Balance Sheet'!O47</f>
        <v>0</v>
      </c>
      <c r="S35" s="281">
        <f>'Nike Balance Sheet'!P47</f>
        <v>0</v>
      </c>
    </row>
    <row r="36" spans="3:19" s="280" customFormat="1" ht="14.25" customHeight="1">
      <c r="D36" s="280" t="s">
        <v>396</v>
      </c>
      <c r="G36" s="281">
        <f>'Nike Statement of SE'!S160</f>
        <v>-141</v>
      </c>
      <c r="H36" s="281"/>
      <c r="I36" s="281"/>
      <c r="J36" s="281"/>
      <c r="K36" s="281"/>
      <c r="L36" s="281"/>
      <c r="M36" s="281"/>
      <c r="N36" s="281"/>
      <c r="O36" s="281"/>
      <c r="P36" s="281"/>
      <c r="Q36" s="281"/>
      <c r="R36" s="281"/>
      <c r="S36" s="281"/>
    </row>
    <row r="37" spans="3:19" s="280" customFormat="1" ht="14.25" customHeight="1">
      <c r="C37" s="280" t="s">
        <v>113</v>
      </c>
      <c r="G37" s="281">
        <f>G32+G34+G33-G35+G36</f>
        <v>7797.2999999999993</v>
      </c>
      <c r="H37" s="281">
        <f>H32+H34+H33-H35+H36</f>
        <v>7118.4</v>
      </c>
      <c r="I37" s="281">
        <f t="shared" ref="I37:S37" si="4">I32+I34+I33-I35+I36</f>
        <v>6364.7</v>
      </c>
      <c r="J37" s="281">
        <f t="shared" si="4"/>
        <v>5709.5</v>
      </c>
      <c r="K37" s="281">
        <f t="shared" si="4"/>
        <v>4839.8</v>
      </c>
      <c r="L37" s="281">
        <f t="shared" si="4"/>
        <v>4028.2000000000007</v>
      </c>
      <c r="M37" s="281">
        <f t="shared" si="4"/>
        <v>3844.1000000000004</v>
      </c>
      <c r="N37" s="281">
        <f t="shared" si="4"/>
        <v>3504.4</v>
      </c>
      <c r="O37" s="281">
        <f t="shared" si="4"/>
        <v>3147.7</v>
      </c>
      <c r="P37" s="281">
        <f t="shared" si="4"/>
        <v>3334.6</v>
      </c>
      <c r="Q37" s="281">
        <f t="shared" si="4"/>
        <v>3261.6</v>
      </c>
      <c r="R37" s="281">
        <f t="shared" si="4"/>
        <v>3155.9</v>
      </c>
      <c r="S37" s="281">
        <f t="shared" si="4"/>
        <v>2431.4</v>
      </c>
    </row>
    <row r="38" spans="3:19" s="280" customFormat="1" ht="14.25" customHeight="1">
      <c r="C38" s="284" t="s">
        <v>115</v>
      </c>
      <c r="D38" s="284"/>
      <c r="E38" s="284"/>
      <c r="F38" s="284"/>
      <c r="G38" s="285">
        <f>'Nike Statement of SE'!Q160</f>
        <v>7797.2999999999993</v>
      </c>
      <c r="H38" s="285">
        <f>'Nike Statement of SE'!Q149</f>
        <v>7118.4</v>
      </c>
      <c r="I38" s="285">
        <f>'Nike Statement of SE'!Q138</f>
        <v>6364.7</v>
      </c>
      <c r="J38" s="285">
        <f>'Nike Statement of SE'!Q127</f>
        <v>5709.5</v>
      </c>
      <c r="K38" s="285">
        <f>'Nike Statement of SE'!Q116</f>
        <v>4839.8</v>
      </c>
      <c r="L38" s="285">
        <f>'Nike Statement of SE'!Q105</f>
        <v>4028.2000000000007</v>
      </c>
      <c r="M38" s="285">
        <f>'Nike Statement of SE'!Q94</f>
        <v>3844.1000000000004</v>
      </c>
      <c r="N38" s="285">
        <f>'Nike Statement of SE'!Q83</f>
        <v>3504.4000000000005</v>
      </c>
      <c r="O38" s="285">
        <f>'Nike Statement of SE'!Q72</f>
        <v>3147.7000000000003</v>
      </c>
      <c r="P38" s="285">
        <f>'Nike Statement of SE'!Q61</f>
        <v>3334.6000000000004</v>
      </c>
      <c r="Q38" s="285">
        <f>'Nike Statement of SE'!Q50</f>
        <v>3261.6000000000004</v>
      </c>
      <c r="R38" s="285">
        <f>'Nike Statement of SE'!Q39</f>
        <v>3155.9</v>
      </c>
      <c r="S38" s="285">
        <f>'Nike Statement of SE'!Q28</f>
        <v>2431.4</v>
      </c>
    </row>
    <row r="39" spans="3:19" s="280" customFormat="1" ht="14.25" customHeight="1">
      <c r="C39" s="282" t="s">
        <v>103</v>
      </c>
      <c r="G39" s="281">
        <f>ROUND(ABS(G37-G38),10)</f>
        <v>0</v>
      </c>
      <c r="H39" s="281">
        <f>ROUND(ABS(H37-H38),10)</f>
        <v>0</v>
      </c>
      <c r="I39" s="281">
        <f>ROUND(ABS(I37-I38),10)</f>
        <v>0</v>
      </c>
      <c r="J39" s="281">
        <f>ROUND(ABS(J37-J38),10)</f>
        <v>0</v>
      </c>
      <c r="K39" s="281">
        <f t="shared" ref="K39:S39" si="5">ROUND(ABS(K37-K38),10)</f>
        <v>0</v>
      </c>
      <c r="L39" s="281">
        <f t="shared" si="5"/>
        <v>0</v>
      </c>
      <c r="M39" s="281">
        <f t="shared" si="5"/>
        <v>0</v>
      </c>
      <c r="N39" s="281">
        <f t="shared" si="5"/>
        <v>0</v>
      </c>
      <c r="O39" s="281">
        <f t="shared" si="5"/>
        <v>0</v>
      </c>
      <c r="P39" s="281">
        <f t="shared" si="5"/>
        <v>0</v>
      </c>
      <c r="Q39" s="281">
        <f t="shared" si="5"/>
        <v>0</v>
      </c>
      <c r="R39" s="281">
        <f t="shared" si="5"/>
        <v>0</v>
      </c>
      <c r="S39" s="281">
        <f t="shared" si="5"/>
        <v>0</v>
      </c>
    </row>
    <row r="43" spans="3:19">
      <c r="K43" s="283"/>
    </row>
    <row r="44" spans="3:19">
      <c r="K44" s="283"/>
    </row>
    <row r="48" spans="3:19">
      <c r="K48" s="278"/>
    </row>
  </sheetData>
  <phoneticPr fontId="17" type="noConversion"/>
  <pageMargins left="0.75" right="0.75" top="1" bottom="1" header="0.5" footer="0.5"/>
  <pageSetup scale="54" orientation="landscape" r:id="rId1"/>
  <headerFooter alignWithMargins="0"/>
</worksheet>
</file>

<file path=xl/worksheets/sheet11.xml><?xml version="1.0" encoding="utf-8"?>
<worksheet xmlns="http://schemas.openxmlformats.org/spreadsheetml/2006/main" xmlns:r="http://schemas.openxmlformats.org/officeDocument/2006/relationships">
  <sheetPr codeName="Sheet10">
    <pageSetUpPr fitToPage="1"/>
  </sheetPr>
  <dimension ref="B1:R100"/>
  <sheetViews>
    <sheetView workbookViewId="0"/>
  </sheetViews>
  <sheetFormatPr defaultRowHeight="12.75"/>
  <cols>
    <col min="1" max="1" width="2" customWidth="1"/>
    <col min="2" max="2" width="6" style="29" customWidth="1"/>
    <col min="3" max="3" width="32.28515625" customWidth="1"/>
    <col min="4" max="4" width="35.28515625" customWidth="1"/>
    <col min="5" max="5" width="29.7109375" customWidth="1"/>
    <col min="6" max="9" width="15.85546875" customWidth="1"/>
    <col min="10" max="10" width="16.140625" style="29" customWidth="1"/>
    <col min="11" max="11" width="17.140625" customWidth="1"/>
    <col min="12" max="12" width="13.140625" customWidth="1"/>
  </cols>
  <sheetData>
    <row r="1" spans="2:9" ht="10.5" customHeight="1"/>
    <row r="2" spans="2:9" ht="15.75">
      <c r="B2" s="1" t="s">
        <v>292</v>
      </c>
    </row>
    <row r="3" spans="2:9" ht="15">
      <c r="B3" s="2" t="s">
        <v>709</v>
      </c>
    </row>
    <row r="4" spans="2:9">
      <c r="B4" s="14"/>
    </row>
    <row r="5" spans="2:9" ht="15.75">
      <c r="B5" s="1" t="s">
        <v>495</v>
      </c>
    </row>
    <row r="6" spans="2:9" ht="15.75">
      <c r="B6" s="1"/>
    </row>
    <row r="7" spans="2:9" ht="15.75">
      <c r="B7" s="1"/>
    </row>
    <row r="8" spans="2:9" ht="15.75">
      <c r="B8" s="32" t="s">
        <v>505</v>
      </c>
    </row>
    <row r="9" spans="2:9" ht="15.75">
      <c r="B9" s="32"/>
    </row>
    <row r="10" spans="2:9" ht="15.75">
      <c r="B10" s="32" t="s">
        <v>547</v>
      </c>
    </row>
    <row r="11" spans="2:9">
      <c r="B11" s="33"/>
    </row>
    <row r="12" spans="2:9" ht="72" customHeight="1">
      <c r="B12" s="367" t="s">
        <v>509</v>
      </c>
      <c r="C12" s="367"/>
      <c r="D12" s="367"/>
      <c r="E12" s="367"/>
      <c r="F12" s="332"/>
      <c r="G12" s="332"/>
      <c r="H12" s="332"/>
      <c r="I12" s="332"/>
    </row>
    <row r="14" spans="2:9" ht="33.75" customHeight="1">
      <c r="B14" s="367" t="s">
        <v>582</v>
      </c>
      <c r="C14" s="367"/>
      <c r="D14" s="367"/>
      <c r="E14" s="367"/>
      <c r="F14" s="332"/>
      <c r="G14" s="332"/>
      <c r="H14" s="332"/>
      <c r="I14" s="332"/>
    </row>
    <row r="15" spans="2:9" ht="15">
      <c r="B15" s="97"/>
      <c r="C15" s="97"/>
      <c r="D15" s="97"/>
      <c r="E15" s="97"/>
      <c r="F15" s="97"/>
      <c r="G15" s="97"/>
      <c r="H15" s="97"/>
      <c r="I15" s="97"/>
    </row>
    <row r="16" spans="2:9">
      <c r="B16" s="39"/>
    </row>
    <row r="17" spans="2:11">
      <c r="B17" s="33" t="s">
        <v>513</v>
      </c>
    </row>
    <row r="18" spans="2:11" ht="13.5" thickBot="1"/>
    <row r="19" spans="2:11">
      <c r="B19" s="156" t="s">
        <v>148</v>
      </c>
      <c r="C19" s="157" t="s">
        <v>140</v>
      </c>
      <c r="D19" s="157" t="s">
        <v>141</v>
      </c>
      <c r="E19" s="157" t="s">
        <v>243</v>
      </c>
      <c r="F19" s="157" t="s">
        <v>58</v>
      </c>
      <c r="G19" s="157" t="s">
        <v>57</v>
      </c>
      <c r="H19" s="157" t="s">
        <v>56</v>
      </c>
      <c r="I19" s="157" t="s">
        <v>55</v>
      </c>
      <c r="J19" s="157" t="s">
        <v>1</v>
      </c>
      <c r="K19" s="238" t="s">
        <v>614</v>
      </c>
    </row>
    <row r="20" spans="2:11" ht="24" customHeight="1">
      <c r="B20" s="152">
        <v>1</v>
      </c>
      <c r="C20" s="150" t="s">
        <v>514</v>
      </c>
      <c r="D20" s="150"/>
      <c r="E20" s="151" t="s">
        <v>146</v>
      </c>
      <c r="F20" s="242">
        <f>ABS('Nike Statement of SE'!$P153)/'Nike Statement of SE'!$Q159</f>
        <v>0.21369777915825439</v>
      </c>
      <c r="G20" s="242">
        <f>ABS('Nike Statement of SE'!$P142)/'Nike Statement of SE'!$Q148</f>
        <v>0.20284382559443034</v>
      </c>
      <c r="H20" s="242">
        <f>ABS('Nike Statement of SE'!$P$131)/'Nike Statement of SE'!$Q137</f>
        <v>0.20023419203747073</v>
      </c>
      <c r="I20" s="242">
        <f>ABS('Nike Statement of SE'!$P120)/'Nike Statement of SE'!$Q126</f>
        <v>0.17212041884816756</v>
      </c>
      <c r="J20" s="242">
        <f>ABS('Nike Statement of SE'!$P109)/'Nike Statement of SE'!$Q115</f>
        <v>0.17586277861454946</v>
      </c>
      <c r="K20" s="239">
        <f>ABS('Nike Statement of SE'!P98)/'Nike Statement of SE'!Q104</f>
        <v>0.26067674113009193</v>
      </c>
    </row>
    <row r="21" spans="2:11" ht="30" customHeight="1">
      <c r="B21" s="152">
        <v>2</v>
      </c>
      <c r="C21" s="150" t="s">
        <v>142</v>
      </c>
      <c r="D21" s="150"/>
      <c r="E21" s="151" t="s">
        <v>510</v>
      </c>
      <c r="F21" s="242">
        <f>+ABS('Nike Statement of SE'!$P152+'Nike Statement of SE'!$P153)/'Nike Statement of SE'!$Q159</f>
        <v>0.85976083242739554</v>
      </c>
      <c r="G21" s="242">
        <f>+ABS('Nike Statement of SE'!$P141+'Nike Statement of SE'!$P142)/'Nike Statement of SE'!$Q148</f>
        <v>0.7782170039530355</v>
      </c>
      <c r="H21" s="242">
        <f>+ABS('Nike Statement of SE'!$P130+'Nike Statement of SE'!$P131)/'Nike Statement of SE'!$Q137</f>
        <v>0.73832483813197414</v>
      </c>
      <c r="I21" s="242">
        <f>+ABS('Nike Statement of SE'!$P119+'Nike Statement of SE'!$P120)/'Nike Statement of SE'!$Q126</f>
        <v>0.57657068062827244</v>
      </c>
      <c r="J21" s="242">
        <f>+ABS('Nike Statement of SE'!$P108+'Nike Statement of SE'!$P109)/'Nike Statement of SE'!$Q115</f>
        <v>0.58441007067502349</v>
      </c>
      <c r="K21" s="239">
        <f>ABS('Nike Statement of SE'!P97+'Nike Statement of SE'!P98)/'Nike Statement of SE'!Q104</f>
        <v>0.74014454664914564</v>
      </c>
    </row>
    <row r="22" spans="2:11" ht="24" customHeight="1">
      <c r="B22" s="152">
        <v>3</v>
      </c>
      <c r="C22" s="150" t="s">
        <v>144</v>
      </c>
      <c r="D22" s="150"/>
      <c r="E22" s="151" t="s">
        <v>147</v>
      </c>
      <c r="F22" s="242">
        <f>+ABS('Nike Statement of SE'!$P153/('Nike Statement of SE'!$Q160+ABS('Nike Statement of SE'!$P153)))</f>
        <v>5.0279533745021386E-2</v>
      </c>
      <c r="G22" s="242">
        <f>+ABS('Nike Statement of SE'!$P142/('Nike Statement of SE'!$Q149+ABS('Nike Statement of SE'!$P142)))</f>
        <v>4.6072203907694786E-2</v>
      </c>
      <c r="H22" s="242">
        <f>+ABS('Nike Statement of SE'!$P131/('Nike Statement of SE'!$Q138+ABS('Nike Statement of SE'!$P131)))</f>
        <v>4.3678817201069808E-2</v>
      </c>
      <c r="I22" s="242">
        <f>+ABS('Nike Statement of SE'!$P120/('Nike Statement of SE'!$Q127+ABS('Nike Statement of SE'!$P120)))</f>
        <v>3.9806935521845881E-2</v>
      </c>
      <c r="J22" s="242">
        <f>+ABS('Nike Statement of SE'!$P109/('Nike Statement of SE'!$Q116+ABS('Nike Statement of SE'!$P109)))</f>
        <v>3.5704323570432357E-2</v>
      </c>
      <c r="K22" s="239">
        <f>+ABS('Nike Statement of SE'!P98)/('Nike Statement of SE'!Q105+ABS('Nike Statement of SE'!P98))</f>
        <v>2.5592646347363319E-2</v>
      </c>
    </row>
    <row r="23" spans="2:11" ht="30" customHeight="1">
      <c r="B23" s="152">
        <v>4</v>
      </c>
      <c r="C23" s="150" t="s">
        <v>145</v>
      </c>
      <c r="D23" s="150"/>
      <c r="E23" s="151" t="s">
        <v>511</v>
      </c>
      <c r="F23" s="242">
        <f>+(ABS('Nike Statement of SE'!$P152+'Nike Statement of SE'!$P153))/(ABS('Nike Statement of SE'!$P152+'Nike Statement of SE'!$P153)+'Nike Statement of SE'!$Q160)</f>
        <v>0.17559552129920389</v>
      </c>
      <c r="G23" s="242">
        <f>+(ABS('Nike Statement of SE'!$P141+'Nike Statement of SE'!$P142))/(ABS('Nike Statement of SE'!$P141+'Nike Statement of SE'!$P142)+'Nike Statement of SE'!$Q149)</f>
        <v>0.15632777869959941</v>
      </c>
      <c r="H23" s="242">
        <f>+(ABS('Nike Statement of SE'!$P130+'Nike Statement of SE'!$P131))/(ABS('Nike Statement of SE'!$P130+'Nike Statement of SE'!$P131)+'Nike Statement of SE'!$Q138)</f>
        <v>0.14413845036710324</v>
      </c>
      <c r="I23" s="242">
        <f>+(ABS('Nike Statement of SE'!$P119+'Nike Statement of SE'!$P120))/(ABS('Nike Statement of SE'!$P119+'Nike Statement of SE'!$P120)+'Nike Statement of SE'!$Q127)</f>
        <v>0.12193959153543309</v>
      </c>
      <c r="J23" s="242">
        <f>+(ABS('Nike Statement of SE'!$P108+'Nike Statement of SE'!$P109))/(ABS('Nike Statement of SE'!$P108+'Nike Statement of SE'!$P109)+'Nike Statement of SE'!$Q116)</f>
        <v>0.10956156973856089</v>
      </c>
      <c r="K23" s="239">
        <f>+(ABS('Nike Statement of SE'!P97+'Nike Statement of SE'!P98))/(ABS('Nike Statement of SE'!P97+'Nike Statement of SE'!P98)+'Nike Statement of SE'!Q105)</f>
        <v>6.9398881855565295E-2</v>
      </c>
    </row>
    <row r="24" spans="2:11" ht="24" customHeight="1">
      <c r="B24" s="152">
        <v>5</v>
      </c>
      <c r="C24" s="150" t="s">
        <v>149</v>
      </c>
      <c r="D24" s="150"/>
      <c r="E24" s="151" t="s">
        <v>150</v>
      </c>
      <c r="F24" s="243">
        <f t="shared" ref="F24:K24" si="0">1-F20</f>
        <v>0.78630222084174561</v>
      </c>
      <c r="G24" s="243">
        <f t="shared" si="0"/>
        <v>0.79715617440556963</v>
      </c>
      <c r="H24" s="243">
        <f t="shared" si="0"/>
        <v>0.79976580796252927</v>
      </c>
      <c r="I24" s="243">
        <f t="shared" si="0"/>
        <v>0.82787958115183247</v>
      </c>
      <c r="J24" s="243">
        <f t="shared" si="0"/>
        <v>0.82413722138545054</v>
      </c>
      <c r="K24" s="240">
        <f t="shared" si="0"/>
        <v>0.73932325886990813</v>
      </c>
    </row>
    <row r="25" spans="2:11" ht="30" customHeight="1">
      <c r="B25" s="152">
        <v>6</v>
      </c>
      <c r="C25" s="150" t="s">
        <v>151</v>
      </c>
      <c r="D25" s="150" t="s">
        <v>244</v>
      </c>
      <c r="E25" s="151" t="s">
        <v>152</v>
      </c>
      <c r="F25" s="242">
        <f>+'Nike Statement of SE'!$Q159/(('Nike Statement of SE'!$Q160+'Nike Statement of SE'!$Q149)/2)</f>
        <v>0.25901566805446613</v>
      </c>
      <c r="G25" s="242">
        <f>+'Nike Statement of SE'!$Q148/(('Nike Statement of SE'!$Q149+'Nike Statement of SE'!$Q138)/2)</f>
        <v>0.25141102565433771</v>
      </c>
      <c r="H25" s="242">
        <f>+'Nike Statement of SE'!$Q137/(('Nike Statement of SE'!$Q138+'Nike Statement of SE'!$Q127)/2)</f>
        <v>0.24047970051846082</v>
      </c>
      <c r="I25" s="242">
        <f>+'Nike Statement of SE'!$Q126/(('Nike Statement of SE'!$Q127+'Nike Statement of SE'!$Q116)/2)</f>
        <v>0.26071872067340962</v>
      </c>
      <c r="J25" s="242">
        <f>+'Nike Statement of SE'!$Q115/(('Nike Statement of SE'!$Q116+'Nike Statement of SE'!$Q105)/2)</f>
        <v>0.22980971590515339</v>
      </c>
      <c r="K25" s="239">
        <f>+'Nike Statement of SE'!Q104/(('Nike Statement of SE'!Q94+'Nike Statement of SE'!Q105)/2)</f>
        <v>0.10311260156921527</v>
      </c>
    </row>
    <row r="26" spans="2:11" ht="30" customHeight="1">
      <c r="B26" s="152">
        <v>7</v>
      </c>
      <c r="C26" s="150" t="s">
        <v>153</v>
      </c>
      <c r="D26" s="150"/>
      <c r="E26" s="151" t="s">
        <v>512</v>
      </c>
      <c r="F26" s="242">
        <f>+ABS('Nike Statement of SE'!$Q153)/'Nike Statement of SE'!$Q149</f>
        <v>0.17599460552933244</v>
      </c>
      <c r="G26" s="242">
        <f>+ABS('Nike Statement of SE'!$Q142)/'Nike Statement of SE'!$Q138</f>
        <v>0.14787814036796709</v>
      </c>
      <c r="H26" s="242">
        <f>+ABS('Nike Statement of SE'!$Q131)/'Nike Statement of SE'!$Q127</f>
        <v>0.1395218495489973</v>
      </c>
      <c r="I26" s="242">
        <f>+ABS('Nike Statement of SE'!$Q120)/'Nike Statement of SE'!$Q116</f>
        <v>0.10444646472994752</v>
      </c>
      <c r="J26" s="242">
        <f>+ABS('Nike Statement of SE'!$Q109)/'Nike Statement of SE'!$Q105</f>
        <v>5.1481128127563211E-2</v>
      </c>
      <c r="K26" s="239">
        <f>+ABS('Nike Statement of SE'!Q98)/'Nike Statement of SE'!Q94</f>
        <v>5.7690139868022849E-2</v>
      </c>
    </row>
    <row r="27" spans="2:11" ht="24" customHeight="1" thickBot="1">
      <c r="B27" s="153">
        <v>8</v>
      </c>
      <c r="C27" s="154" t="s">
        <v>154</v>
      </c>
      <c r="D27" s="154" t="s">
        <v>245</v>
      </c>
      <c r="E27" s="155" t="s">
        <v>155</v>
      </c>
      <c r="F27" s="244">
        <f>+('Nike Statement of SE'!$Q160-'Nike Statement of SE'!$Q149)/'Nike Statement of SE'!$Q149</f>
        <v>9.5372555630478709E-2</v>
      </c>
      <c r="G27" s="244">
        <f>+('Nike Statement of SE'!$Q149-'Nike Statement of SE'!$Q138)/'Nike Statement of SE'!$Q138</f>
        <v>0.11841877857558092</v>
      </c>
      <c r="H27" s="244">
        <f>+('Nike Statement of SE'!$Q138-'Nike Statement of SE'!$Q127)/'Nike Statement of SE'!$Q127</f>
        <v>0.11475610824065151</v>
      </c>
      <c r="I27" s="244">
        <f>+('Nike Statement of SE'!$Q127-'Nike Statement of SE'!$Q116)/'Nike Statement of SE'!$Q116</f>
        <v>0.17969750816149424</v>
      </c>
      <c r="J27" s="244">
        <f>+('Nike Statement of SE'!$Q116-'Nike Statement of SE'!$Q105)/'Nike Statement of SE'!$Q105</f>
        <v>0.20147956903827996</v>
      </c>
      <c r="K27" s="241">
        <f>('Nike Statement of SE'!Q105-'Nike Statement of SE'!Q94)/'Nike Statement of SE'!Q94</f>
        <v>4.7891574100569795E-2</v>
      </c>
    </row>
    <row r="28" spans="2:11">
      <c r="B28" s="102"/>
      <c r="C28" s="98"/>
      <c r="D28" s="98"/>
      <c r="E28" s="30"/>
      <c r="F28" s="30"/>
      <c r="G28" s="30"/>
      <c r="H28" s="30"/>
      <c r="I28" s="30"/>
      <c r="J28" s="102"/>
      <c r="K28" s="102"/>
    </row>
    <row r="29" spans="2:11">
      <c r="B29" s="102"/>
      <c r="C29" s="98"/>
      <c r="D29" s="98"/>
      <c r="E29" s="30"/>
      <c r="F29" s="30"/>
      <c r="G29" s="30"/>
      <c r="H29" s="30"/>
      <c r="I29" s="30"/>
      <c r="J29" s="102"/>
      <c r="K29" s="102"/>
    </row>
    <row r="30" spans="2:11">
      <c r="B30" s="104" t="s">
        <v>214</v>
      </c>
      <c r="C30" s="98"/>
      <c r="D30" s="98"/>
      <c r="E30" s="30"/>
      <c r="F30" s="30"/>
      <c r="G30" s="30"/>
      <c r="H30" s="30"/>
      <c r="I30" s="30"/>
      <c r="J30" s="102"/>
      <c r="K30" s="102"/>
    </row>
    <row r="31" spans="2:11" ht="13.5" thickBot="1">
      <c r="B31" s="102"/>
      <c r="C31" s="98"/>
      <c r="D31" s="98"/>
      <c r="E31" s="30"/>
      <c r="F31" s="30"/>
      <c r="G31" s="30"/>
      <c r="H31" s="30"/>
      <c r="I31" s="30"/>
      <c r="J31" s="102"/>
      <c r="K31" s="102"/>
    </row>
    <row r="32" spans="2:11" s="90" customFormat="1">
      <c r="B32" s="230" t="s">
        <v>148</v>
      </c>
      <c r="C32" s="229" t="s">
        <v>140</v>
      </c>
      <c r="D32" s="229" t="s">
        <v>141</v>
      </c>
      <c r="E32" s="229" t="s">
        <v>243</v>
      </c>
      <c r="F32" s="157" t="s">
        <v>58</v>
      </c>
      <c r="G32" s="157" t="s">
        <v>57</v>
      </c>
      <c r="H32" s="157" t="s">
        <v>56</v>
      </c>
      <c r="I32" s="157" t="s">
        <v>55</v>
      </c>
      <c r="J32" s="229" t="s">
        <v>1</v>
      </c>
      <c r="K32" s="255" t="s">
        <v>614</v>
      </c>
    </row>
    <row r="33" spans="2:11" ht="30" customHeight="1">
      <c r="B33" s="160">
        <v>9</v>
      </c>
      <c r="C33" s="158" t="s">
        <v>215</v>
      </c>
      <c r="D33" s="158" t="s">
        <v>247</v>
      </c>
      <c r="E33" s="159" t="s">
        <v>216</v>
      </c>
      <c r="F33" s="250">
        <f>+'Nike Income Statement'!S40/(('Nike Balance Sheet'!T32+'Nike Balance Sheet'!U32)/2)</f>
        <v>0.35043381360289472</v>
      </c>
      <c r="G33" s="250">
        <f>+'Nike Income Statement'!T40/(('Nike Balance Sheet'!U32+'Nike Balance Sheet'!V32)/2)</f>
        <v>0.33529378577624114</v>
      </c>
      <c r="H33" s="250">
        <f>+'Nike Income Statement'!U40/(('Nike Balance Sheet'!V32+'Nike Balance Sheet'!W32)/2)</f>
        <v>0.29493793821293735</v>
      </c>
      <c r="I33" s="250">
        <f>+'Nike Income Statement'!V40/(('Nike Balance Sheet'!W32+'Nike Balance Sheet'!X32)/2)</f>
        <v>0.29439962650445267</v>
      </c>
      <c r="J33" s="250">
        <f>+'Nike Income Statement'!W40/(('Nike Balance Sheet'!X32+'Nike Balance Sheet'!Y32)/2)</f>
        <v>0.23299489899506884</v>
      </c>
      <c r="K33" s="245">
        <f>+'Nike Income Statement'!X40/(('Nike Balance Sheet'!Y32+'Nike Balance Sheet'!Z32)/2)</f>
        <v>9.6428117790024609E-2</v>
      </c>
    </row>
    <row r="34" spans="2:11" ht="30" customHeight="1">
      <c r="B34" s="160">
        <v>10</v>
      </c>
      <c r="C34" s="158" t="s">
        <v>193</v>
      </c>
      <c r="D34" s="158" t="s">
        <v>194</v>
      </c>
      <c r="E34" s="159" t="s">
        <v>195</v>
      </c>
      <c r="F34" s="250">
        <f>+'Nike Income Statement'!S30/(('Nike Balance Sheet'!T32+'Nike Balance Sheet'!U32)/2)</f>
        <v>0.33427710770208136</v>
      </c>
      <c r="G34" s="250">
        <f>+'Nike Income Statement'!T30/(('Nike Balance Sheet'!U32+'Nike Balance Sheet'!V32)/2)</f>
        <v>0.29401526371780262</v>
      </c>
      <c r="H34" s="250">
        <f>+'Nike Income Statement'!U30/(('Nike Balance Sheet'!V32+'Nike Balance Sheet'!W32)/2)</f>
        <v>0.28259031291628722</v>
      </c>
      <c r="I34" s="250">
        <f>+'Nike Income Statement'!V30/(('Nike Balance Sheet'!W32+'Nike Balance Sheet'!X32)/2)</f>
        <v>0.27384535636555901</v>
      </c>
      <c r="J34" s="250">
        <f>+'Nike Income Statement'!W30/(('Nike Balance Sheet'!X32+'Nike Balance Sheet'!Y32)/2)</f>
        <v>0.21647196687184603</v>
      </c>
      <c r="K34" s="250">
        <f>+'Nike Income Statement'!X30/(('Nike Balance Sheet'!Y32+'Nike Balance Sheet'!Z32)/2)</f>
        <v>0.17246497978126221</v>
      </c>
    </row>
    <row r="35" spans="2:11" ht="24" customHeight="1">
      <c r="B35" s="160">
        <v>11</v>
      </c>
      <c r="C35" s="158" t="s">
        <v>217</v>
      </c>
      <c r="D35" s="158" t="s">
        <v>248</v>
      </c>
      <c r="E35" s="159" t="s">
        <v>218</v>
      </c>
      <c r="F35" s="250">
        <f>-'Nike Income Statement'!S49/(('Nike Balance Sheet'!T46+'Nike Balance Sheet'!U46)/2)</f>
        <v>2.3512998462814873E-2</v>
      </c>
      <c r="G35" s="250">
        <f>-'Nike Income Statement'!T49/(('Nike Balance Sheet'!U46+'Nike Balance Sheet'!V46)/2)</f>
        <v>2.356012630316287E-2</v>
      </c>
      <c r="H35" s="250">
        <f>-'Nike Income Statement'!U49/(('Nike Balance Sheet'!V46+'Nike Balance Sheet'!W46)/2)</f>
        <v>1.9600967620231252E-2</v>
      </c>
      <c r="I35" s="250">
        <f>-'Nike Income Statement'!V49/(('Nike Balance Sheet'!W46+'Nike Balance Sheet'!X46)/2)</f>
        <v>-4.9734611888214422E-3</v>
      </c>
      <c r="J35" s="250">
        <f>-'Nike Income Statement'!W49/(('Nike Balance Sheet'!X46+'Nike Balance Sheet'!Y46)/2)</f>
        <v>2.2871895567433929</v>
      </c>
      <c r="K35" s="245">
        <f>-'Nike Income Statement'!X49/(('Nike Balance Sheet'!Y46+'Nike Balance Sheet'!Z46)/2)</f>
        <v>3.9170882976987113E-2</v>
      </c>
    </row>
    <row r="36" spans="2:11" ht="24" customHeight="1">
      <c r="B36" s="160">
        <v>12</v>
      </c>
      <c r="C36" s="158" t="s">
        <v>249</v>
      </c>
      <c r="D36" s="158" t="s">
        <v>219</v>
      </c>
      <c r="E36" s="158" t="s">
        <v>220</v>
      </c>
      <c r="F36" s="251">
        <f>+'Nike Income Statement'!S40/'Nike Income Statement'!S15</f>
        <v>0.1010717990014495</v>
      </c>
      <c r="G36" s="251">
        <f>+'Nike Income Statement'!T40/'Nike Income Statement'!T15</f>
        <v>0.10119875780202009</v>
      </c>
      <c r="H36" s="251">
        <f>+'Nike Income Statement'!U40/'Nike Income Statement'!U15</f>
        <v>9.5513523995479757E-2</v>
      </c>
      <c r="I36" s="251">
        <f>+'Nike Income Statement'!V40/'Nike Income Statement'!V15</f>
        <v>9.9867333347889761E-2</v>
      </c>
      <c r="J36" s="251">
        <f>+'Nike Income Statement'!W40/'Nike Income Statement'!W15</f>
        <v>8.4444041126200797E-2</v>
      </c>
      <c r="K36" s="246">
        <f>+'Nike Income Statement'!X40/'Nike Income Statement'!X15</f>
        <v>3.9624816926864197E-2</v>
      </c>
    </row>
    <row r="37" spans="2:11" ht="24" customHeight="1">
      <c r="B37" s="160">
        <v>13</v>
      </c>
      <c r="C37" s="158" t="s">
        <v>221</v>
      </c>
      <c r="D37" s="158"/>
      <c r="E37" s="159" t="s">
        <v>222</v>
      </c>
      <c r="F37" s="250">
        <f>+'Nike Income Statement'!S51/'Nike Income Statement'!S15</f>
        <v>0.10370430020937349</v>
      </c>
      <c r="G37" s="250">
        <f>+'Nike Income Statement'!T51/'Nike Income Statement'!T15</f>
        <v>0.1038166349175237</v>
      </c>
      <c r="H37" s="250">
        <f>+'Nike Income Statement'!U51/'Nike Income Statement'!U15</f>
        <v>9.7078549505513242E-2</v>
      </c>
      <c r="I37" s="250">
        <f>+'Nike Income Statement'!V51/'Nike Income Statement'!V15</f>
        <v>0.10008952160527529</v>
      </c>
      <c r="J37" s="250">
        <f>+'Nike Income Statement'!W51/'Nike Income Statement'!W15</f>
        <v>8.316069242260743E-2</v>
      </c>
      <c r="K37" s="245">
        <f>+'Nike Income Statement'!X51/'Nike Income Statement'!X15</f>
        <v>3.7942102147019381E-2</v>
      </c>
    </row>
    <row r="38" spans="2:11" ht="30" customHeight="1">
      <c r="B38" s="160">
        <v>14</v>
      </c>
      <c r="C38" s="158" t="s">
        <v>250</v>
      </c>
      <c r="D38" s="158" t="s">
        <v>269</v>
      </c>
      <c r="E38" s="159" t="s">
        <v>223</v>
      </c>
      <c r="F38" s="251">
        <f>+(('Nike Balance Sheet'!T31+'Nike Balance Sheet'!U31)/2)/(('Nike Balance Sheet'!T32+'Nike Balance Sheet'!U32)/2)</f>
        <v>0.64570051768002923</v>
      </c>
      <c r="G38" s="251">
        <f>+(('Nike Balance Sheet'!U31+'Nike Balance Sheet'!V31)/2)/(('Nike Balance Sheet'!U32+'Nike Balance Sheet'!V32)/2)</f>
        <v>0.57933005405172855</v>
      </c>
      <c r="H38" s="251">
        <f>+(('Nike Balance Sheet'!V31+'Nike Balance Sheet'!W31)/2)/(('Nike Balance Sheet'!V32+'Nike Balance Sheet'!W32)/2)</f>
        <v>0.5154720597294693</v>
      </c>
      <c r="I38" s="251">
        <f>+(('Nike Balance Sheet'!W31+'Nike Balance Sheet'!X31)/2)/(('Nike Balance Sheet'!W32+'Nike Balance Sheet'!X32)/2)</f>
        <v>0.47873426890306292</v>
      </c>
      <c r="J38" s="251">
        <f>+(('Nike Balance Sheet'!X31+'Nike Balance Sheet'!Y31)/2)/(('Nike Balance Sheet'!X32+'Nike Balance Sheet'!Y32)/2)</f>
        <v>0.46230751471796022</v>
      </c>
      <c r="K38" s="246">
        <f>+(('Nike Balance Sheet'!Y31+'Nike Balance Sheet'!Z31)/2)/(('Nike Balance Sheet'!Y32+'Nike Balance Sheet'!Z32)/2)</f>
        <v>0.38320621975009528</v>
      </c>
    </row>
    <row r="39" spans="2:11" ht="24" customHeight="1">
      <c r="B39" s="160">
        <v>15</v>
      </c>
      <c r="C39" s="158" t="s">
        <v>224</v>
      </c>
      <c r="D39" s="158"/>
      <c r="E39" s="159" t="s">
        <v>225</v>
      </c>
      <c r="F39" s="250">
        <f>+'Nike Balance Sheet'!T32/'Nike Balance Sheet'!T48</f>
        <v>0.74456991522706584</v>
      </c>
      <c r="G39" s="250">
        <f>+'Nike Balance Sheet'!U32/'Nike Balance Sheet'!U48</f>
        <v>0.69385388570465267</v>
      </c>
      <c r="H39" s="250">
        <f>+'Nike Balance Sheet'!V32/'Nike Balance Sheet'!V48</f>
        <v>0.77236546891448143</v>
      </c>
      <c r="I39" s="250">
        <f>+'Nike Balance Sheet'!W32/'Nike Balance Sheet'!W48</f>
        <v>0.83548445573167529</v>
      </c>
      <c r="J39" s="250">
        <f>+'Nike Balance Sheet'!X32/'Nike Balance Sheet'!X48</f>
        <v>0.94042429439233033</v>
      </c>
      <c r="K39" s="245">
        <f>+'Nike Balance Sheet'!Y32/'Nike Balance Sheet'!Y48</f>
        <v>1.0749925525048409</v>
      </c>
    </row>
    <row r="40" spans="2:11" ht="24" customHeight="1">
      <c r="B40" s="160">
        <v>16</v>
      </c>
      <c r="C40" s="158" t="s">
        <v>270</v>
      </c>
      <c r="D40" s="158" t="s">
        <v>271</v>
      </c>
      <c r="E40" s="159" t="s">
        <v>283</v>
      </c>
      <c r="F40" s="250">
        <f>+ABS('Nike Balance Sheet'!T46+'Nike Balance Sheet'!U46)/('Nike Balance Sheet'!T48+'Nike Balance Sheet'!U48)</f>
        <v>0.27963390923657627</v>
      </c>
      <c r="G40" s="250">
        <f>+ABS('Nike Balance Sheet'!U46+'Nike Balance Sheet'!V46)/('Nike Balance Sheet'!U48+'Nike Balance Sheet'!V48)</f>
        <v>0.26908470603941237</v>
      </c>
      <c r="H40" s="250">
        <f>+ABS('Nike Balance Sheet'!V46+'Nike Balance Sheet'!W46)/('Nike Balance Sheet'!V48+'Nike Balance Sheet'!W48)</f>
        <v>0.19778759669377685</v>
      </c>
      <c r="I40" s="250">
        <f>+ABS('Nike Balance Sheet'!W46+'Nike Balance Sheet'!X46)/('Nike Balance Sheet'!W48+'Nike Balance Sheet'!X48)</f>
        <v>0.1163713232157584</v>
      </c>
      <c r="J40" s="250">
        <f>+ABS('Nike Balance Sheet'!X46+'Nike Balance Sheet'!Y46)/('Nike Balance Sheet'!X48+'Nike Balance Sheet'!Y48)</f>
        <v>1.5505751014884966E-3</v>
      </c>
      <c r="K40" s="245">
        <f>+ABS('Nike Balance Sheet'!Y46+'Nike Balance Sheet'!Z46)/('Nike Balance Sheet'!Y48+'Nike Balance Sheet'!Z48)</f>
        <v>0.11674478868945543</v>
      </c>
    </row>
    <row r="41" spans="2:11" ht="24" customHeight="1">
      <c r="B41" s="160">
        <v>17</v>
      </c>
      <c r="C41" s="158" t="s">
        <v>280</v>
      </c>
      <c r="D41" s="158"/>
      <c r="E41" s="159" t="s">
        <v>583</v>
      </c>
      <c r="F41" s="250">
        <f t="shared" ref="F41:K41" si="1">5*0.63%</f>
        <v>3.15E-2</v>
      </c>
      <c r="G41" s="250">
        <f t="shared" si="1"/>
        <v>3.15E-2</v>
      </c>
      <c r="H41" s="250">
        <f t="shared" si="1"/>
        <v>3.15E-2</v>
      </c>
      <c r="I41" s="250">
        <f t="shared" si="1"/>
        <v>3.15E-2</v>
      </c>
      <c r="J41" s="250">
        <f t="shared" si="1"/>
        <v>3.15E-2</v>
      </c>
      <c r="K41" s="245">
        <f t="shared" si="1"/>
        <v>3.15E-2</v>
      </c>
    </row>
    <row r="42" spans="2:11" ht="24" customHeight="1">
      <c r="B42" s="160">
        <v>18</v>
      </c>
      <c r="C42" s="158" t="s">
        <v>281</v>
      </c>
      <c r="D42" s="158"/>
      <c r="E42" s="159" t="s">
        <v>282</v>
      </c>
      <c r="F42" s="250">
        <f t="shared" ref="F42:K42" si="2">+F33-F35</f>
        <v>0.32692081514007987</v>
      </c>
      <c r="G42" s="250">
        <f t="shared" si="2"/>
        <v>0.3117336594730783</v>
      </c>
      <c r="H42" s="250">
        <f t="shared" si="2"/>
        <v>0.27533697059270612</v>
      </c>
      <c r="I42" s="250">
        <f t="shared" si="2"/>
        <v>0.29937308769327409</v>
      </c>
      <c r="J42" s="250">
        <f t="shared" si="2"/>
        <v>-2.0541946577483241</v>
      </c>
      <c r="K42" s="245">
        <f t="shared" si="2"/>
        <v>5.7257234813037496E-2</v>
      </c>
    </row>
    <row r="43" spans="2:11" ht="41.25">
      <c r="B43" s="160">
        <v>19</v>
      </c>
      <c r="C43" s="158" t="s">
        <v>241</v>
      </c>
      <c r="D43" s="158" t="s">
        <v>246</v>
      </c>
      <c r="E43" s="159" t="s">
        <v>285</v>
      </c>
      <c r="F43" s="250">
        <f>+('Nike Income Statement'!S40+'3. Financial Statement Analysis'!F50)/(('Nike Balance Sheet'!T25+'Nike Balance Sheet'!U25)/2)</f>
        <v>0.22529820944122986</v>
      </c>
      <c r="G43" s="250">
        <f>+('Nike Income Statement'!T40+'3. Financial Statement Analysis'!G50)/(('Nike Balance Sheet'!U25+'Nike Balance Sheet'!V25)/2)</f>
        <v>0.22385611010938875</v>
      </c>
      <c r="H43" s="250">
        <f>+('Nike Income Statement'!U40+'3. Financial Statement Analysis'!H50)/(('Nike Balance Sheet'!V25+'Nike Balance Sheet'!W25)/2)</f>
        <v>0.20533226336747135</v>
      </c>
      <c r="I43" s="250">
        <f>+('Nike Income Statement'!V40+'3. Financial Statement Analysis'!I50)/(('Nike Balance Sheet'!W25+'Nike Balance Sheet'!X25)/2)</f>
        <v>0.20928693037219848</v>
      </c>
      <c r="J43" s="250">
        <f>+('Nike Income Statement'!W40+'3. Financial Statement Analysis'!J50)/(('Nike Balance Sheet'!X25+'Nike Balance Sheet'!Y25)/2)</f>
        <v>0.16929242530524216</v>
      </c>
      <c r="K43" s="245">
        <f>+('Nike Income Statement'!X40+'3. Financial Statement Analysis'!K50)/(('Nike Balance Sheet'!Y25+'Nike Balance Sheet'!Z25)/2)</f>
        <v>7.8440302077122812E-2</v>
      </c>
    </row>
    <row r="44" spans="2:11" ht="30" customHeight="1">
      <c r="B44" s="160">
        <v>20</v>
      </c>
      <c r="C44" s="158" t="s">
        <v>242</v>
      </c>
      <c r="D44" s="158" t="s">
        <v>272</v>
      </c>
      <c r="E44" s="159" t="s">
        <v>275</v>
      </c>
      <c r="F44" s="250">
        <f t="shared" ref="F44:K44" si="3">+F43-F41</f>
        <v>0.19379820944122986</v>
      </c>
      <c r="G44" s="250">
        <f t="shared" si="3"/>
        <v>0.19235611010938874</v>
      </c>
      <c r="H44" s="250">
        <f t="shared" si="3"/>
        <v>0.17383226336747135</v>
      </c>
      <c r="I44" s="250">
        <f t="shared" si="3"/>
        <v>0.17778693037219848</v>
      </c>
      <c r="J44" s="250">
        <f t="shared" si="3"/>
        <v>0.13779242530524216</v>
      </c>
      <c r="K44" s="245">
        <f t="shared" si="3"/>
        <v>4.6940302077122811E-2</v>
      </c>
    </row>
    <row r="45" spans="2:11" ht="24" customHeight="1">
      <c r="B45" s="160">
        <v>21</v>
      </c>
      <c r="C45" s="158" t="s">
        <v>273</v>
      </c>
      <c r="D45" s="158" t="s">
        <v>274</v>
      </c>
      <c r="E45" s="159" t="s">
        <v>276</v>
      </c>
      <c r="F45" s="252">
        <f>+'Nike Income Statement'!S15/(('Nike Balance Sheet'!T32+'Nike Balance Sheet'!U32)/2)</f>
        <v>3.4671769679084172</v>
      </c>
      <c r="G45" s="252">
        <f>+'Nike Income Statement'!T15/(('Nike Balance Sheet'!U32+'Nike Balance Sheet'!V32)/2)</f>
        <v>3.3132203700779832</v>
      </c>
      <c r="H45" s="252">
        <f>+'Nike Income Statement'!U15/(('Nike Balance Sheet'!V32+'Nike Balance Sheet'!W32)/2)</f>
        <v>3.0879180861015607</v>
      </c>
      <c r="I45" s="252">
        <f>+'Nike Income Statement'!V15/(('Nike Balance Sheet'!W32+'Nike Balance Sheet'!X32)/2)</f>
        <v>2.9479071547740836</v>
      </c>
      <c r="J45" s="252">
        <f>+'Nike Income Statement'!W15/(('Nike Balance Sheet'!X32+'Nike Balance Sheet'!Y32)/2)</f>
        <v>2.7591632978206269</v>
      </c>
      <c r="K45" s="247">
        <f>+'Nike Income Statement'!X15/(('Nike Balance Sheet'!Y32+'Nike Balance Sheet'!Z32)/2)</f>
        <v>2.4335284114498914</v>
      </c>
    </row>
    <row r="46" spans="2:11" ht="30" customHeight="1">
      <c r="B46" s="160">
        <v>22</v>
      </c>
      <c r="C46" s="158" t="s">
        <v>226</v>
      </c>
      <c r="D46" s="158"/>
      <c r="E46" s="159" t="s">
        <v>230</v>
      </c>
      <c r="F46" s="250">
        <f>+'Nike Income Statement'!S15/'Nike Income Statement'!T15-1</f>
        <v>0.14094781910951304</v>
      </c>
      <c r="G46" s="250">
        <f>+'Nike Income Statement'!T15/'Nike Income Statement'!U15-1</f>
        <v>9.1675638085176203E-2</v>
      </c>
      <c r="H46" s="250">
        <f>+'Nike Income Statement'!U15/'Nike Income Statement'!V15-1</f>
        <v>8.8444434740205358E-2</v>
      </c>
      <c r="I46" s="250">
        <f>+'Nike Income Statement'!V15/'Nike Income Statement'!W15-1</f>
        <v>0.12132439953970842</v>
      </c>
      <c r="J46" s="250">
        <f>+'Nike Income Statement'!W15/'Nike Income Statement'!X15-1</f>
        <v>0.14547069271758439</v>
      </c>
      <c r="K46" s="245">
        <f>+'Nike Income Statement'!X15/'Nike Income Statement'!Y15-1</f>
        <v>8.1269584554735763E-2</v>
      </c>
    </row>
    <row r="47" spans="2:11" ht="30" customHeight="1">
      <c r="B47" s="160">
        <v>23</v>
      </c>
      <c r="C47" s="158" t="s">
        <v>227</v>
      </c>
      <c r="D47" s="158"/>
      <c r="E47" s="159" t="s">
        <v>231</v>
      </c>
      <c r="F47" s="250">
        <f>+'Nike Income Statement'!S40/'Nike Income Statement'!T40-1</f>
        <v>0.13951644416209374</v>
      </c>
      <c r="G47" s="250">
        <f>+'Nike Income Statement'!T40/'Nike Income Statement'!U40-1</f>
        <v>0.15665524499102168</v>
      </c>
      <c r="H47" s="250">
        <f>+'Nike Income Statement'!U40/'Nike Income Statement'!V40-1</f>
        <v>4.09926864989405E-2</v>
      </c>
      <c r="I47" s="250">
        <f>+'Nike Income Statement'!V40/'Nike Income Statement'!W40-1</f>
        <v>0.32612883166730322</v>
      </c>
      <c r="J47" s="250">
        <f>+'Nike Income Statement'!W40/'Nike Income Statement'!X40-1</f>
        <v>1.441100850086785</v>
      </c>
      <c r="K47" s="245">
        <f>+'Nike Income Statement'!X40/'Nike Income Statement'!Y40-1</f>
        <v>-0.31732010752023077</v>
      </c>
    </row>
    <row r="48" spans="2:11" ht="24" customHeight="1">
      <c r="B48" s="160">
        <v>24</v>
      </c>
      <c r="C48" s="158" t="s">
        <v>228</v>
      </c>
      <c r="D48" s="158"/>
      <c r="E48" s="159" t="s">
        <v>232</v>
      </c>
      <c r="F48" s="250">
        <f>+'Nike Balance Sheet'!T32/'Nike Balance Sheet'!U32-1</f>
        <v>0.17543688619624187</v>
      </c>
      <c r="G48" s="250">
        <f>+'Nike Balance Sheet'!U32/'Nike Balance Sheet'!V32-1</f>
        <v>4.7305926951550781E-3</v>
      </c>
      <c r="H48" s="250">
        <f>+'Nike Balance Sheet'!V32/'Nike Balance Sheet'!W32-1</f>
        <v>3.0538771080490967E-2</v>
      </c>
      <c r="I48" s="250">
        <f>+'Nike Balance Sheet'!W32/'Nike Balance Sheet'!X32-1</f>
        <v>4.8057708006354893E-2</v>
      </c>
      <c r="J48" s="250">
        <f>+'Nike Balance Sheet'!X32/'Nike Balance Sheet'!Y32-1</f>
        <v>5.1077584962652578E-2</v>
      </c>
      <c r="K48" s="245">
        <f>+'Nike Balance Sheet'!Y32/'Nike Balance Sheet'!Z32-1</f>
        <v>-2.9315869640993752E-2</v>
      </c>
    </row>
    <row r="49" spans="2:11" s="16" customFormat="1" ht="24" customHeight="1">
      <c r="B49" s="160">
        <v>25</v>
      </c>
      <c r="C49" s="158" t="s">
        <v>229</v>
      </c>
      <c r="D49" s="158"/>
      <c r="E49" s="159" t="s">
        <v>155</v>
      </c>
      <c r="F49" s="250">
        <f>+'Nike Balance Sheet'!T48/'Nike Balance Sheet'!U48-1</f>
        <v>9.537255563047875E-2</v>
      </c>
      <c r="G49" s="250">
        <f>+'Nike Balance Sheet'!U48/'Nike Balance Sheet'!V48-1</f>
        <v>0.11841877857558081</v>
      </c>
      <c r="H49" s="250">
        <f>+'Nike Balance Sheet'!V48/'Nike Balance Sheet'!W48-1</f>
        <v>0.11475610824065186</v>
      </c>
      <c r="I49" s="250">
        <f>+'Nike Balance Sheet'!W48/'Nike Balance Sheet'!X48-1</f>
        <v>0.17969750816149377</v>
      </c>
      <c r="J49" s="250">
        <f>+'Nike Balance Sheet'!X48/'Nike Balance Sheet'!Y48-1</f>
        <v>0.20147956903828024</v>
      </c>
      <c r="K49" s="245">
        <f>+'Nike Balance Sheet'!Y48/'Nike Balance Sheet'!Z48-1</f>
        <v>4.7891574100569656E-2</v>
      </c>
    </row>
    <row r="50" spans="2:11" ht="30" customHeight="1">
      <c r="B50" s="160">
        <v>26</v>
      </c>
      <c r="C50" s="159" t="s">
        <v>286</v>
      </c>
      <c r="D50" s="159"/>
      <c r="E50" s="159" t="s">
        <v>584</v>
      </c>
      <c r="F50" s="253">
        <f>+F41*('Nike Balance Sheet'!T31+'Nike Balance Sheet'!U31)/2</f>
        <v>109.271925</v>
      </c>
      <c r="G50" s="253">
        <f>+G41*('Nike Balance Sheet'!U31+'Nike Balance Sheet'!V31)/2</f>
        <v>89.921475000000001</v>
      </c>
      <c r="H50" s="253">
        <f>+H41*('Nike Balance Sheet'!V31+'Nike Balance Sheet'!W31)/2</f>
        <v>78.63817499999999</v>
      </c>
      <c r="I50" s="253">
        <f>+I41*('Nike Balance Sheet'!W31+'Nike Balance Sheet'!X31)/2</f>
        <v>70.28595</v>
      </c>
      <c r="J50" s="253">
        <f>+J41*('Nike Balance Sheet'!X31+'Nike Balance Sheet'!Y31)/2</f>
        <v>64.671075000000002</v>
      </c>
      <c r="K50" s="248">
        <f>+K41*('Nike Balance Sheet'!Y31+'Nike Balance Sheet'!Z31)/2</f>
        <v>53.060174999999994</v>
      </c>
    </row>
    <row r="51" spans="2:11" ht="24" customHeight="1" thickBot="1">
      <c r="B51" s="161">
        <v>27</v>
      </c>
      <c r="C51" s="154" t="s">
        <v>451</v>
      </c>
      <c r="D51" s="162" t="s">
        <v>452</v>
      </c>
      <c r="E51" s="163" t="s">
        <v>453</v>
      </c>
      <c r="F51" s="254">
        <f>+('Nike Income Statement'!C28+'Nike Income Statement'!C19*(1-'Nike Income Statement'!W57))/(('Nike Balance Sheet'!D29+'Nike Balance Sheet'!E29)/2)</f>
        <v>0.15865324456357283</v>
      </c>
      <c r="G51" s="254">
        <f>+('Nike Income Statement'!D28+'Nike Income Statement'!D19*(1-'Nike Income Statement'!X57))/(('Nike Balance Sheet'!E29+'Nike Balance Sheet'!F29)/2)</f>
        <v>0.14099019841520793</v>
      </c>
      <c r="H51" s="254">
        <f>+('Nike Income Statement'!E28+'Nike Income Statement'!E19*(1-'Nike Income Statement'!Y57))/(('Nike Balance Sheet'!F29+'Nike Balance Sheet'!G29)/2)</f>
        <v>0.14669004243645234</v>
      </c>
      <c r="I51" s="254">
        <f>+('Nike Income Statement'!F28+'Nike Income Statement'!F19*(1-'Nike Income Statement'!Z57))/(('Nike Balance Sheet'!G29+'Nike Balance Sheet'!H29)/2)</f>
        <v>0.14544334612598278</v>
      </c>
      <c r="J51" s="254">
        <f>+('Nike Income Statement'!G28+'Nike Income Statement'!G19*(1-'Nike Income Statement'!AA57))/(('Nike Balance Sheet'!H29+'Nike Balance Sheet'!I29)/2)</f>
        <v>0.1305279094081386</v>
      </c>
      <c r="K51" s="249">
        <f>+('Nike Income Statement'!H28+'Nike Income Statement'!H19*(1-'Nike Income Statement'!AB57))/(('Nike Balance Sheet'!I29+'Nike Balance Sheet'!J29)/2)</f>
        <v>7.5531064542157134E-2</v>
      </c>
    </row>
    <row r="52" spans="2:11">
      <c r="B52" s="102"/>
      <c r="C52" s="98"/>
      <c r="D52" s="98"/>
      <c r="E52" s="98"/>
      <c r="F52" s="98"/>
      <c r="G52" s="98"/>
      <c r="H52" s="98"/>
      <c r="I52" s="98"/>
      <c r="J52" s="102"/>
      <c r="K52" s="98"/>
    </row>
    <row r="53" spans="2:11">
      <c r="B53" s="102"/>
      <c r="C53" s="98"/>
      <c r="D53" s="98"/>
      <c r="E53" s="98"/>
      <c r="F53" s="98"/>
      <c r="G53" s="98"/>
      <c r="H53" s="98"/>
      <c r="I53" s="98"/>
      <c r="J53" s="102"/>
      <c r="K53" s="98"/>
    </row>
    <row r="54" spans="2:11">
      <c r="B54" s="102"/>
      <c r="C54" s="98"/>
      <c r="D54" s="98"/>
      <c r="E54" s="98"/>
      <c r="F54" s="98"/>
      <c r="G54" s="98"/>
      <c r="H54" s="98"/>
      <c r="I54" s="98"/>
      <c r="J54" s="102"/>
      <c r="K54" s="98"/>
    </row>
    <row r="100" spans="16:18">
      <c r="P100" s="51"/>
      <c r="Q100" s="51"/>
      <c r="R100" s="51"/>
    </row>
  </sheetData>
  <mergeCells count="2">
    <mergeCell ref="B12:E12"/>
    <mergeCell ref="B14:E14"/>
  </mergeCells>
  <phoneticPr fontId="0" type="noConversion"/>
  <pageMargins left="0.75" right="0.75" top="1" bottom="1" header="0.5" footer="0.5"/>
  <pageSetup scale="61" orientation="landscape" r:id="rId1"/>
  <headerFooter alignWithMargins="0">
    <oddFooter>&amp;C&amp;8Financial Statement Analysis and Security Valuation: Roadmap&amp;R&amp;8Stephen H. Penman 2003</oddFooter>
  </headerFooter>
</worksheet>
</file>

<file path=xl/worksheets/sheet12.xml><?xml version="1.0" encoding="utf-8"?>
<worksheet xmlns="http://schemas.openxmlformats.org/spreadsheetml/2006/main" xmlns:r="http://schemas.openxmlformats.org/officeDocument/2006/relationships">
  <sheetPr codeName="Sheet11">
    <pageSetUpPr fitToPage="1"/>
  </sheetPr>
  <dimension ref="B1:P225"/>
  <sheetViews>
    <sheetView workbookViewId="0"/>
  </sheetViews>
  <sheetFormatPr defaultRowHeight="12.75"/>
  <cols>
    <col min="1" max="1" width="2" customWidth="1"/>
    <col min="3" max="3" width="28.42578125" customWidth="1"/>
    <col min="4" max="4" width="26.42578125" customWidth="1"/>
    <col min="5" max="16" width="17.85546875" customWidth="1"/>
  </cols>
  <sheetData>
    <row r="1" spans="2:11" ht="10.5" customHeight="1"/>
    <row r="2" spans="2:11" ht="15.75">
      <c r="B2" s="1" t="s">
        <v>290</v>
      </c>
    </row>
    <row r="3" spans="2:11" ht="15">
      <c r="B3" s="2" t="s">
        <v>709</v>
      </c>
    </row>
    <row r="4" spans="2:11">
      <c r="B4" s="14"/>
    </row>
    <row r="5" spans="2:11" ht="15.75">
      <c r="B5" s="1" t="s">
        <v>495</v>
      </c>
    </row>
    <row r="6" spans="2:11" ht="15.75">
      <c r="B6" s="1"/>
    </row>
    <row r="7" spans="2:11" ht="15.75">
      <c r="B7" s="1"/>
    </row>
    <row r="8" spans="2:11" ht="15.75">
      <c r="B8" s="32" t="s">
        <v>505</v>
      </c>
    </row>
    <row r="10" spans="2:11" ht="15.75">
      <c r="B10" s="32" t="s">
        <v>548</v>
      </c>
    </row>
    <row r="12" spans="2:11">
      <c r="B12" s="104" t="s">
        <v>2</v>
      </c>
      <c r="C12" s="98"/>
      <c r="D12" s="98"/>
      <c r="E12" s="98"/>
      <c r="F12" s="98"/>
      <c r="G12" s="98"/>
      <c r="H12" s="98"/>
      <c r="I12" s="98"/>
      <c r="J12" s="102"/>
      <c r="K12" s="98"/>
    </row>
    <row r="13" spans="2:11">
      <c r="B13" s="104" t="s">
        <v>240</v>
      </c>
      <c r="C13" s="98"/>
      <c r="D13" s="98"/>
      <c r="E13" s="98"/>
      <c r="F13" s="98"/>
      <c r="G13" s="98"/>
      <c r="H13" s="98"/>
      <c r="I13" s="98"/>
      <c r="J13" s="102"/>
      <c r="K13" s="98"/>
    </row>
    <row r="14" spans="2:11">
      <c r="B14" s="102"/>
      <c r="C14" s="92"/>
      <c r="D14" s="92"/>
      <c r="E14" s="92"/>
      <c r="F14" s="92"/>
      <c r="G14" s="92"/>
      <c r="H14" s="92"/>
      <c r="I14" s="92"/>
      <c r="J14" s="103"/>
      <c r="K14" s="98"/>
    </row>
    <row r="15" spans="2:11">
      <c r="B15" s="102"/>
      <c r="C15" s="108" t="s">
        <v>278</v>
      </c>
      <c r="D15" s="102" t="s">
        <v>151</v>
      </c>
      <c r="E15" s="98"/>
      <c r="F15" s="109" t="s">
        <v>215</v>
      </c>
      <c r="G15" s="108"/>
      <c r="K15" s="102"/>
    </row>
    <row r="16" spans="2:11">
      <c r="B16" s="102"/>
      <c r="C16" s="98"/>
      <c r="D16" s="110">
        <f>+'3. Financial Statement Analysis'!J25</f>
        <v>0.22980971590515339</v>
      </c>
      <c r="E16" s="98"/>
      <c r="F16" s="110">
        <f>+'3. Financial Statement Analysis'!J33</f>
        <v>0.23299489899506884</v>
      </c>
      <c r="G16" s="98"/>
      <c r="K16" s="98"/>
    </row>
    <row r="17" spans="2:11">
      <c r="B17" s="102"/>
      <c r="C17" s="98"/>
      <c r="D17" s="110"/>
      <c r="E17" s="98"/>
      <c r="F17" s="110"/>
      <c r="G17" s="98"/>
      <c r="K17" s="98"/>
    </row>
    <row r="18" spans="2:11">
      <c r="B18" s="102"/>
      <c r="C18" s="98" t="s">
        <v>277</v>
      </c>
      <c r="D18" s="102" t="s">
        <v>279</v>
      </c>
      <c r="E18" s="98"/>
      <c r="F18" s="164" t="s">
        <v>284</v>
      </c>
      <c r="G18" s="98"/>
      <c r="K18" s="98"/>
    </row>
    <row r="19" spans="2:11">
      <c r="B19" s="102"/>
      <c r="C19" s="98"/>
      <c r="D19" s="110">
        <f>+'3. Financial Statement Analysis'!J33+('3. Financial Statement Analysis'!J40*('3. Financial Statement Analysis'!J33-'3. Financial Statement Analysis'!J35))</f>
        <v>0.22980971590515362</v>
      </c>
      <c r="E19" s="98"/>
      <c r="F19" s="110">
        <f>+'3. Financial Statement Analysis'!J43+('3. Financial Statement Analysis'!J44*'3. Financial Statement Analysis'!J38)</f>
        <v>0.23299489899506884</v>
      </c>
      <c r="G19" s="98"/>
      <c r="K19" s="98"/>
    </row>
    <row r="20" spans="2:11">
      <c r="B20" s="102"/>
      <c r="C20" s="98"/>
      <c r="D20" s="110"/>
      <c r="E20" s="98"/>
      <c r="F20" s="110"/>
      <c r="G20" s="98"/>
      <c r="K20" s="98"/>
    </row>
    <row r="21" spans="2:11">
      <c r="B21" s="102"/>
      <c r="C21" s="98" t="s">
        <v>287</v>
      </c>
      <c r="D21" s="102" t="s">
        <v>454</v>
      </c>
      <c r="E21" s="102"/>
      <c r="F21" s="102"/>
      <c r="G21" s="98"/>
      <c r="K21" s="98"/>
    </row>
    <row r="22" spans="2:11">
      <c r="B22" s="102"/>
      <c r="C22" s="98"/>
      <c r="D22" s="102" t="s">
        <v>289</v>
      </c>
      <c r="E22" s="102" t="s">
        <v>288</v>
      </c>
      <c r="F22" s="102"/>
      <c r="G22" s="98"/>
      <c r="K22" s="98"/>
    </row>
    <row r="23" spans="2:11">
      <c r="B23" s="102"/>
      <c r="C23" s="98"/>
      <c r="D23" s="110">
        <f>+'3. Financial Statement Analysis'!J36</f>
        <v>8.4444041126200797E-2</v>
      </c>
      <c r="E23" s="111">
        <f>+'3. Financial Statement Analysis'!J45</f>
        <v>2.7591632978206269</v>
      </c>
      <c r="F23" s="102"/>
      <c r="G23" s="98"/>
      <c r="K23" s="102"/>
    </row>
    <row r="24" spans="2:11">
      <c r="B24" s="102"/>
      <c r="C24" s="98"/>
      <c r="D24" s="110"/>
      <c r="E24" s="111"/>
      <c r="F24" s="102"/>
      <c r="G24" s="98"/>
      <c r="K24" s="102"/>
    </row>
    <row r="25" spans="2:11">
      <c r="B25" s="102"/>
      <c r="C25" s="98" t="s">
        <v>300</v>
      </c>
      <c r="D25" s="98"/>
      <c r="E25" s="98"/>
      <c r="F25" s="98"/>
      <c r="G25" s="98"/>
      <c r="H25" s="102"/>
      <c r="I25" s="98"/>
      <c r="J25" s="102"/>
      <c r="K25" s="98"/>
    </row>
    <row r="26" spans="2:11">
      <c r="B26" s="102"/>
      <c r="C26" s="92" t="s">
        <v>301</v>
      </c>
      <c r="D26" s="92"/>
      <c r="E26" s="92"/>
      <c r="F26" s="92"/>
      <c r="G26" s="92"/>
      <c r="H26" s="103"/>
      <c r="I26" s="92"/>
      <c r="J26" s="103"/>
      <c r="K26" s="98"/>
    </row>
    <row r="27" spans="2:11">
      <c r="B27" s="102"/>
      <c r="C27" s="98"/>
      <c r="D27" s="98"/>
      <c r="E27" s="98"/>
      <c r="F27" s="98"/>
      <c r="G27" s="98"/>
      <c r="H27" s="102"/>
      <c r="I27" s="98"/>
      <c r="J27" s="102"/>
      <c r="K27" s="98"/>
    </row>
    <row r="28" spans="2:11">
      <c r="B28" s="102"/>
      <c r="C28" s="98" t="s">
        <v>295</v>
      </c>
      <c r="D28" s="98"/>
      <c r="E28" s="98"/>
      <c r="F28" s="98"/>
      <c r="G28" s="98"/>
      <c r="H28" s="102"/>
      <c r="I28" s="98"/>
      <c r="J28" s="102"/>
      <c r="K28" s="98"/>
    </row>
    <row r="29" spans="2:11">
      <c r="B29" s="102"/>
      <c r="C29" s="98"/>
      <c r="D29" s="98"/>
      <c r="E29" s="98"/>
      <c r="F29" s="98"/>
      <c r="G29" s="98"/>
      <c r="H29" s="102"/>
      <c r="I29" s="98"/>
      <c r="J29" s="102"/>
      <c r="K29" s="98"/>
    </row>
    <row r="30" spans="2:11">
      <c r="B30" s="102"/>
      <c r="C30" s="98"/>
      <c r="D30" s="98"/>
      <c r="E30" s="98"/>
      <c r="F30" s="98"/>
      <c r="G30" s="98"/>
      <c r="H30" s="102"/>
      <c r="I30" s="98"/>
      <c r="J30" s="102"/>
      <c r="K30" s="98"/>
    </row>
    <row r="31" spans="2:11">
      <c r="B31" s="104" t="s">
        <v>302</v>
      </c>
      <c r="C31" s="98"/>
      <c r="D31" s="98"/>
      <c r="E31" s="98"/>
      <c r="F31" s="98"/>
      <c r="G31" s="98"/>
      <c r="H31" s="102"/>
      <c r="I31" s="98"/>
      <c r="J31" s="102"/>
      <c r="K31" s="98"/>
    </row>
    <row r="32" spans="2:11">
      <c r="B32" s="102"/>
      <c r="C32" s="98"/>
      <c r="D32" s="98"/>
      <c r="E32" s="98"/>
      <c r="F32" s="98"/>
      <c r="G32" s="98"/>
      <c r="H32" s="98"/>
      <c r="I32" s="98"/>
      <c r="J32" s="102"/>
      <c r="K32" s="98"/>
    </row>
    <row r="33" spans="2:16">
      <c r="B33" s="102"/>
      <c r="C33" s="104" t="s">
        <v>456</v>
      </c>
      <c r="D33" s="104"/>
      <c r="E33" s="104"/>
      <c r="F33" s="104"/>
      <c r="G33" s="104"/>
      <c r="H33" s="98"/>
      <c r="I33" s="98"/>
      <c r="J33" s="98"/>
      <c r="K33" s="102"/>
    </row>
    <row r="34" spans="2:16">
      <c r="B34" s="102"/>
      <c r="C34" s="112"/>
      <c r="D34" s="112">
        <v>2008</v>
      </c>
      <c r="E34" s="112">
        <v>2007</v>
      </c>
      <c r="F34" s="112">
        <v>2006</v>
      </c>
      <c r="G34" s="112">
        <v>2005</v>
      </c>
      <c r="H34" s="112">
        <v>2004</v>
      </c>
      <c r="I34" s="112">
        <v>2003</v>
      </c>
      <c r="J34" s="112">
        <v>2002</v>
      </c>
      <c r="K34" s="55">
        <v>2001</v>
      </c>
      <c r="L34" s="112">
        <v>2000</v>
      </c>
      <c r="M34" s="112">
        <v>1999</v>
      </c>
      <c r="N34" s="112">
        <v>1998</v>
      </c>
      <c r="O34" s="112">
        <v>1997</v>
      </c>
      <c r="P34" s="55">
        <v>1996</v>
      </c>
    </row>
    <row r="35" spans="2:16">
      <c r="B35" s="102"/>
      <c r="C35" s="113" t="s">
        <v>3</v>
      </c>
      <c r="D35" s="114">
        <f>('Nike Balance Sheet'!T32+'Nike Balance Sheet'!U32)/2</f>
        <v>5372.3822499999997</v>
      </c>
      <c r="E35" s="114">
        <f>('Nike Balance Sheet'!U32+'Nike Balance Sheet'!V32)/2</f>
        <v>4927.5019999999995</v>
      </c>
      <c r="F35" s="114">
        <f>('Nike Balance Sheet'!V32+'Nike Balance Sheet'!W32)/2</f>
        <v>4843.0364999999993</v>
      </c>
      <c r="G35" s="114">
        <f>('Nike Balance Sheet'!W32+'Nike Balance Sheet'!X32)/2</f>
        <v>4660.8319999999994</v>
      </c>
      <c r="H35" s="114">
        <f>('Nike Balance Sheet'!X32+'Nike Balance Sheet'!Y32)/2</f>
        <v>4440.8752500000001</v>
      </c>
      <c r="I35" s="114">
        <f>('Nike Balance Sheet'!Y32+'Nike Balance Sheet'!Z32)/2</f>
        <v>4395.6749999999993</v>
      </c>
      <c r="J35" s="114">
        <f>('Nike Balance Sheet'!Z32+'Nike Balance Sheet'!AA32)/2</f>
        <v>4518.1044999999995</v>
      </c>
      <c r="K35" s="114">
        <f>('Nike Balance Sheet'!AA32+'Nike Balance Sheet'!AB32)/2</f>
        <v>4509.1597499999998</v>
      </c>
      <c r="L35" s="114">
        <f>('Nike Balance Sheet'!AB32+'Nike Balance Sheet'!AC32)/2</f>
        <v>4264.03</v>
      </c>
      <c r="M35" s="114">
        <f>('Nike Balance Sheet'!AC32+'Nike Balance Sheet'!AD32)/2</f>
        <v>4213.625</v>
      </c>
      <c r="N35" s="114">
        <f>('Nike Balance Sheet'!AD32+'Nike Balance Sheet'!AE32)/2</f>
        <v>4182.2989999999991</v>
      </c>
      <c r="O35" s="114">
        <f>('Nike Balance Sheet'!AE32+'Nike Balance Sheet'!AF32)/2</f>
        <v>3461.7527499999992</v>
      </c>
      <c r="P35" s="114">
        <f>'Nike Balance Sheet'!AF32</f>
        <v>2901.2729999999992</v>
      </c>
    </row>
    <row r="36" spans="2:16">
      <c r="B36" s="102"/>
      <c r="C36" s="113" t="s">
        <v>4</v>
      </c>
      <c r="D36" s="114">
        <f>-('Nike Balance Sheet'!T46+'Nike Balance Sheet'!U46)/2</f>
        <v>-2085.4677500000003</v>
      </c>
      <c r="E36" s="114">
        <f>-('Nike Balance Sheet'!U46+'Nike Balance Sheet'!V46)/2</f>
        <v>-1814.0480000000002</v>
      </c>
      <c r="F36" s="114">
        <f>-('Nike Balance Sheet'!V46+'Nike Balance Sheet'!W46)/2</f>
        <v>-1194.0635</v>
      </c>
      <c r="G36" s="114">
        <f>-('Nike Balance Sheet'!W46+'Nike Balance Sheet'!X46)/2</f>
        <v>-613.81799999999998</v>
      </c>
      <c r="H36" s="114">
        <f>-('Nike Balance Sheet'!X46+'Nike Balance Sheet'!Y46)/2</f>
        <v>6.8752499999999941</v>
      </c>
      <c r="I36" s="114">
        <f>-('Nike Balance Sheet'!Y46+'Nike Balance Sheet'!Z46)/2</f>
        <v>459.52499999999992</v>
      </c>
      <c r="J36" s="114">
        <f>-('Nike Balance Sheet'!Z46+'Nike Balance Sheet'!AA46)/2</f>
        <v>843.85449999999992</v>
      </c>
      <c r="K36" s="114">
        <f>-('Nike Balance Sheet'!AA46+'Nike Balance Sheet'!AB46)/2</f>
        <v>1183.1097500000001</v>
      </c>
      <c r="L36" s="114">
        <f>-('Nike Balance Sheet'!AB46+'Nike Balance Sheet'!AC46)/2</f>
        <v>1022.88</v>
      </c>
      <c r="M36" s="114">
        <f>-('Nike Balance Sheet'!AC46+'Nike Balance Sheet'!AD46)/2</f>
        <v>915.52500000000009</v>
      </c>
      <c r="N36" s="114">
        <f>-('Nike Balance Sheet'!AD46+'Nike Balance Sheet'!AE46)/2</f>
        <v>973.54900000000009</v>
      </c>
      <c r="O36" s="114">
        <f>-('Nike Balance Sheet'!AE46+'Nike Balance Sheet'!AF46)/2</f>
        <v>668.10874999999987</v>
      </c>
      <c r="P36" s="114">
        <f>-'Nike Balance Sheet'!AF46</f>
        <v>469.88499999999988</v>
      </c>
    </row>
    <row r="37" spans="2:16">
      <c r="B37" s="102"/>
      <c r="C37" s="113" t="s">
        <v>5</v>
      </c>
      <c r="D37" s="114">
        <f>+('Nike Balance Sheet'!T48+'Nike Balance Sheet'!U48)/2</f>
        <v>7457.85</v>
      </c>
      <c r="E37" s="114">
        <f>+('Nike Balance Sheet'!U48+'Nike Balance Sheet'!V48)/2</f>
        <v>6741.5499999999993</v>
      </c>
      <c r="F37" s="114">
        <f>+('Nike Balance Sheet'!V48+'Nike Balance Sheet'!W48)/2</f>
        <v>6037.0999999999985</v>
      </c>
      <c r="G37" s="114">
        <f>+('Nike Balance Sheet'!W48+'Nike Balance Sheet'!X48)/2</f>
        <v>5274.65</v>
      </c>
      <c r="H37" s="114">
        <f>+('Nike Balance Sheet'!X48+'Nike Balance Sheet'!Y48)/2</f>
        <v>4434</v>
      </c>
      <c r="I37" s="114">
        <f>+('Nike Balance Sheet'!Y48+'Nike Balance Sheet'!Z48)/2</f>
        <v>3936.1499999999996</v>
      </c>
      <c r="J37" s="114">
        <f>+('Nike Balance Sheet'!Z48+'Nike Balance Sheet'!AA48)/2</f>
        <v>3674.25</v>
      </c>
      <c r="K37" s="114">
        <f>+('Nike Balance Sheet'!AA48+'Nike Balance Sheet'!AB48)/2</f>
        <v>3326.05</v>
      </c>
      <c r="L37" s="114">
        <f>+('Nike Balance Sheet'!AB48+'Nike Balance Sheet'!AC48)/2</f>
        <v>3241.1499999999996</v>
      </c>
      <c r="M37" s="114">
        <f>+('Nike Balance Sheet'!AC48+'Nike Balance Sheet'!AD48)/2</f>
        <v>3298.0999999999995</v>
      </c>
      <c r="N37" s="114">
        <f>+('Nike Balance Sheet'!AD48+'Nike Balance Sheet'!AE48)/2</f>
        <v>3208.7499999999991</v>
      </c>
      <c r="O37" s="114">
        <f>+('Nike Balance Sheet'!AE48+'Nike Balance Sheet'!AF48)/2</f>
        <v>2793.6439999999993</v>
      </c>
      <c r="P37" s="114">
        <f>'Nike Balance Sheet'!AF48</f>
        <v>2431.3879999999995</v>
      </c>
    </row>
    <row r="38" spans="2:16">
      <c r="B38" s="102"/>
      <c r="C38" s="113"/>
      <c r="D38" s="113"/>
      <c r="E38" s="113"/>
      <c r="F38" s="113"/>
      <c r="G38" s="113"/>
      <c r="H38" s="113"/>
      <c r="I38" s="98"/>
      <c r="J38" s="98"/>
      <c r="L38" s="98"/>
      <c r="M38" s="98"/>
      <c r="N38" s="98"/>
      <c r="O38" s="98"/>
    </row>
    <row r="39" spans="2:16">
      <c r="B39" s="102"/>
      <c r="C39" s="113" t="s">
        <v>429</v>
      </c>
      <c r="D39" s="114">
        <f>+'Nike Income Statement'!S15</f>
        <v>18627</v>
      </c>
      <c r="E39" s="114">
        <f>+'Nike Income Statement'!T15</f>
        <v>16325.9</v>
      </c>
      <c r="F39" s="114">
        <f>+'Nike Income Statement'!U15</f>
        <v>14954.9</v>
      </c>
      <c r="G39" s="114">
        <f>+'Nike Income Statement'!V15</f>
        <v>13739.7</v>
      </c>
      <c r="H39" s="114">
        <f>+'Nike Income Statement'!W15</f>
        <v>12253.1</v>
      </c>
      <c r="I39" s="114">
        <f>+'Nike Income Statement'!X15</f>
        <v>10697</v>
      </c>
      <c r="J39" s="114">
        <f>+'Nike Income Statement'!Y15</f>
        <v>9893</v>
      </c>
      <c r="K39" s="67">
        <f>+'Nike Income Statement'!Z15</f>
        <v>9488.7999999999993</v>
      </c>
      <c r="L39" s="114">
        <f>+'Nike Income Statement'!AA15</f>
        <v>8995.1</v>
      </c>
      <c r="M39" s="114">
        <f>+'Nike Income Statement'!AB15</f>
        <v>8776.9</v>
      </c>
      <c r="N39" s="114">
        <f>+'Nike Income Statement'!AC15</f>
        <v>9553.1</v>
      </c>
      <c r="O39" s="114">
        <f>+'Nike Income Statement'!AD15</f>
        <v>9186.5</v>
      </c>
      <c r="P39" s="114">
        <f>+'Nike Income Statement'!AE15</f>
        <v>6470.6</v>
      </c>
    </row>
    <row r="40" spans="2:16">
      <c r="B40" s="102"/>
      <c r="C40" s="113" t="s">
        <v>333</v>
      </c>
      <c r="D40" s="114">
        <f>+'Nike Income Statement'!S40</f>
        <v>1882.6643999999999</v>
      </c>
      <c r="E40" s="114">
        <f>+'Nike Income Statement'!T40</f>
        <v>1652.1607999999997</v>
      </c>
      <c r="F40" s="114">
        <f>+'Nike Income Statement'!U40</f>
        <v>1428.3952000000002</v>
      </c>
      <c r="G40" s="114">
        <f>+'Nike Income Statement'!V40</f>
        <v>1372.147200000001</v>
      </c>
      <c r="H40" s="114">
        <f>+'Nike Income Statement'!W40</f>
        <v>1034.7012803234511</v>
      </c>
      <c r="I40" s="114">
        <f>+'Nike Income Statement'!X40</f>
        <v>423.86666666666633</v>
      </c>
      <c r="J40" s="114">
        <f>+'Nike Income Statement'!Y40</f>
        <v>620.88640860215071</v>
      </c>
      <c r="K40" s="67">
        <f>+'Nike Income Statement'!Z40</f>
        <v>522.51378395721906</v>
      </c>
      <c r="L40" s="114">
        <f>+'Nike Income Statement'!AA40</f>
        <v>531.54141930294941</v>
      </c>
      <c r="M40" s="114">
        <f>+'Nike Income Statement'!AB40</f>
        <v>394.70923368146191</v>
      </c>
      <c r="N40" s="114">
        <f>+'Nike Income Statement'!AC40</f>
        <v>410.32200000000012</v>
      </c>
      <c r="O40" s="114">
        <f>+'Nike Income Statement'!AD40</f>
        <v>796.67080000000021</v>
      </c>
      <c r="P40" s="114">
        <f>+'Nike Income Statement'!AE40</f>
        <v>549.49100000000067</v>
      </c>
    </row>
    <row r="41" spans="2:16">
      <c r="B41" s="102"/>
      <c r="C41" s="113" t="s">
        <v>125</v>
      </c>
      <c r="D41" s="114">
        <f>+'Nike Income Statement'!S51</f>
        <v>1931.7</v>
      </c>
      <c r="E41" s="114">
        <f>+'Nike Income Statement'!T51</f>
        <v>1694.9</v>
      </c>
      <c r="F41" s="114">
        <f>+'Nike Income Statement'!U51</f>
        <v>1451.8</v>
      </c>
      <c r="G41" s="114">
        <f>+'Nike Income Statement'!V51</f>
        <v>1375.200000000001</v>
      </c>
      <c r="H41" s="114">
        <f>+'Nike Income Statement'!W51</f>
        <v>1018.9762803234511</v>
      </c>
      <c r="I41" s="114">
        <f>+'Nike Income Statement'!X51</f>
        <v>405.86666666666633</v>
      </c>
      <c r="J41" s="114">
        <f>+'Nike Income Statement'!Y51</f>
        <v>599.53440860215073</v>
      </c>
      <c r="K41" s="67">
        <f>+'Nike Income Statement'!Z51</f>
        <v>494.46898395721905</v>
      </c>
      <c r="L41" s="114">
        <f>+'Nike Income Statement'!AA51</f>
        <v>511.85361930294943</v>
      </c>
      <c r="M41" s="114">
        <f>+'Nike Income Statement'!AB51</f>
        <v>375.89373368146192</v>
      </c>
      <c r="N41" s="114">
        <f>+'Nike Income Statement'!AC51</f>
        <v>383.7000000000001</v>
      </c>
      <c r="O41" s="114">
        <f>+'Nike Income Statement'!AD51</f>
        <v>776.9000000000002</v>
      </c>
      <c r="P41" s="114">
        <f>+'Nike Income Statement'!AE51</f>
        <v>535.1000000000007</v>
      </c>
    </row>
    <row r="42" spans="2:16">
      <c r="B42" s="102"/>
      <c r="C42" s="113" t="s">
        <v>401</v>
      </c>
      <c r="D42" s="114">
        <f>+'Nike Income Statement'!S49</f>
        <v>-49.035600000000002</v>
      </c>
      <c r="E42" s="114">
        <f>+'Nike Income Statement'!T49</f>
        <v>-42.739200000000004</v>
      </c>
      <c r="F42" s="114">
        <f>+'Nike Income Statement'!U49</f>
        <v>-23.404799999999998</v>
      </c>
      <c r="G42" s="114">
        <f>+'Nike Income Statement'!V49</f>
        <v>3.0528</v>
      </c>
      <c r="H42" s="114">
        <f>+'Nike Income Statement'!W49</f>
        <v>15.725</v>
      </c>
      <c r="I42" s="114">
        <f>+'Nike Income Statement'!X49</f>
        <v>18</v>
      </c>
      <c r="J42" s="114">
        <f>+'Nike Income Statement'!Y49</f>
        <v>21.352</v>
      </c>
      <c r="K42" s="67">
        <f>+'Nike Income Statement'!Z49</f>
        <v>28.044800000000002</v>
      </c>
      <c r="L42" s="114">
        <f>+'Nike Income Statement'!AA49</f>
        <v>19.687799999999999</v>
      </c>
      <c r="M42" s="114">
        <f>+'Nike Income Statement'!AB49</f>
        <v>18.8155</v>
      </c>
      <c r="N42" s="114">
        <f>+'Nike Income Statement'!AC49</f>
        <v>26.622</v>
      </c>
      <c r="O42" s="114">
        <f>+'Nike Income Statement'!AD49</f>
        <v>19.770799999999998</v>
      </c>
      <c r="P42" s="114">
        <f>+'Nike Income Statement'!AE49</f>
        <v>14.390999999999998</v>
      </c>
    </row>
    <row r="43" spans="2:16">
      <c r="B43" s="102"/>
      <c r="C43" s="113" t="s">
        <v>151</v>
      </c>
      <c r="D43" s="115">
        <f>+'Nike Income Statement'!S51/'Profitability and Growth'!D37</f>
        <v>0.25901566805446607</v>
      </c>
      <c r="E43" s="115">
        <f>+'Nike Income Statement'!T51/'Profitability and Growth'!E37</f>
        <v>0.25141102565433771</v>
      </c>
      <c r="F43" s="115">
        <f>+'Nike Income Statement'!U51/'Profitability and Growth'!F37</f>
        <v>0.2404797005184609</v>
      </c>
      <c r="G43" s="115">
        <f>+'Nike Income Statement'!V51/'Profitability and Growth'!G37</f>
        <v>0.26071872067340979</v>
      </c>
      <c r="H43" s="115">
        <f>+'Nike Income Statement'!W51/'Profitability and Growth'!H37</f>
        <v>0.22980971590515362</v>
      </c>
      <c r="I43" s="115">
        <f>+'Nike Income Statement'!X51/'Profitability and Growth'!I37</f>
        <v>0.10311260156921519</v>
      </c>
      <c r="J43" s="115">
        <f>+'Nike Income Statement'!Y51/'Profitability and Growth'!J37</f>
        <v>0.16317191497643077</v>
      </c>
      <c r="K43" s="51">
        <f>+'Nike Income Statement'!Z51/'Profitability and Growth'!K37</f>
        <v>0.14866552936883662</v>
      </c>
      <c r="L43" s="115">
        <f>+'Nike Income Statement'!AA51/'Profitability and Growth'!L37</f>
        <v>0.15792345905093855</v>
      </c>
      <c r="M43" s="115">
        <f>+'Nike Income Statement'!AB51/'Profitability and Growth'!M37</f>
        <v>0.11397281273504806</v>
      </c>
      <c r="N43" s="115">
        <f>+'Nike Income Statement'!AC51/'Profitability and Growth'!N37</f>
        <v>0.11957927541877685</v>
      </c>
      <c r="O43" s="115">
        <f>+'Nike Income Statement'!AD51/'Profitability and Growth'!O37</f>
        <v>0.278095562641482</v>
      </c>
      <c r="P43" s="115">
        <f>+'Nike Income Statement'!AE51/'Profitability and Growth'!P37</f>
        <v>0.22008005303966327</v>
      </c>
    </row>
    <row r="44" spans="2:16">
      <c r="B44" s="102"/>
      <c r="C44" s="113" t="s">
        <v>215</v>
      </c>
      <c r="D44" s="115">
        <f>+D40/D35</f>
        <v>0.35043381360289472</v>
      </c>
      <c r="E44" s="115">
        <f>+E40/E35</f>
        <v>0.33529378577624114</v>
      </c>
      <c r="F44" s="115">
        <f>+F40/F35</f>
        <v>0.29493793821293735</v>
      </c>
      <c r="G44" s="115">
        <f>+G40/G35</f>
        <v>0.29439962650445267</v>
      </c>
      <c r="H44" s="115">
        <f t="shared" ref="H44:P44" si="0">+H40/H35</f>
        <v>0.23299489899506884</v>
      </c>
      <c r="I44" s="115">
        <f t="shared" si="0"/>
        <v>9.6428117790024609E-2</v>
      </c>
      <c r="J44" s="115">
        <f t="shared" si="0"/>
        <v>0.13742187871089542</v>
      </c>
      <c r="K44" s="51">
        <f t="shared" si="0"/>
        <v>0.11587830392507587</v>
      </c>
      <c r="L44" s="115">
        <f t="shared" si="0"/>
        <v>0.12465705431316136</v>
      </c>
      <c r="M44" s="115">
        <f t="shared" si="0"/>
        <v>9.3674504418751525E-2</v>
      </c>
      <c r="N44" s="115">
        <f t="shared" si="0"/>
        <v>9.8109197835927128E-2</v>
      </c>
      <c r="O44" s="115">
        <f t="shared" si="0"/>
        <v>0.23013509558127754</v>
      </c>
      <c r="P44" s="115">
        <f t="shared" si="0"/>
        <v>0.18939651663252677</v>
      </c>
    </row>
    <row r="45" spans="2:16">
      <c r="B45" s="102"/>
      <c r="C45" s="113" t="s">
        <v>217</v>
      </c>
      <c r="D45" s="115">
        <f>+D42/D36</f>
        <v>2.3512998462814873E-2</v>
      </c>
      <c r="E45" s="115">
        <f>+E42/E36</f>
        <v>2.356012630316287E-2</v>
      </c>
      <c r="F45" s="115">
        <f>+F42/F36</f>
        <v>1.9600967620231252E-2</v>
      </c>
      <c r="G45" s="115">
        <f>+G42/G36</f>
        <v>-4.9734611888214422E-3</v>
      </c>
      <c r="H45" s="115">
        <f t="shared" ref="H45:P45" si="1">+H42/H36</f>
        <v>2.2871895567433929</v>
      </c>
      <c r="I45" s="115">
        <f t="shared" si="1"/>
        <v>3.9170882976987113E-2</v>
      </c>
      <c r="J45" s="115">
        <f t="shared" si="1"/>
        <v>2.5302940258065818E-2</v>
      </c>
      <c r="K45" s="51">
        <f t="shared" si="1"/>
        <v>2.3704309765007009E-2</v>
      </c>
      <c r="L45" s="115">
        <f t="shared" si="1"/>
        <v>1.9247419052088221E-2</v>
      </c>
      <c r="M45" s="115">
        <f t="shared" si="1"/>
        <v>2.0551596078752628E-2</v>
      </c>
      <c r="N45" s="115">
        <f t="shared" si="1"/>
        <v>2.7345310816404719E-2</v>
      </c>
      <c r="O45" s="115">
        <f t="shared" si="1"/>
        <v>2.959218839747272E-2</v>
      </c>
      <c r="P45" s="51">
        <f t="shared" si="1"/>
        <v>3.0626642689168631E-2</v>
      </c>
    </row>
    <row r="46" spans="2:16">
      <c r="B46" s="102"/>
      <c r="C46" s="113" t="s">
        <v>249</v>
      </c>
      <c r="D46" s="115">
        <f>+D40/D39</f>
        <v>0.1010717990014495</v>
      </c>
      <c r="E46" s="115">
        <f>+E40/E39</f>
        <v>0.10119875780202009</v>
      </c>
      <c r="F46" s="115">
        <f>+F40/F39</f>
        <v>9.5513523995479757E-2</v>
      </c>
      <c r="G46" s="115">
        <f>+G40/G39</f>
        <v>9.9867333347889761E-2</v>
      </c>
      <c r="H46" s="115">
        <f t="shared" ref="H46:P46" si="2">+H40/H39</f>
        <v>8.4444041126200797E-2</v>
      </c>
      <c r="I46" s="115">
        <f t="shared" si="2"/>
        <v>3.9624816926864197E-2</v>
      </c>
      <c r="J46" s="115">
        <f t="shared" si="2"/>
        <v>6.2760174729824189E-2</v>
      </c>
      <c r="K46" s="51">
        <f t="shared" si="2"/>
        <v>5.5066371296393551E-2</v>
      </c>
      <c r="L46" s="115">
        <f t="shared" si="2"/>
        <v>5.9092330191209588E-2</v>
      </c>
      <c r="M46" s="115">
        <f t="shared" si="2"/>
        <v>4.497137186039056E-2</v>
      </c>
      <c r="N46" s="115">
        <f t="shared" si="2"/>
        <v>4.2951712009714135E-2</v>
      </c>
      <c r="O46" s="115">
        <f t="shared" si="2"/>
        <v>8.6721907146356095E-2</v>
      </c>
      <c r="P46" s="115">
        <f t="shared" si="2"/>
        <v>8.4921181961487444E-2</v>
      </c>
    </row>
    <row r="47" spans="2:16">
      <c r="B47" s="102"/>
      <c r="C47" s="113" t="s">
        <v>463</v>
      </c>
      <c r="D47" s="115">
        <f>+'Nike Income Statement'!S30/'Nike Income Statement'!S15</f>
        <v>9.641189670907821E-2</v>
      </c>
      <c r="E47" s="115">
        <f>+'Nike Income Statement'!T30/'Nike Income Statement'!T15</f>
        <v>8.8740026583526782E-2</v>
      </c>
      <c r="F47" s="115">
        <f>+'Nike Income Statement'!U30/'Nike Income Statement'!U15</f>
        <v>9.1514834602705486E-2</v>
      </c>
      <c r="G47" s="115">
        <f>+'Nike Income Statement'!V30/'Nike Income Statement'!V15</f>
        <v>9.2894837587429197E-2</v>
      </c>
      <c r="H47" s="115">
        <f>+'Nike Income Statement'!W30/'Nike Income Statement'!W15</f>
        <v>7.8455656119675907E-2</v>
      </c>
      <c r="I47" s="115">
        <f>+'Nike Income Statement'!X30/'Nike Income Statement'!X15</f>
        <v>7.0870337477797488E-2</v>
      </c>
      <c r="J47" s="115">
        <f>+'Nike Income Statement'!Y30/'Nike Income Statement'!Y15</f>
        <v>6.9711108864853946E-2</v>
      </c>
      <c r="K47" s="51">
        <f>+'Nike Income Statement'!Z30/'Nike Income Statement'!Z15</f>
        <v>6.5102520866705996E-2</v>
      </c>
      <c r="L47" s="115">
        <f>+'Nike Income Statement'!AA30/'Nike Income Statement'!AA15</f>
        <v>6.6393958933197009E-2</v>
      </c>
      <c r="M47" s="115">
        <f>+'Nike Income Statement'!AB30/'Nike Income Statement'!AB15</f>
        <v>5.6682997413665392E-2</v>
      </c>
      <c r="N47" s="115">
        <f>+'Nike Income Statement'!AC30/'Nike Income Statement'!AC15</f>
        <v>5.293787356983598E-2</v>
      </c>
      <c r="O47" s="115">
        <f>+'Nike Income Statement'!AD30/'Nike Income Statement'!AD15</f>
        <v>8.8779273934577935E-2</v>
      </c>
      <c r="P47" s="115">
        <f>+'Nike Income Statement'!AE30/'Nike Income Statement'!AE15</f>
        <v>8.7718449602819007E-2</v>
      </c>
    </row>
    <row r="48" spans="2:16">
      <c r="B48" s="102"/>
      <c r="C48" s="113" t="s">
        <v>273</v>
      </c>
      <c r="D48" s="115">
        <f>+D39/D35</f>
        <v>3.4671769679084172</v>
      </c>
      <c r="E48" s="115">
        <f>+E39/E35</f>
        <v>3.3132203700779832</v>
      </c>
      <c r="F48" s="115">
        <f>+F39/F35</f>
        <v>3.0879180861015607</v>
      </c>
      <c r="G48" s="115">
        <f>+G39/G35</f>
        <v>2.9479071547740836</v>
      </c>
      <c r="H48" s="115">
        <f t="shared" ref="H48:P48" si="3">+H39/H35</f>
        <v>2.7591632978206269</v>
      </c>
      <c r="I48" s="115">
        <f t="shared" si="3"/>
        <v>2.4335284114498914</v>
      </c>
      <c r="J48" s="115">
        <f t="shared" si="3"/>
        <v>2.1896350560284743</v>
      </c>
      <c r="K48" s="51">
        <f t="shared" si="3"/>
        <v>2.1043388405123591</v>
      </c>
      <c r="L48" s="115">
        <f t="shared" si="3"/>
        <v>2.1095301862322735</v>
      </c>
      <c r="M48" s="115">
        <f t="shared" si="3"/>
        <v>2.0829808063128539</v>
      </c>
      <c r="N48" s="115">
        <f t="shared" si="3"/>
        <v>2.2841743261301986</v>
      </c>
      <c r="O48" s="115">
        <f t="shared" si="3"/>
        <v>2.6537134981693891</v>
      </c>
      <c r="P48" s="51">
        <f t="shared" si="3"/>
        <v>2.2302623710350602</v>
      </c>
    </row>
    <row r="49" spans="2:16">
      <c r="B49" s="102"/>
      <c r="C49" s="116" t="s">
        <v>270</v>
      </c>
      <c r="D49" s="117">
        <f>+D36/D37</f>
        <v>-0.27963390923657627</v>
      </c>
      <c r="E49" s="117">
        <f>+E36/E37</f>
        <v>-0.26908470603941237</v>
      </c>
      <c r="F49" s="117">
        <f>+F36/F37</f>
        <v>-0.19778759669377685</v>
      </c>
      <c r="G49" s="117">
        <f>+G36/G37</f>
        <v>-0.1163713232157584</v>
      </c>
      <c r="H49" s="117">
        <f t="shared" ref="H49:P49" si="4">+H36/H37</f>
        <v>1.5505751014884966E-3</v>
      </c>
      <c r="I49" s="117">
        <f t="shared" si="4"/>
        <v>0.11674478868945543</v>
      </c>
      <c r="J49" s="117">
        <f t="shared" si="4"/>
        <v>0.2296671429543444</v>
      </c>
      <c r="K49" s="84">
        <f t="shared" si="4"/>
        <v>0.35571015168142389</v>
      </c>
      <c r="L49" s="117">
        <f t="shared" si="4"/>
        <v>0.31559168813538407</v>
      </c>
      <c r="M49" s="117">
        <f t="shared" si="4"/>
        <v>0.27759164367363037</v>
      </c>
      <c r="N49" s="117">
        <f t="shared" si="4"/>
        <v>0.30340444098169078</v>
      </c>
      <c r="O49" s="117">
        <f t="shared" si="4"/>
        <v>0.239153145497422</v>
      </c>
      <c r="P49" s="84">
        <f t="shared" si="4"/>
        <v>0.19325792510286305</v>
      </c>
    </row>
    <row r="50" spans="2:16">
      <c r="B50" s="102"/>
      <c r="C50" s="118" t="s">
        <v>281</v>
      </c>
      <c r="D50" s="119">
        <f>+D44-D45</f>
        <v>0.32692081514007987</v>
      </c>
      <c r="E50" s="119">
        <f>+E44-E45</f>
        <v>0.3117336594730783</v>
      </c>
      <c r="F50" s="119">
        <f>+F44-F45</f>
        <v>0.27533697059270612</v>
      </c>
      <c r="G50" s="119">
        <f>+G44-G45</f>
        <v>0.29937308769327409</v>
      </c>
      <c r="H50" s="119">
        <f t="shared" ref="H50:P50" si="5">+H44-H45</f>
        <v>-2.0541946577483241</v>
      </c>
      <c r="I50" s="119">
        <f t="shared" si="5"/>
        <v>5.7257234813037496E-2</v>
      </c>
      <c r="J50" s="119">
        <f t="shared" si="5"/>
        <v>0.11211893845282961</v>
      </c>
      <c r="K50" s="88">
        <f t="shared" si="5"/>
        <v>9.2173994160068856E-2</v>
      </c>
      <c r="L50" s="119">
        <f t="shared" si="5"/>
        <v>0.10540963526107314</v>
      </c>
      <c r="M50" s="119">
        <f t="shared" si="5"/>
        <v>7.3122908339998904E-2</v>
      </c>
      <c r="N50" s="119">
        <f t="shared" si="5"/>
        <v>7.0763887019522409E-2</v>
      </c>
      <c r="O50" s="119">
        <f t="shared" si="5"/>
        <v>0.20054290718380482</v>
      </c>
      <c r="P50" s="88">
        <f t="shared" si="5"/>
        <v>0.15876987394335815</v>
      </c>
    </row>
    <row r="51" spans="2:16">
      <c r="B51" s="102"/>
      <c r="C51" s="113" t="s">
        <v>520</v>
      </c>
      <c r="D51" s="113"/>
      <c r="E51" s="113"/>
      <c r="F51" s="113"/>
      <c r="G51" s="113"/>
      <c r="H51" s="98"/>
      <c r="I51" s="98"/>
      <c r="J51" s="102"/>
      <c r="K51" s="98"/>
    </row>
    <row r="52" spans="2:16">
      <c r="B52" s="102"/>
      <c r="C52" s="113"/>
      <c r="D52" s="113"/>
      <c r="E52" s="113"/>
      <c r="F52" s="113"/>
      <c r="G52" s="113"/>
      <c r="H52" s="98"/>
      <c r="I52" s="98"/>
      <c r="J52" s="102"/>
      <c r="K52" s="98"/>
    </row>
    <row r="53" spans="2:16">
      <c r="B53" s="120" t="s">
        <v>59</v>
      </c>
      <c r="C53" s="106"/>
      <c r="D53" s="106"/>
      <c r="E53" s="106"/>
      <c r="F53" s="106"/>
      <c r="G53" s="106"/>
      <c r="H53" s="98"/>
      <c r="I53" s="102"/>
      <c r="J53" s="98"/>
      <c r="K53" s="98"/>
    </row>
    <row r="54" spans="2:16" ht="15.75">
      <c r="B54" s="121"/>
      <c r="C54" s="98" t="s">
        <v>303</v>
      </c>
      <c r="D54" s="108" t="s">
        <v>457</v>
      </c>
      <c r="E54" s="98"/>
      <c r="F54" s="98"/>
      <c r="G54" s="98"/>
      <c r="I54" s="102"/>
      <c r="J54" s="98"/>
      <c r="K54" s="98"/>
    </row>
    <row r="55" spans="2:16">
      <c r="B55" s="121"/>
      <c r="C55" s="98"/>
      <c r="D55" s="98"/>
      <c r="E55" s="98"/>
      <c r="F55" s="98"/>
      <c r="G55" s="98"/>
      <c r="H55" s="102"/>
      <c r="I55" s="102"/>
      <c r="J55" s="98"/>
      <c r="K55" s="98"/>
    </row>
    <row r="56" spans="2:16">
      <c r="B56" s="102"/>
      <c r="C56" s="100"/>
      <c r="D56" s="112">
        <v>2008</v>
      </c>
      <c r="E56" s="112">
        <v>2007</v>
      </c>
      <c r="F56" s="112">
        <v>2006</v>
      </c>
      <c r="G56" s="112">
        <v>2005</v>
      </c>
      <c r="H56" s="100">
        <v>2004</v>
      </c>
      <c r="I56" s="100">
        <v>2003</v>
      </c>
      <c r="J56" s="100">
        <v>2002</v>
      </c>
      <c r="K56" s="86">
        <v>2001</v>
      </c>
      <c r="L56" s="100">
        <v>2000</v>
      </c>
      <c r="M56" s="100">
        <v>1999</v>
      </c>
      <c r="N56" s="100">
        <v>1998</v>
      </c>
      <c r="O56" s="100">
        <v>1997</v>
      </c>
      <c r="P56" s="86">
        <v>1996</v>
      </c>
    </row>
    <row r="57" spans="2:16">
      <c r="B57" s="102"/>
      <c r="C57" s="106" t="s">
        <v>307</v>
      </c>
      <c r="D57" s="117">
        <f>+D39/E39-1</f>
        <v>0.14094781910951304</v>
      </c>
      <c r="E57" s="117">
        <f>+E39/F39-1</f>
        <v>9.1675638085176203E-2</v>
      </c>
      <c r="F57" s="117">
        <f>+F39/G39-1</f>
        <v>8.8444434740205358E-2</v>
      </c>
      <c r="G57" s="117">
        <f>+G39/H39-1</f>
        <v>0.12132439953970842</v>
      </c>
      <c r="H57" s="117">
        <f t="shared" ref="H57:O57" si="6">+H39/I39-1</f>
        <v>0.14547069271758439</v>
      </c>
      <c r="I57" s="117">
        <f t="shared" si="6"/>
        <v>8.1269584554735763E-2</v>
      </c>
      <c r="J57" s="117">
        <f t="shared" si="6"/>
        <v>4.2597588736194236E-2</v>
      </c>
      <c r="K57" s="117">
        <f t="shared" si="6"/>
        <v>5.4885437627152367E-2</v>
      </c>
      <c r="L57" s="117">
        <f t="shared" si="6"/>
        <v>2.4860713919493405E-2</v>
      </c>
      <c r="M57" s="117">
        <f t="shared" si="6"/>
        <v>-8.1251112204415388E-2</v>
      </c>
      <c r="N57" s="117">
        <f t="shared" si="6"/>
        <v>3.9906384368366687E-2</v>
      </c>
      <c r="O57" s="117">
        <f t="shared" si="6"/>
        <v>0.41972923685593289</v>
      </c>
      <c r="P57" s="270" t="s">
        <v>308</v>
      </c>
    </row>
    <row r="58" spans="2:16">
      <c r="B58" s="102"/>
      <c r="C58" s="106" t="s">
        <v>229</v>
      </c>
      <c r="D58" s="117">
        <f>+D37/E37-1</f>
        <v>0.10625152969272667</v>
      </c>
      <c r="E58" s="117">
        <f>+E37/F37-1</f>
        <v>0.11668681983071361</v>
      </c>
      <c r="F58" s="117">
        <f>+F37/G37-1</f>
        <v>0.14454987534717922</v>
      </c>
      <c r="G58" s="117">
        <f>+G37/H37-1</f>
        <v>0.18959179070816412</v>
      </c>
      <c r="H58" s="117">
        <f t="shared" ref="H58:O58" si="7">+H37/I37-1</f>
        <v>0.1264814603102018</v>
      </c>
      <c r="I58" s="117">
        <f t="shared" si="7"/>
        <v>7.1279853031230855E-2</v>
      </c>
      <c r="J58" s="117">
        <f t="shared" si="7"/>
        <v>0.10468874490762303</v>
      </c>
      <c r="K58" s="117">
        <f t="shared" si="7"/>
        <v>2.6194406306403684E-2</v>
      </c>
      <c r="L58" s="117">
        <f t="shared" si="7"/>
        <v>-1.7267517661683995E-2</v>
      </c>
      <c r="M58" s="117">
        <f t="shared" si="7"/>
        <v>2.7845734320218307E-2</v>
      </c>
      <c r="N58" s="117">
        <f t="shared" si="7"/>
        <v>0.14858944088795845</v>
      </c>
      <c r="O58" s="117">
        <f t="shared" si="7"/>
        <v>0.14899144028020217</v>
      </c>
      <c r="P58" s="270" t="s">
        <v>308</v>
      </c>
    </row>
    <row r="59" spans="2:16">
      <c r="B59" s="102"/>
      <c r="C59" s="106" t="s">
        <v>309</v>
      </c>
      <c r="D59" s="117">
        <f>+D41/E41-1</f>
        <v>0.13971325741931673</v>
      </c>
      <c r="E59" s="117">
        <f>+E41/F41-1</f>
        <v>0.16744730679156916</v>
      </c>
      <c r="F59" s="117">
        <f>+F41/G41-1</f>
        <v>5.5700988947061436E-2</v>
      </c>
      <c r="G59" s="117">
        <f>+G41/H41-1</f>
        <v>0.34958980552861818</v>
      </c>
      <c r="H59" s="117">
        <f t="shared" ref="H59:O59" si="8">+H41/I41-1</f>
        <v>1.5106182990886627</v>
      </c>
      <c r="I59" s="117">
        <f t="shared" si="8"/>
        <v>-0.3230302367249146</v>
      </c>
      <c r="J59" s="117">
        <f t="shared" si="8"/>
        <v>0.21248132451927826</v>
      </c>
      <c r="K59" s="117">
        <f t="shared" si="8"/>
        <v>-3.3964076232195106E-2</v>
      </c>
      <c r="L59" s="117">
        <f t="shared" si="8"/>
        <v>0.36169766462960506</v>
      </c>
      <c r="M59" s="117">
        <f t="shared" si="8"/>
        <v>-2.0344712844769797E-2</v>
      </c>
      <c r="N59" s="117">
        <f t="shared" si="8"/>
        <v>-0.50611404299137597</v>
      </c>
      <c r="O59" s="117">
        <f t="shared" si="8"/>
        <v>0.45187815361614492</v>
      </c>
      <c r="P59" s="270" t="s">
        <v>308</v>
      </c>
    </row>
    <row r="60" spans="2:16" ht="25.5">
      <c r="B60" s="102"/>
      <c r="C60" s="99" t="s">
        <v>522</v>
      </c>
      <c r="D60" s="122">
        <f>+D41-D37*0.085</f>
        <v>1297.7827499999999</v>
      </c>
      <c r="E60" s="122">
        <f>+E41-E37*0.085</f>
        <v>1121.86825</v>
      </c>
      <c r="F60" s="122">
        <f>+F41-F37*0.085</f>
        <v>938.64650000000006</v>
      </c>
      <c r="G60" s="122">
        <f>+G41-G37*0.085</f>
        <v>926.85475000000088</v>
      </c>
      <c r="H60" s="122">
        <f>+H41-H37*0.085</f>
        <v>642.08628032345109</v>
      </c>
      <c r="I60" s="122">
        <f t="shared" ref="I60:P60" si="9">+I41-I37*0.085</f>
        <v>71.293916666666348</v>
      </c>
      <c r="J60" s="122">
        <f t="shared" si="9"/>
        <v>287.2231586021507</v>
      </c>
      <c r="K60" s="122">
        <f t="shared" si="9"/>
        <v>211.754733957219</v>
      </c>
      <c r="L60" s="122">
        <f t="shared" si="9"/>
        <v>236.35586930294943</v>
      </c>
      <c r="M60" s="122">
        <f t="shared" si="9"/>
        <v>95.555233681461971</v>
      </c>
      <c r="N60" s="122">
        <f t="shared" si="9"/>
        <v>110.95625000000018</v>
      </c>
      <c r="O60" s="122">
        <f t="shared" si="9"/>
        <v>539.44026000000031</v>
      </c>
      <c r="P60" s="122">
        <f t="shared" si="9"/>
        <v>328.43202000000076</v>
      </c>
    </row>
    <row r="61" spans="2:16">
      <c r="B61" s="102"/>
      <c r="C61" s="107"/>
      <c r="D61" s="107"/>
      <c r="E61" s="107"/>
      <c r="F61" s="107"/>
      <c r="G61" s="107"/>
      <c r="H61" s="123"/>
      <c r="I61" s="123"/>
      <c r="J61" s="123"/>
      <c r="K61" s="123"/>
      <c r="L61" s="85"/>
    </row>
    <row r="62" spans="2:16">
      <c r="B62" s="102"/>
      <c r="C62" s="384" t="s">
        <v>7</v>
      </c>
      <c r="D62" s="384"/>
      <c r="E62" s="384"/>
      <c r="F62" s="384"/>
      <c r="G62" s="384"/>
      <c r="H62" s="384"/>
      <c r="I62" s="384"/>
      <c r="J62" s="123"/>
      <c r="K62" s="123"/>
      <c r="L62" s="85"/>
    </row>
    <row r="63" spans="2:16" ht="51">
      <c r="B63" s="102"/>
      <c r="C63" s="124" t="s">
        <v>304</v>
      </c>
      <c r="D63" s="124"/>
      <c r="E63" s="124"/>
      <c r="F63" s="124"/>
      <c r="G63" s="124"/>
      <c r="H63" s="124" t="s">
        <v>305</v>
      </c>
      <c r="I63" s="124" t="s">
        <v>306</v>
      </c>
      <c r="J63" s="123"/>
      <c r="K63" s="123"/>
      <c r="L63" s="85"/>
    </row>
    <row r="64" spans="2:16">
      <c r="B64" s="102"/>
      <c r="C64" s="125">
        <f>+H60-I60</f>
        <v>570.7923636567848</v>
      </c>
      <c r="D64" s="125"/>
      <c r="E64" s="125"/>
      <c r="F64" s="125"/>
      <c r="G64" s="125"/>
      <c r="H64" s="125">
        <f>+(H43-I43)*I37</f>
        <v>498.69884659340408</v>
      </c>
      <c r="I64" s="125">
        <f>+(H37-I37)*(H43-0.085)</f>
        <v>72.093517063380787</v>
      </c>
      <c r="J64" s="123"/>
      <c r="K64" s="123"/>
      <c r="L64" s="85"/>
    </row>
    <row r="65" spans="2:12">
      <c r="B65" s="102"/>
      <c r="C65" s="107"/>
      <c r="D65" s="107"/>
      <c r="E65" s="107"/>
      <c r="F65" s="107"/>
      <c r="G65" s="107"/>
      <c r="H65" s="123"/>
      <c r="I65" s="123"/>
      <c r="J65" s="123"/>
      <c r="K65" s="123"/>
      <c r="L65" s="85"/>
    </row>
    <row r="66" spans="2:12">
      <c r="B66" s="102"/>
      <c r="C66" s="98"/>
      <c r="D66" s="98"/>
      <c r="E66" s="98"/>
      <c r="F66" s="98"/>
      <c r="G66" s="98"/>
      <c r="H66" s="98"/>
      <c r="I66" s="98"/>
      <c r="J66" s="102"/>
      <c r="K66" s="98"/>
    </row>
    <row r="67" spans="2:12">
      <c r="B67" s="126" t="s">
        <v>323</v>
      </c>
      <c r="C67" s="106"/>
      <c r="D67" s="106"/>
      <c r="E67" s="106"/>
      <c r="F67" s="106"/>
      <c r="G67" s="106"/>
      <c r="H67" s="98"/>
      <c r="I67" s="98"/>
      <c r="J67" s="102"/>
      <c r="K67" s="98"/>
    </row>
    <row r="68" spans="2:12">
      <c r="B68" s="104"/>
      <c r="C68" s="98"/>
      <c r="D68" s="98"/>
      <c r="E68" s="98"/>
      <c r="F68" s="98"/>
      <c r="G68" s="98"/>
      <c r="H68" s="98"/>
      <c r="I68" s="98"/>
      <c r="J68" s="102"/>
      <c r="K68" s="98"/>
    </row>
    <row r="69" spans="2:12">
      <c r="B69" s="102"/>
      <c r="C69" s="98"/>
      <c r="D69" s="98"/>
      <c r="E69" s="98"/>
      <c r="F69" s="98"/>
      <c r="G69" s="98"/>
      <c r="H69" s="98"/>
      <c r="I69" s="98"/>
      <c r="J69" s="102"/>
      <c r="K69" s="98"/>
    </row>
    <row r="70" spans="2:12">
      <c r="B70" s="127" t="s">
        <v>310</v>
      </c>
      <c r="C70" s="98"/>
      <c r="D70" s="98"/>
      <c r="E70" s="98"/>
      <c r="F70" s="98"/>
      <c r="G70" s="98"/>
      <c r="H70" s="98"/>
      <c r="I70" s="98"/>
      <c r="J70" s="102"/>
      <c r="K70" s="98"/>
    </row>
    <row r="71" spans="2:12">
      <c r="B71" s="102"/>
      <c r="C71" s="98"/>
      <c r="D71" s="98"/>
      <c r="E71" s="98"/>
      <c r="F71" s="98"/>
      <c r="G71" s="98"/>
      <c r="H71" s="98"/>
      <c r="I71" s="98"/>
      <c r="J71" s="102"/>
      <c r="K71" s="98"/>
    </row>
    <row r="72" spans="2:12">
      <c r="B72" s="128" t="s">
        <v>311</v>
      </c>
      <c r="C72" s="129"/>
      <c r="D72" s="129"/>
      <c r="E72" s="129"/>
      <c r="F72" s="129"/>
      <c r="G72" s="129"/>
      <c r="H72" s="129"/>
      <c r="I72" s="129"/>
      <c r="J72" s="102"/>
      <c r="K72" s="98"/>
    </row>
    <row r="73" spans="2:12">
      <c r="B73" s="105"/>
      <c r="C73" s="105" t="s">
        <v>312</v>
      </c>
      <c r="D73" s="105"/>
      <c r="E73" s="105"/>
      <c r="F73" s="105"/>
      <c r="G73" s="105"/>
      <c r="H73" s="105" t="s">
        <v>313</v>
      </c>
      <c r="I73" s="105" t="s">
        <v>314</v>
      </c>
      <c r="J73" s="102"/>
      <c r="K73" s="98"/>
    </row>
    <row r="74" spans="2:12">
      <c r="B74" s="103"/>
      <c r="C74" s="130">
        <f>+'3. Financial Statement Analysis'!J33</f>
        <v>0.23299489899506884</v>
      </c>
      <c r="D74" s="130"/>
      <c r="E74" s="130"/>
      <c r="F74" s="130"/>
      <c r="G74" s="130"/>
      <c r="H74" s="131">
        <f>+'Nike Income Statement'!W30/(('Nike Balance Sheet'!X32+'Nike Balance Sheet'!Y32)/2)</f>
        <v>0.21647196687184603</v>
      </c>
      <c r="I74" s="131">
        <f>+'Nike Income Statement'!W39/(('Nike Balance Sheet'!X32+'Nike Balance Sheet'!Y32)/2)</f>
        <v>1.6522932123222811E-2</v>
      </c>
      <c r="J74" s="102"/>
      <c r="K74" s="98"/>
    </row>
    <row r="75" spans="2:12">
      <c r="B75" s="102"/>
      <c r="C75" s="110"/>
      <c r="D75" s="110"/>
      <c r="E75" s="110"/>
      <c r="F75" s="110"/>
      <c r="G75" s="110"/>
      <c r="H75" s="132"/>
      <c r="I75" s="132"/>
      <c r="J75" s="102"/>
      <c r="K75" s="98"/>
    </row>
    <row r="76" spans="2:12" ht="51">
      <c r="B76" s="128" t="s">
        <v>315</v>
      </c>
      <c r="C76" s="124" t="s">
        <v>458</v>
      </c>
      <c r="D76" s="124"/>
      <c r="E76" s="124"/>
      <c r="F76" s="124"/>
      <c r="G76" s="124"/>
      <c r="H76" s="124" t="s">
        <v>459</v>
      </c>
      <c r="I76" s="124" t="s">
        <v>460</v>
      </c>
      <c r="J76" s="124" t="s">
        <v>461</v>
      </c>
      <c r="K76" s="124" t="s">
        <v>462</v>
      </c>
    </row>
    <row r="77" spans="2:12">
      <c r="B77" s="103"/>
      <c r="C77" s="130">
        <f>+H44-I44</f>
        <v>0.13656678120504423</v>
      </c>
      <c r="D77" s="130"/>
      <c r="E77" s="130"/>
      <c r="F77" s="130"/>
      <c r="G77" s="130"/>
      <c r="H77" s="131">
        <f>+(H47-I47)*I48</f>
        <v>1.8459088424911636E-2</v>
      </c>
      <c r="I77" s="131">
        <f>+(H48-I48)*H47</f>
        <v>2.5547898665672159E-2</v>
      </c>
      <c r="J77" s="103">
        <v>0</v>
      </c>
      <c r="K77" s="131">
        <f>+'Nike Income Statement'!W39/'Profitability and Growth'!H35-'Nike Income Statement'!X39/'Profitability and Growth'!I35</f>
        <v>9.2559794114460428E-2</v>
      </c>
    </row>
    <row r="78" spans="2:12">
      <c r="B78" s="102"/>
      <c r="C78" s="98"/>
      <c r="D78" s="98"/>
      <c r="E78" s="98"/>
      <c r="F78" s="98"/>
      <c r="G78" s="98"/>
      <c r="H78" s="225"/>
      <c r="I78" s="98"/>
      <c r="J78" s="102"/>
      <c r="K78" s="98"/>
    </row>
    <row r="79" spans="2:12">
      <c r="B79" s="102"/>
      <c r="C79" s="98"/>
      <c r="D79" s="98"/>
      <c r="E79" s="98"/>
      <c r="F79" s="98"/>
      <c r="G79" s="98"/>
      <c r="H79" s="98"/>
      <c r="I79" s="98"/>
      <c r="J79" s="102"/>
      <c r="K79" s="98"/>
    </row>
    <row r="80" spans="2:12">
      <c r="B80" s="127" t="s">
        <v>316</v>
      </c>
      <c r="C80" s="98"/>
      <c r="D80" s="98"/>
      <c r="E80" s="98"/>
      <c r="F80" s="98"/>
      <c r="G80" s="98"/>
      <c r="H80" s="98"/>
      <c r="I80" s="98"/>
      <c r="J80" s="102"/>
      <c r="K80" s="98"/>
    </row>
    <row r="81" spans="2:11">
      <c r="B81" s="102"/>
      <c r="C81" s="98"/>
      <c r="D81" s="98"/>
      <c r="E81" s="98"/>
      <c r="F81" s="98"/>
      <c r="G81" s="98"/>
      <c r="H81" s="98"/>
      <c r="I81" s="98"/>
      <c r="J81" s="102"/>
      <c r="K81" s="98"/>
    </row>
    <row r="82" spans="2:11">
      <c r="B82" s="128" t="s">
        <v>317</v>
      </c>
      <c r="C82" s="129" t="s">
        <v>318</v>
      </c>
      <c r="D82" s="129"/>
      <c r="E82" s="129"/>
      <c r="F82" s="129"/>
      <c r="G82" s="129"/>
      <c r="H82" s="129"/>
      <c r="I82" s="98"/>
      <c r="J82" s="102"/>
      <c r="K82" s="98"/>
    </row>
    <row r="83" spans="2:11">
      <c r="B83" s="133"/>
      <c r="C83" s="105" t="s">
        <v>319</v>
      </c>
      <c r="D83" s="105"/>
      <c r="E83" s="105"/>
      <c r="F83" s="105"/>
      <c r="G83" s="105"/>
      <c r="H83" s="105" t="s">
        <v>320</v>
      </c>
      <c r="I83" s="98"/>
      <c r="J83" s="102"/>
      <c r="K83" s="98"/>
    </row>
    <row r="84" spans="2:11">
      <c r="B84" s="133"/>
      <c r="C84" s="134">
        <f>+H50-I50</f>
        <v>-2.1114518925613615</v>
      </c>
      <c r="D84" s="134"/>
      <c r="E84" s="134"/>
      <c r="F84" s="134"/>
      <c r="G84" s="134"/>
      <c r="H84" s="134">
        <f>+H49-I49</f>
        <v>-0.11519421358796693</v>
      </c>
      <c r="I84" s="98"/>
      <c r="J84" s="102"/>
      <c r="K84" s="98"/>
    </row>
    <row r="85" spans="2:11">
      <c r="B85" s="133"/>
      <c r="C85" s="106"/>
      <c r="D85" s="106"/>
      <c r="E85" s="106"/>
      <c r="F85" s="106"/>
      <c r="G85" s="106"/>
      <c r="H85" s="106"/>
      <c r="I85" s="98"/>
      <c r="J85" s="102"/>
      <c r="K85" s="98"/>
    </row>
    <row r="86" spans="2:11">
      <c r="B86" s="133" t="s">
        <v>315</v>
      </c>
      <c r="C86" s="106" t="s">
        <v>319</v>
      </c>
      <c r="D86" s="106"/>
      <c r="E86" s="106"/>
      <c r="F86" s="106"/>
      <c r="G86" s="106"/>
      <c r="H86" s="106"/>
      <c r="I86" s="98"/>
      <c r="J86" s="102"/>
      <c r="K86" s="98"/>
    </row>
    <row r="87" spans="2:11">
      <c r="B87" s="103"/>
      <c r="C87" s="103" t="s">
        <v>321</v>
      </c>
      <c r="D87" s="103"/>
      <c r="E87" s="103"/>
      <c r="F87" s="103"/>
      <c r="G87" s="103"/>
      <c r="H87" s="103" t="s">
        <v>322</v>
      </c>
      <c r="I87" s="98"/>
      <c r="J87" s="102"/>
      <c r="K87" s="98"/>
    </row>
    <row r="88" spans="2:11">
      <c r="B88" s="102"/>
      <c r="C88" s="98"/>
      <c r="D88" s="98"/>
      <c r="E88" s="98"/>
      <c r="F88" s="98"/>
      <c r="G88" s="98"/>
      <c r="H88" s="98"/>
      <c r="I88" s="98"/>
      <c r="J88" s="102"/>
      <c r="K88" s="98"/>
    </row>
    <row r="89" spans="2:11">
      <c r="B89" s="102"/>
      <c r="C89" s="98"/>
      <c r="D89" s="98"/>
      <c r="E89" s="98"/>
      <c r="F89" s="98"/>
      <c r="G89" s="98"/>
      <c r="H89" s="98"/>
      <c r="I89" s="98"/>
      <c r="J89" s="102"/>
      <c r="K89" s="98"/>
    </row>
    <row r="90" spans="2:11">
      <c r="B90" s="127" t="s">
        <v>464</v>
      </c>
      <c r="C90" s="98"/>
      <c r="D90" s="98"/>
      <c r="E90" s="98"/>
      <c r="F90" s="98"/>
      <c r="G90" s="98"/>
      <c r="H90" s="98"/>
      <c r="I90" s="98"/>
      <c r="J90" s="102"/>
      <c r="K90" s="98"/>
    </row>
    <row r="91" spans="2:11">
      <c r="B91" s="102"/>
      <c r="C91" s="98"/>
      <c r="D91" s="98"/>
      <c r="E91" s="98"/>
      <c r="F91" s="98"/>
      <c r="G91" s="98"/>
      <c r="H91" s="98"/>
      <c r="I91" s="98"/>
      <c r="J91" s="102"/>
      <c r="K91" s="98"/>
    </row>
    <row r="92" spans="2:11" ht="63.75">
      <c r="B92" s="109"/>
      <c r="C92" s="124" t="s">
        <v>465</v>
      </c>
      <c r="D92" s="124"/>
      <c r="E92" s="124"/>
      <c r="F92" s="124"/>
      <c r="G92" s="124"/>
      <c r="H92" s="124" t="s">
        <v>690</v>
      </c>
      <c r="I92" s="124" t="s">
        <v>691</v>
      </c>
      <c r="J92" s="124" t="s">
        <v>466</v>
      </c>
      <c r="K92" s="98"/>
    </row>
    <row r="93" spans="2:11">
      <c r="B93" s="102"/>
      <c r="C93" s="130">
        <f>+H43-I43</f>
        <v>0.12669711433593844</v>
      </c>
      <c r="D93" s="130"/>
      <c r="E93" s="130"/>
      <c r="F93" s="130"/>
      <c r="G93" s="130"/>
      <c r="H93" s="130">
        <f>+H44-I44</f>
        <v>0.13656678120504423</v>
      </c>
      <c r="I93" s="131">
        <f>+C84*I49</f>
        <v>-0.24650100502502689</v>
      </c>
      <c r="J93" s="131">
        <f>+H84*H50</f>
        <v>0.23663133815592108</v>
      </c>
      <c r="K93" s="98"/>
    </row>
    <row r="94" spans="2:11">
      <c r="B94" s="102"/>
      <c r="C94" s="98"/>
      <c r="D94" s="98"/>
      <c r="E94" s="98"/>
      <c r="F94" s="98"/>
      <c r="G94" s="98"/>
      <c r="H94" s="225"/>
      <c r="I94" s="98"/>
      <c r="J94" s="102"/>
      <c r="K94" s="98"/>
    </row>
    <row r="95" spans="2:11">
      <c r="B95" s="102"/>
      <c r="C95" s="98"/>
      <c r="D95" s="98"/>
      <c r="E95" s="98"/>
      <c r="F95" s="98"/>
      <c r="G95" s="98"/>
      <c r="H95" s="98"/>
      <c r="I95" s="98"/>
      <c r="J95" s="102"/>
      <c r="K95" s="98"/>
    </row>
    <row r="96" spans="2:11">
      <c r="B96" s="102"/>
      <c r="C96" s="98"/>
      <c r="D96" s="98"/>
      <c r="E96" s="98"/>
      <c r="F96" s="98"/>
      <c r="G96" s="98"/>
      <c r="H96" s="98"/>
      <c r="I96" s="98"/>
      <c r="J96" s="102"/>
      <c r="K96" s="98"/>
    </row>
    <row r="97" spans="2:11">
      <c r="B97" s="102"/>
      <c r="C97" s="98"/>
      <c r="D97" s="98"/>
      <c r="E97" s="98"/>
      <c r="F97" s="98"/>
      <c r="G97" s="98"/>
      <c r="H97" s="98"/>
      <c r="I97" s="98"/>
      <c r="J97" s="102"/>
      <c r="K97" s="98"/>
    </row>
    <row r="98" spans="2:11">
      <c r="B98" s="126" t="s">
        <v>324</v>
      </c>
      <c r="C98" s="135"/>
      <c r="D98" s="135"/>
      <c r="E98" s="135"/>
      <c r="F98" s="135"/>
      <c r="G98" s="135"/>
      <c r="H98" s="135"/>
      <c r="I98" s="98"/>
      <c r="J98" s="102"/>
      <c r="K98" s="98"/>
    </row>
    <row r="99" spans="2:11">
      <c r="B99" s="102"/>
      <c r="C99" s="98"/>
      <c r="D99" s="98"/>
      <c r="E99" s="98"/>
      <c r="F99" s="98"/>
      <c r="G99" s="98"/>
      <c r="H99" s="98"/>
      <c r="I99" s="98"/>
      <c r="J99" s="102"/>
      <c r="K99" s="98"/>
    </row>
    <row r="100" spans="2:11">
      <c r="B100" s="102"/>
      <c r="C100" s="136" t="s">
        <v>325</v>
      </c>
      <c r="D100" s="136"/>
      <c r="E100" s="136"/>
      <c r="F100" s="136"/>
      <c r="G100" s="136"/>
      <c r="H100" s="136" t="s">
        <v>326</v>
      </c>
      <c r="I100" s="136" t="s">
        <v>327</v>
      </c>
      <c r="J100" s="136"/>
      <c r="K100" s="98"/>
    </row>
    <row r="101" spans="2:11">
      <c r="B101" s="102"/>
      <c r="C101" s="226">
        <f>+'Nike Balance Sheet'!X48-'Nike Balance Sheet'!Y48</f>
        <v>811.60000000000036</v>
      </c>
      <c r="D101" s="226"/>
      <c r="E101" s="226"/>
      <c r="F101" s="226"/>
      <c r="G101" s="226"/>
      <c r="H101" s="226">
        <f>+'Nike Balance Sheet'!X32-'Nike Balance Sheet'!Y32</f>
        <v>221.18050000000039</v>
      </c>
      <c r="I101" s="226">
        <f>'Nike Balance Sheet'!X46-'Nike Balance Sheet'!Y46</f>
        <v>590.41950000000008</v>
      </c>
      <c r="J101" s="105"/>
      <c r="K101" s="98"/>
    </row>
    <row r="102" spans="2:11">
      <c r="B102" s="102"/>
      <c r="C102" s="105"/>
      <c r="D102" s="105"/>
      <c r="E102" s="105"/>
      <c r="F102" s="105"/>
      <c r="G102" s="105"/>
      <c r="H102" s="105"/>
      <c r="I102" s="105"/>
      <c r="J102" s="105"/>
      <c r="K102" s="98"/>
    </row>
    <row r="103" spans="2:11">
      <c r="B103" s="102"/>
      <c r="C103" s="105" t="s">
        <v>328</v>
      </c>
      <c r="D103" s="105"/>
      <c r="E103" s="105"/>
      <c r="F103" s="105"/>
      <c r="G103" s="105"/>
      <c r="H103" s="105" t="s">
        <v>329</v>
      </c>
      <c r="I103" s="105"/>
      <c r="J103" s="105"/>
      <c r="K103" s="98"/>
    </row>
    <row r="104" spans="2:11">
      <c r="B104" s="102"/>
      <c r="C104" s="137">
        <f>+H35</f>
        <v>4440.8752500000001</v>
      </c>
      <c r="D104" s="137"/>
      <c r="E104" s="137"/>
      <c r="F104" s="137"/>
      <c r="G104" s="137"/>
      <c r="H104" s="137">
        <f>+H39/H48</f>
        <v>4440.8752500000001</v>
      </c>
      <c r="I104" s="105"/>
      <c r="J104" s="105"/>
      <c r="K104" s="98"/>
    </row>
    <row r="105" spans="2:11">
      <c r="B105" s="102"/>
      <c r="C105" s="105"/>
      <c r="D105" s="105"/>
      <c r="E105" s="105"/>
      <c r="F105" s="105"/>
      <c r="G105" s="105"/>
      <c r="H105" s="105"/>
      <c r="I105" s="105"/>
      <c r="J105" s="105"/>
      <c r="K105" s="98"/>
    </row>
    <row r="106" spans="2:11" ht="51">
      <c r="B106" s="102"/>
      <c r="C106" s="138" t="s">
        <v>325</v>
      </c>
      <c r="D106" s="138"/>
      <c r="E106" s="138"/>
      <c r="F106" s="138"/>
      <c r="G106" s="138"/>
      <c r="H106" s="138" t="s">
        <v>467</v>
      </c>
      <c r="I106" s="138" t="s">
        <v>689</v>
      </c>
      <c r="J106" s="138" t="s">
        <v>468</v>
      </c>
      <c r="K106" s="98"/>
    </row>
    <row r="107" spans="2:11" ht="15.75">
      <c r="B107" s="102"/>
      <c r="C107" s="105"/>
      <c r="D107" s="105"/>
      <c r="E107" s="105"/>
      <c r="F107" s="105"/>
      <c r="G107" s="105"/>
      <c r="H107" s="105" t="s">
        <v>469</v>
      </c>
      <c r="I107" s="105" t="s">
        <v>470</v>
      </c>
      <c r="J107" s="105" t="s">
        <v>327</v>
      </c>
      <c r="K107" s="98"/>
    </row>
    <row r="108" spans="2:11">
      <c r="B108" s="102"/>
      <c r="C108" s="139">
        <f>+H37-I37</f>
        <v>497.85000000000036</v>
      </c>
      <c r="D108" s="139"/>
      <c r="E108" s="139"/>
      <c r="F108" s="139"/>
      <c r="G108" s="139"/>
      <c r="H108" s="139">
        <f>+(H39-I39)/I48</f>
        <v>639.44188721136777</v>
      </c>
      <c r="I108" s="140">
        <f>+H39*(1/H48-1/I48)</f>
        <v>-594.24163721136756</v>
      </c>
      <c r="J108" s="140">
        <f>H36-I36</f>
        <v>-452.64974999999993</v>
      </c>
      <c r="K108" s="98"/>
    </row>
    <row r="109" spans="2:11">
      <c r="B109" s="102"/>
      <c r="C109" s="141"/>
      <c r="D109" s="141"/>
      <c r="E109" s="141"/>
      <c r="F109" s="141"/>
      <c r="G109" s="141"/>
      <c r="H109" s="98"/>
      <c r="I109" s="98"/>
      <c r="J109" s="98"/>
      <c r="K109" s="98"/>
    </row>
    <row r="110" spans="2:11">
      <c r="B110" s="102"/>
      <c r="C110" s="98"/>
      <c r="D110" s="98"/>
      <c r="E110" s="98"/>
      <c r="F110" s="98"/>
      <c r="G110" s="98"/>
      <c r="H110" s="98"/>
      <c r="I110" s="98"/>
      <c r="J110" s="98"/>
      <c r="K110" s="98"/>
    </row>
    <row r="111" spans="2:11">
      <c r="B111" s="102"/>
      <c r="C111" s="98"/>
      <c r="D111" s="98"/>
      <c r="E111" s="98"/>
      <c r="F111" s="98"/>
      <c r="G111" s="98"/>
      <c r="H111" s="98"/>
      <c r="I111" s="98"/>
      <c r="J111" s="98"/>
      <c r="K111" s="98"/>
    </row>
    <row r="112" spans="2:11">
      <c r="B112" s="102"/>
      <c r="C112" s="98"/>
      <c r="D112" s="98"/>
      <c r="E112" s="98"/>
      <c r="F112" s="98"/>
      <c r="G112" s="98"/>
      <c r="H112" s="98"/>
      <c r="I112" s="98"/>
      <c r="J112" s="98"/>
      <c r="K112" s="98"/>
    </row>
    <row r="113" spans="2:11">
      <c r="B113" s="102"/>
      <c r="C113" s="98"/>
      <c r="D113" s="98"/>
      <c r="E113" s="98"/>
      <c r="F113" s="98"/>
      <c r="G113" s="98"/>
      <c r="H113" s="98"/>
      <c r="I113" s="98"/>
      <c r="J113" s="98"/>
      <c r="K113" s="98"/>
    </row>
    <row r="114" spans="2:11">
      <c r="B114" s="102"/>
      <c r="C114" s="98"/>
      <c r="D114" s="98"/>
      <c r="E114" s="98"/>
      <c r="F114" s="98"/>
      <c r="G114" s="98"/>
      <c r="H114" s="98"/>
      <c r="I114" s="98"/>
      <c r="J114" s="98"/>
      <c r="K114" s="98"/>
    </row>
    <row r="115" spans="2:11">
      <c r="B115" s="102"/>
      <c r="C115" s="98"/>
      <c r="D115" s="98"/>
      <c r="E115" s="98"/>
      <c r="F115" s="98"/>
      <c r="G115" s="98"/>
      <c r="H115" s="98"/>
      <c r="I115" s="98"/>
      <c r="J115" s="98"/>
      <c r="K115" s="98"/>
    </row>
    <row r="116" spans="2:11">
      <c r="B116" s="102"/>
      <c r="C116" s="98"/>
      <c r="D116" s="98"/>
      <c r="E116" s="98"/>
      <c r="F116" s="98"/>
      <c r="G116" s="98"/>
      <c r="H116" s="98"/>
      <c r="I116" s="98"/>
      <c r="J116" s="98"/>
      <c r="K116" s="98"/>
    </row>
    <row r="117" spans="2:11">
      <c r="B117" s="102"/>
      <c r="C117" s="98"/>
      <c r="D117" s="98"/>
      <c r="E117" s="98"/>
      <c r="F117" s="98"/>
      <c r="G117" s="98"/>
      <c r="H117" s="98"/>
      <c r="I117" s="98"/>
      <c r="J117" s="98"/>
      <c r="K117" s="98"/>
    </row>
    <row r="118" spans="2:11">
      <c r="B118" s="102"/>
      <c r="C118" s="98"/>
      <c r="D118" s="98"/>
      <c r="E118" s="98"/>
      <c r="F118" s="98"/>
      <c r="G118" s="98"/>
      <c r="H118" s="98"/>
      <c r="I118" s="98"/>
      <c r="J118" s="98"/>
      <c r="K118" s="98"/>
    </row>
    <row r="119" spans="2:11">
      <c r="B119" s="102"/>
      <c r="C119" s="98"/>
      <c r="D119" s="98"/>
      <c r="E119" s="98"/>
      <c r="F119" s="98"/>
      <c r="G119" s="98"/>
      <c r="H119" s="98"/>
      <c r="I119" s="98"/>
      <c r="J119" s="98"/>
      <c r="K119" s="98"/>
    </row>
    <row r="120" spans="2:11">
      <c r="B120" s="102"/>
      <c r="C120" s="98"/>
      <c r="D120" s="98"/>
      <c r="E120" s="98"/>
      <c r="F120" s="98"/>
      <c r="G120" s="98"/>
      <c r="H120" s="98"/>
      <c r="I120" s="98"/>
      <c r="J120" s="98"/>
      <c r="K120" s="98"/>
    </row>
    <row r="121" spans="2:11">
      <c r="B121" s="102"/>
      <c r="C121" s="98"/>
      <c r="D121" s="98"/>
      <c r="E121" s="98"/>
      <c r="F121" s="98"/>
      <c r="G121" s="98"/>
      <c r="H121" s="98"/>
      <c r="I121" s="98"/>
      <c r="J121" s="98"/>
      <c r="K121" s="98"/>
    </row>
    <row r="122" spans="2:11">
      <c r="B122" s="102"/>
      <c r="C122" s="98"/>
      <c r="D122" s="98"/>
      <c r="E122" s="98"/>
      <c r="F122" s="98"/>
      <c r="G122" s="98"/>
      <c r="H122" s="98"/>
      <c r="I122" s="98"/>
      <c r="J122" s="98"/>
      <c r="K122" s="98"/>
    </row>
    <row r="123" spans="2:11">
      <c r="B123" s="98"/>
      <c r="C123" s="98"/>
      <c r="D123" s="98"/>
      <c r="E123" s="98"/>
      <c r="F123" s="98"/>
      <c r="G123" s="98"/>
      <c r="H123" s="98"/>
      <c r="I123" s="98"/>
      <c r="J123" s="98"/>
      <c r="K123" s="98"/>
    </row>
    <row r="124" spans="2:11">
      <c r="B124" s="102"/>
      <c r="C124" s="98"/>
      <c r="D124" s="98"/>
      <c r="E124" s="98"/>
      <c r="F124" s="98"/>
      <c r="G124" s="98"/>
      <c r="H124" s="98"/>
      <c r="I124" s="98"/>
      <c r="J124" s="98"/>
      <c r="K124" s="98"/>
    </row>
    <row r="125" spans="2:11">
      <c r="B125" s="102"/>
      <c r="C125" s="98"/>
      <c r="D125" s="98"/>
      <c r="E125" s="98"/>
      <c r="F125" s="98"/>
      <c r="G125" s="98"/>
      <c r="H125" s="98"/>
      <c r="I125" s="98"/>
      <c r="J125" s="98"/>
      <c r="K125" s="98"/>
    </row>
    <row r="126" spans="2:11">
      <c r="B126" s="102"/>
      <c r="C126" s="98"/>
      <c r="D126" s="98"/>
      <c r="E126" s="98"/>
      <c r="F126" s="98"/>
      <c r="G126" s="98"/>
      <c r="H126" s="98"/>
      <c r="I126" s="98"/>
      <c r="J126" s="98"/>
      <c r="K126" s="98"/>
    </row>
    <row r="127" spans="2:11">
      <c r="B127" s="102"/>
      <c r="C127" s="98"/>
      <c r="D127" s="98"/>
      <c r="E127" s="98"/>
      <c r="F127" s="98"/>
      <c r="G127" s="98"/>
      <c r="H127" s="98"/>
      <c r="I127" s="98"/>
      <c r="J127" s="98"/>
      <c r="K127" s="98"/>
    </row>
    <row r="128" spans="2:11">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row r="137" spans="2:2">
      <c r="B137" s="29"/>
    </row>
    <row r="138" spans="2:2">
      <c r="B138" s="29"/>
    </row>
    <row r="139" spans="2:2">
      <c r="B139" s="29"/>
    </row>
    <row r="140" spans="2:2">
      <c r="B140" s="29"/>
    </row>
    <row r="141" spans="2:2">
      <c r="B141" s="29"/>
    </row>
    <row r="142" spans="2:2">
      <c r="B142" s="29"/>
    </row>
    <row r="143" spans="2:2">
      <c r="B143" s="29"/>
    </row>
    <row r="144" spans="2:2">
      <c r="B144" s="29"/>
    </row>
    <row r="145" spans="2:10">
      <c r="B145" s="29"/>
    </row>
    <row r="146" spans="2:10">
      <c r="B146" s="29"/>
    </row>
    <row r="147" spans="2:10">
      <c r="B147" s="29"/>
    </row>
    <row r="148" spans="2:10">
      <c r="B148" s="29"/>
    </row>
    <row r="149" spans="2:10">
      <c r="B149" s="29"/>
    </row>
    <row r="150" spans="2:10">
      <c r="B150" s="29"/>
    </row>
    <row r="151" spans="2:10">
      <c r="B151" s="29"/>
    </row>
    <row r="152" spans="2:10">
      <c r="B152" s="29"/>
    </row>
    <row r="153" spans="2:10">
      <c r="B153" s="29"/>
    </row>
    <row r="154" spans="2:10">
      <c r="B154" s="29"/>
      <c r="J154" s="29"/>
    </row>
    <row r="155" spans="2:10">
      <c r="B155" s="29"/>
      <c r="J155" s="29"/>
    </row>
    <row r="156" spans="2:10">
      <c r="B156" s="29"/>
      <c r="J156" s="29"/>
    </row>
    <row r="157" spans="2:10">
      <c r="B157" s="29"/>
      <c r="J157" s="29"/>
    </row>
    <row r="158" spans="2:10">
      <c r="B158" s="29"/>
      <c r="J158" s="29"/>
    </row>
    <row r="159" spans="2:10">
      <c r="B159" s="29"/>
      <c r="J159" s="29"/>
    </row>
    <row r="160" spans="2:10">
      <c r="B160" s="29"/>
      <c r="J160" s="29"/>
    </row>
    <row r="161" spans="2:10">
      <c r="B161" s="29"/>
      <c r="J161" s="29"/>
    </row>
    <row r="162" spans="2:10">
      <c r="B162" s="29"/>
      <c r="J162" s="29"/>
    </row>
    <row r="163" spans="2:10">
      <c r="B163" s="29"/>
      <c r="J163" s="29"/>
    </row>
    <row r="164" spans="2:10">
      <c r="B164" s="29"/>
      <c r="J164" s="29"/>
    </row>
    <row r="165" spans="2:10">
      <c r="B165" s="29"/>
      <c r="J165" s="29"/>
    </row>
    <row r="166" spans="2:10">
      <c r="B166" s="29"/>
      <c r="J166" s="29"/>
    </row>
    <row r="167" spans="2:10">
      <c r="B167" s="29"/>
      <c r="J167" s="29"/>
    </row>
    <row r="168" spans="2:10">
      <c r="B168" s="29"/>
      <c r="J168" s="29"/>
    </row>
    <row r="169" spans="2:10">
      <c r="B169" s="29"/>
      <c r="J169" s="29"/>
    </row>
    <row r="170" spans="2:10">
      <c r="B170" s="29"/>
      <c r="J170" s="29"/>
    </row>
    <row r="171" spans="2:10">
      <c r="B171" s="29"/>
      <c r="J171" s="29"/>
    </row>
    <row r="172" spans="2:10">
      <c r="B172" s="29"/>
      <c r="J172" s="29"/>
    </row>
    <row r="173" spans="2:10">
      <c r="B173" s="29"/>
      <c r="J173" s="29"/>
    </row>
    <row r="174" spans="2:10">
      <c r="B174" s="29"/>
      <c r="J174" s="29"/>
    </row>
    <row r="175" spans="2:10">
      <c r="B175" s="29"/>
      <c r="J175" s="29"/>
    </row>
    <row r="176" spans="2:10">
      <c r="B176" s="29"/>
      <c r="J176" s="29"/>
    </row>
    <row r="177" spans="2:10">
      <c r="B177" s="29"/>
      <c r="J177" s="29"/>
    </row>
    <row r="178" spans="2:10">
      <c r="B178" s="29"/>
      <c r="J178" s="29"/>
    </row>
    <row r="179" spans="2:10">
      <c r="B179" s="29"/>
      <c r="J179" s="29"/>
    </row>
    <row r="180" spans="2:10">
      <c r="B180" s="29"/>
      <c r="J180" s="29"/>
    </row>
    <row r="181" spans="2:10">
      <c r="B181" s="29"/>
      <c r="J181" s="29"/>
    </row>
    <row r="182" spans="2:10">
      <c r="B182" s="29"/>
      <c r="J182" s="29"/>
    </row>
    <row r="183" spans="2:10">
      <c r="B183" s="29"/>
      <c r="J183" s="29"/>
    </row>
    <row r="184" spans="2:10">
      <c r="B184" s="29"/>
      <c r="J184" s="29"/>
    </row>
    <row r="185" spans="2:10">
      <c r="B185" s="29"/>
      <c r="J185" s="29"/>
    </row>
    <row r="186" spans="2:10">
      <c r="B186" s="29"/>
      <c r="J186" s="29"/>
    </row>
    <row r="187" spans="2:10">
      <c r="B187" s="29"/>
      <c r="J187" s="29"/>
    </row>
    <row r="188" spans="2:10">
      <c r="B188" s="29"/>
      <c r="J188" s="29"/>
    </row>
    <row r="189" spans="2:10">
      <c r="B189" s="29"/>
      <c r="J189" s="29"/>
    </row>
    <row r="190" spans="2:10">
      <c r="B190" s="29"/>
      <c r="J190" s="29"/>
    </row>
    <row r="191" spans="2:10">
      <c r="B191" s="29"/>
      <c r="J191" s="29"/>
    </row>
    <row r="192" spans="2:10">
      <c r="B192" s="29"/>
      <c r="J192" s="29"/>
    </row>
    <row r="193" spans="2:10">
      <c r="B193" s="29"/>
      <c r="J193" s="29"/>
    </row>
    <row r="194" spans="2:10">
      <c r="B194" s="29"/>
      <c r="J194" s="29"/>
    </row>
    <row r="195" spans="2:10">
      <c r="B195" s="29"/>
      <c r="J195" s="29"/>
    </row>
    <row r="196" spans="2:10">
      <c r="B196" s="29"/>
      <c r="J196" s="29"/>
    </row>
    <row r="197" spans="2:10">
      <c r="B197" s="29"/>
      <c r="J197" s="29"/>
    </row>
    <row r="198" spans="2:10">
      <c r="B198" s="29"/>
      <c r="J198" s="29"/>
    </row>
    <row r="199" spans="2:10">
      <c r="B199" s="29"/>
      <c r="J199" s="29"/>
    </row>
    <row r="200" spans="2:10">
      <c r="B200" s="29"/>
      <c r="J200" s="29"/>
    </row>
    <row r="201" spans="2:10">
      <c r="B201" s="29"/>
      <c r="J201" s="29"/>
    </row>
    <row r="202" spans="2:10">
      <c r="B202" s="29"/>
      <c r="J202" s="29"/>
    </row>
    <row r="203" spans="2:10">
      <c r="B203" s="29"/>
      <c r="J203" s="29"/>
    </row>
    <row r="204" spans="2:10">
      <c r="B204" s="29"/>
      <c r="J204" s="29"/>
    </row>
    <row r="205" spans="2:10">
      <c r="B205" s="29"/>
      <c r="J205" s="29"/>
    </row>
    <row r="206" spans="2:10">
      <c r="B206" s="29"/>
      <c r="J206" s="29"/>
    </row>
    <row r="207" spans="2:10">
      <c r="B207" s="29"/>
      <c r="J207" s="29"/>
    </row>
    <row r="208" spans="2:10">
      <c r="B208" s="29"/>
      <c r="J208" s="29"/>
    </row>
    <row r="209" spans="2:10">
      <c r="B209" s="29"/>
      <c r="J209" s="29"/>
    </row>
    <row r="210" spans="2:10">
      <c r="B210" s="29"/>
      <c r="J210" s="29"/>
    </row>
    <row r="211" spans="2:10">
      <c r="B211" s="29"/>
      <c r="J211" s="29"/>
    </row>
    <row r="212" spans="2:10">
      <c r="B212" s="29"/>
      <c r="J212" s="29"/>
    </row>
    <row r="213" spans="2:10">
      <c r="B213" s="29"/>
      <c r="J213" s="29"/>
    </row>
    <row r="214" spans="2:10">
      <c r="B214" s="29"/>
      <c r="J214" s="29"/>
    </row>
    <row r="215" spans="2:10">
      <c r="B215" s="29"/>
      <c r="J215" s="29"/>
    </row>
    <row r="216" spans="2:10">
      <c r="B216" s="29"/>
      <c r="J216" s="29"/>
    </row>
    <row r="217" spans="2:10">
      <c r="B217" s="29"/>
      <c r="J217" s="29"/>
    </row>
    <row r="218" spans="2:10">
      <c r="B218" s="29"/>
      <c r="J218" s="29"/>
    </row>
    <row r="219" spans="2:10">
      <c r="B219" s="29"/>
      <c r="J219" s="29"/>
    </row>
    <row r="220" spans="2:10">
      <c r="B220" s="29"/>
      <c r="J220" s="29"/>
    </row>
    <row r="221" spans="2:10">
      <c r="B221" s="29"/>
      <c r="J221" s="29"/>
    </row>
    <row r="222" spans="2:10">
      <c r="B222" s="29"/>
      <c r="J222" s="29"/>
    </row>
    <row r="223" spans="2:10">
      <c r="B223" s="29"/>
      <c r="J223" s="29"/>
    </row>
    <row r="224" spans="2:10">
      <c r="B224" s="29"/>
      <c r="J224" s="29"/>
    </row>
    <row r="225" spans="2:10">
      <c r="B225" s="29"/>
      <c r="J225" s="29"/>
    </row>
  </sheetData>
  <mergeCells count="1">
    <mergeCell ref="C62:I62"/>
  </mergeCells>
  <phoneticPr fontId="0" type="noConversion"/>
  <pageMargins left="0.75" right="0.75" top="1" bottom="1" header="0.5" footer="0.5"/>
  <pageSetup scale="59" orientation="landscape" r:id="rId1"/>
  <headerFooter alignWithMargins="0">
    <oddFooter>&amp;C&amp;8Financial Statement Analysis and Security Valuation: Roadmap&amp;R&amp;8Stephen H. Penman 2003</oddFooter>
  </headerFooter>
</worksheet>
</file>

<file path=xl/worksheets/sheet13.xml><?xml version="1.0" encoding="utf-8"?>
<worksheet xmlns="http://schemas.openxmlformats.org/spreadsheetml/2006/main" xmlns:r="http://schemas.openxmlformats.org/officeDocument/2006/relationships">
  <sheetPr codeName="Sheet12">
    <pageSetUpPr fitToPage="1"/>
  </sheetPr>
  <dimension ref="B1:W101"/>
  <sheetViews>
    <sheetView workbookViewId="0"/>
  </sheetViews>
  <sheetFormatPr defaultRowHeight="12.75"/>
  <cols>
    <col min="1" max="1" width="2" customWidth="1"/>
    <col min="2" max="2" width="50.5703125" customWidth="1"/>
    <col min="3" max="6" width="12" customWidth="1"/>
    <col min="7" max="8" width="10.5703125" customWidth="1"/>
    <col min="9" max="9" width="10.28515625" customWidth="1"/>
    <col min="10" max="10" width="10" customWidth="1"/>
    <col min="11" max="15" width="10.140625" bestFit="1" customWidth="1"/>
    <col min="16" max="16" width="9.140625" style="27"/>
    <col min="17" max="17" width="51.140625" customWidth="1"/>
    <col min="18" max="21" width="12.85546875" customWidth="1"/>
    <col min="22" max="23" width="10.85546875" customWidth="1"/>
  </cols>
  <sheetData>
    <row r="1" spans="2:23" ht="10.5" customHeight="1"/>
    <row r="2" spans="2:23" ht="15.75">
      <c r="B2" s="1" t="s">
        <v>290</v>
      </c>
      <c r="C2" s="1"/>
      <c r="D2" s="1"/>
      <c r="E2" s="1"/>
      <c r="F2" s="1"/>
      <c r="G2" s="1"/>
      <c r="H2" s="1"/>
      <c r="I2" s="1"/>
      <c r="J2" s="1"/>
    </row>
    <row r="3" spans="2:23" ht="15">
      <c r="B3" s="2" t="s">
        <v>709</v>
      </c>
      <c r="C3" s="2"/>
      <c r="D3" s="2"/>
      <c r="E3" s="2"/>
      <c r="F3" s="2"/>
      <c r="G3" s="2"/>
      <c r="H3" s="2"/>
      <c r="I3" s="2"/>
      <c r="J3" s="2"/>
    </row>
    <row r="4" spans="2:23" ht="15">
      <c r="B4" s="14"/>
      <c r="C4" s="14"/>
      <c r="D4" s="14"/>
      <c r="E4" s="14"/>
      <c r="F4" s="14"/>
      <c r="G4" s="2"/>
      <c r="H4" s="2"/>
      <c r="I4" s="2"/>
      <c r="J4" s="2"/>
    </row>
    <row r="5" spans="2:23" ht="15.75">
      <c r="B5" s="1" t="s">
        <v>495</v>
      </c>
      <c r="C5" s="1"/>
      <c r="D5" s="1"/>
      <c r="E5" s="1"/>
      <c r="F5" s="1"/>
      <c r="G5" s="2"/>
      <c r="H5" s="2"/>
      <c r="I5" s="2"/>
      <c r="J5" s="2"/>
    </row>
    <row r="6" spans="2:23" ht="15.75">
      <c r="B6" s="1"/>
      <c r="C6" s="1"/>
      <c r="D6" s="1"/>
      <c r="E6" s="1"/>
      <c r="F6" s="1"/>
      <c r="G6" s="2"/>
      <c r="H6" s="2"/>
      <c r="I6" s="2"/>
      <c r="J6" s="2"/>
    </row>
    <row r="7" spans="2:23" ht="15.75">
      <c r="B7" s="1"/>
      <c r="C7" s="1"/>
      <c r="D7" s="1"/>
      <c r="E7" s="1"/>
      <c r="F7" s="1"/>
      <c r="G7" s="2"/>
      <c r="H7" s="2"/>
      <c r="I7" s="2"/>
      <c r="J7" s="2"/>
    </row>
    <row r="8" spans="2:23" ht="15.75">
      <c r="B8" s="32" t="s">
        <v>505</v>
      </c>
      <c r="C8" s="32"/>
      <c r="D8" s="32"/>
      <c r="E8" s="32"/>
      <c r="F8" s="32"/>
      <c r="G8" s="2"/>
      <c r="H8" s="2"/>
      <c r="I8" s="2"/>
      <c r="J8" s="2"/>
    </row>
    <row r="9" spans="2:23" ht="15">
      <c r="B9" s="2"/>
      <c r="C9" s="2"/>
      <c r="D9" s="2"/>
      <c r="E9" s="2"/>
      <c r="F9" s="2"/>
      <c r="G9" s="2"/>
      <c r="H9" s="2"/>
      <c r="I9" s="2"/>
      <c r="J9" s="2"/>
    </row>
    <row r="10" spans="2:23" ht="15.75">
      <c r="B10" s="1" t="s">
        <v>546</v>
      </c>
      <c r="C10" s="1"/>
      <c r="D10" s="1"/>
      <c r="E10" s="1"/>
      <c r="F10" s="1"/>
      <c r="G10" s="1"/>
      <c r="H10" s="1"/>
      <c r="I10" s="1"/>
      <c r="J10" s="1"/>
    </row>
    <row r="12" spans="2:23" ht="47.25" customHeight="1">
      <c r="B12" s="370" t="s">
        <v>610</v>
      </c>
      <c r="C12" s="370"/>
      <c r="D12" s="370"/>
      <c r="E12" s="370"/>
      <c r="F12" s="370"/>
      <c r="G12" s="370"/>
      <c r="H12" s="370"/>
      <c r="I12" s="370"/>
      <c r="J12" s="370"/>
      <c r="K12" s="370"/>
      <c r="L12" s="144"/>
      <c r="M12" s="144"/>
      <c r="N12" s="144"/>
      <c r="O12" s="144"/>
    </row>
    <row r="15" spans="2:23">
      <c r="B15" s="3" t="s">
        <v>412</v>
      </c>
      <c r="C15" s="3"/>
      <c r="D15" s="3"/>
      <c r="E15" s="3"/>
      <c r="F15" s="3"/>
      <c r="G15" s="3"/>
      <c r="H15" s="3"/>
      <c r="I15" s="3"/>
      <c r="J15" s="3"/>
      <c r="Q15" s="3" t="s">
        <v>412</v>
      </c>
      <c r="R15" s="3"/>
      <c r="S15" s="3"/>
      <c r="T15" s="3"/>
      <c r="U15" s="3"/>
      <c r="V15" s="3"/>
      <c r="W15" s="3"/>
    </row>
    <row r="16" spans="2:23">
      <c r="B16" s="3" t="s">
        <v>411</v>
      </c>
      <c r="C16" s="3"/>
      <c r="D16" s="3"/>
      <c r="E16" s="3"/>
      <c r="F16" s="3"/>
      <c r="G16" s="3"/>
      <c r="H16" s="3"/>
      <c r="I16" s="3"/>
      <c r="J16" s="3"/>
      <c r="Q16" s="3" t="s">
        <v>413</v>
      </c>
      <c r="R16" s="3"/>
      <c r="S16" s="3"/>
      <c r="T16" s="3"/>
      <c r="U16" s="3"/>
      <c r="V16" s="3"/>
      <c r="W16" s="3"/>
    </row>
    <row r="18" spans="2:23">
      <c r="Q18" t="s">
        <v>521</v>
      </c>
    </row>
    <row r="19" spans="2:23" ht="13.5" thickBot="1">
      <c r="B19" s="5" t="s">
        <v>731</v>
      </c>
      <c r="C19" s="221">
        <f>+'Nike Income Statement'!S14</f>
        <v>39599</v>
      </c>
      <c r="D19" s="221">
        <f>+'Nike Income Statement'!T14</f>
        <v>39233</v>
      </c>
      <c r="E19" s="221">
        <f>+'Nike Income Statement'!U14</f>
        <v>38868</v>
      </c>
      <c r="F19" s="221">
        <f>+'Nike Income Statement'!V14</f>
        <v>38503</v>
      </c>
      <c r="G19" s="221">
        <f>+'Nike Income Statement'!W14</f>
        <v>38138</v>
      </c>
      <c r="H19" s="221">
        <f>+'Nike Income Statement'!X14</f>
        <v>37772</v>
      </c>
      <c r="I19" s="221">
        <f>+'Nike Income Statement'!Y14</f>
        <v>37407</v>
      </c>
      <c r="J19" s="221">
        <f>+'Nike Income Statement'!Z14</f>
        <v>37042</v>
      </c>
      <c r="K19" s="221">
        <f>+'Nike Income Statement'!AA14</f>
        <v>36677</v>
      </c>
      <c r="L19" s="221">
        <f>+'Nike Income Statement'!AB14</f>
        <v>36311</v>
      </c>
      <c r="M19" s="221">
        <f>+'Nike Income Statement'!AC14</f>
        <v>35946</v>
      </c>
      <c r="N19" s="221">
        <f>+'Nike Income Statement'!AD14</f>
        <v>35581</v>
      </c>
      <c r="O19" s="221">
        <f>+'Nike Income Statement'!AE14</f>
        <v>35216</v>
      </c>
      <c r="Q19" s="5" t="s">
        <v>731</v>
      </c>
      <c r="R19" s="6">
        <f>+'Nike Income Statement'!S14</f>
        <v>39599</v>
      </c>
      <c r="S19" s="6">
        <f>+'Nike Income Statement'!T14</f>
        <v>39233</v>
      </c>
      <c r="T19" s="6">
        <f>+'Nike Income Statement'!U14</f>
        <v>38868</v>
      </c>
      <c r="U19" s="6">
        <f>+'Nike Income Statement'!V14</f>
        <v>38503</v>
      </c>
      <c r="V19" s="6">
        <f>+'Nike Income Statement'!W14</f>
        <v>38138</v>
      </c>
      <c r="W19" s="6">
        <f>+'Nike Income Statement'!X14</f>
        <v>37772</v>
      </c>
    </row>
    <row r="20" spans="2:23" s="66" customFormat="1">
      <c r="B20" t="s">
        <v>200</v>
      </c>
      <c r="C20" s="68">
        <f>+'Nike Income Statement'!S15/'Nike Income Statement'!S$15</f>
        <v>1</v>
      </c>
      <c r="D20" s="68">
        <f>+'Nike Income Statement'!T15/'Nike Income Statement'!T$15</f>
        <v>1</v>
      </c>
      <c r="E20" s="68">
        <f>+'Nike Income Statement'!U15/'Nike Income Statement'!U$15</f>
        <v>1</v>
      </c>
      <c r="F20" s="68">
        <f>+'Nike Income Statement'!V15/'Nike Income Statement'!V$15</f>
        <v>1</v>
      </c>
      <c r="G20" s="68">
        <f>+'Nike Income Statement'!W15/'Nike Income Statement'!W$15</f>
        <v>1</v>
      </c>
      <c r="H20" s="68">
        <f>+'Nike Income Statement'!X15/'Nike Income Statement'!X$15</f>
        <v>1</v>
      </c>
      <c r="I20" s="68">
        <f>+'Nike Income Statement'!Y15/'Nike Income Statement'!Y$15</f>
        <v>1</v>
      </c>
      <c r="J20" s="68">
        <f>+'Nike Income Statement'!Z15/'Nike Income Statement'!Z$15</f>
        <v>1</v>
      </c>
      <c r="K20" s="68">
        <f>+'Nike Income Statement'!AA15/'Nike Income Statement'!AA$15</f>
        <v>1</v>
      </c>
      <c r="L20" s="68">
        <f>+'Nike Income Statement'!AB15/'Nike Income Statement'!AB$15</f>
        <v>1</v>
      </c>
      <c r="M20" s="68">
        <f>+'Nike Income Statement'!AC15/'Nike Income Statement'!AC$15</f>
        <v>1</v>
      </c>
      <c r="N20" s="68">
        <f>+'Nike Income Statement'!AD15/'Nike Income Statement'!AD$15</f>
        <v>1</v>
      </c>
      <c r="O20" s="68">
        <f>+'Nike Income Statement'!AE15/'Nike Income Statement'!AE$15</f>
        <v>1</v>
      </c>
      <c r="P20" s="263"/>
      <c r="Q20" t="s">
        <v>200</v>
      </c>
      <c r="R20" s="68">
        <f>+'Nike Income Statement'!S15/'Nike Income Statement'!$X15</f>
        <v>1.7413293446760774</v>
      </c>
      <c r="S20" s="68">
        <f>+'Nike Income Statement'!T15/'Nike Income Statement'!$X15</f>
        <v>1.5262129569038048</v>
      </c>
      <c r="T20" s="68">
        <f>+'Nike Income Statement'!U15/'Nike Income Statement'!$X15</f>
        <v>1.3980461811722913</v>
      </c>
      <c r="U20" s="68">
        <f>+'Nike Income Statement'!V15/'Nike Income Statement'!$X15</f>
        <v>1.2844442367018791</v>
      </c>
      <c r="V20" s="68">
        <f>+'Nike Income Statement'!W15/'Nike Income Statement'!$X15</f>
        <v>1.1454706927175844</v>
      </c>
      <c r="W20" s="68">
        <f>+'Nike Income Statement'!X15/'Nike Income Statement'!$X15</f>
        <v>1</v>
      </c>
    </row>
    <row r="21" spans="2:23">
      <c r="B21" t="s">
        <v>668</v>
      </c>
      <c r="C21" s="80">
        <f>+'Nike Income Statement'!S16/'Nike Income Statement'!S$15</f>
        <v>0.54971815107102595</v>
      </c>
      <c r="D21" s="80">
        <f>+'Nike Income Statement'!T16/'Nike Income Statement'!T$15</f>
        <v>0.5614024341690198</v>
      </c>
      <c r="E21" s="80">
        <f>+'Nike Income Statement'!U16/'Nike Income Statement'!U$15</f>
        <v>0.55954235735444569</v>
      </c>
      <c r="F21" s="80">
        <f>+'Nike Income Statement'!V16/'Nike Income Statement'!V$15</f>
        <v>0.55491022365844955</v>
      </c>
      <c r="G21" s="80">
        <f>+'Nike Income Statement'!W16/'Nike Income Statement'!W$15</f>
        <v>0.57139825839991509</v>
      </c>
      <c r="H21" s="80">
        <f>+'Nike Income Statement'!X16/'Nike Income Statement'!X$15</f>
        <v>0.5902215574460129</v>
      </c>
      <c r="I21" s="80">
        <f>+'Nike Income Statement'!Y16/'Nike Income Statement'!Y$15</f>
        <v>0.60696452036793691</v>
      </c>
      <c r="J21" s="80">
        <f>+'Nike Income Statement'!Z16/'Nike Income Statement'!Z$15</f>
        <v>0.60965559396340951</v>
      </c>
      <c r="K21" s="80">
        <f>+'Nike Income Statement'!AA16/'Nike Income Statement'!AA$15</f>
        <v>0.60074929683939038</v>
      </c>
      <c r="L21" s="80">
        <f>+'Nike Income Statement'!AB16/'Nike Income Statement'!AB$15</f>
        <v>0.62590436258815763</v>
      </c>
      <c r="M21" s="80">
        <f>+'Nike Income Statement'!AC16/'Nike Income Statement'!AC$15</f>
        <v>0.63492478881200864</v>
      </c>
      <c r="N21" s="80">
        <f>+'Nike Income Statement'!AD16/'Nike Income Statement'!AD$15</f>
        <v>0.5990311870679802</v>
      </c>
      <c r="O21" s="80">
        <f>+'Nike Income Statement'!AE16/'Nike Income Statement'!AE$15</f>
        <v>0.6037616295243099</v>
      </c>
      <c r="Q21" t="s">
        <v>668</v>
      </c>
      <c r="R21" s="80">
        <f>+'Nike Income Statement'!S16/'Nike Income Statement'!$X16</f>
        <v>1.6218322351748606</v>
      </c>
      <c r="S21" s="80">
        <f>+'Nike Income Statement'!T16/'Nike Income Statement'!$X16</f>
        <v>1.4516915864166242</v>
      </c>
      <c r="T21" s="80">
        <f>+'Nike Income Statement'!U16/'Nike Income Statement'!$X16</f>
        <v>1.3253769640141915</v>
      </c>
      <c r="U21" s="80">
        <f>+'Nike Income Statement'!V16/'Nike Income Statement'!$X16</f>
        <v>1.2075994678155093</v>
      </c>
      <c r="V21" s="80">
        <f>+'Nike Income Statement'!W16/'Nike Income Statement'!$X16</f>
        <v>1.1089394323365431</v>
      </c>
      <c r="W21" s="80">
        <f>+'Nike Income Statement'!X16/'Nike Income Statement'!$X16</f>
        <v>1</v>
      </c>
    </row>
    <row r="22" spans="2:23">
      <c r="B22" t="s">
        <v>199</v>
      </c>
      <c r="C22" s="68">
        <f>+'Nike Income Statement'!S17/'Nike Income Statement'!S$15</f>
        <v>0.45028184892897405</v>
      </c>
      <c r="D22" s="68">
        <f>+'Nike Income Statement'!T17/'Nike Income Statement'!T$15</f>
        <v>0.43859756583098025</v>
      </c>
      <c r="E22" s="68">
        <f>+'Nike Income Statement'!U17/'Nike Income Statement'!U$15</f>
        <v>0.44045764264555431</v>
      </c>
      <c r="F22" s="68">
        <f>+'Nike Income Statement'!V17/'Nike Income Statement'!V$15</f>
        <v>0.44508977634155039</v>
      </c>
      <c r="G22" s="68">
        <f>+'Nike Income Statement'!W17/'Nike Income Statement'!W$15</f>
        <v>0.42860174160008491</v>
      </c>
      <c r="H22" s="68">
        <f>+'Nike Income Statement'!X17/'Nike Income Statement'!X$15</f>
        <v>0.40977844255398704</v>
      </c>
      <c r="I22" s="68">
        <f>+'Nike Income Statement'!Y17/'Nike Income Statement'!Y$15</f>
        <v>0.39303547963206309</v>
      </c>
      <c r="J22" s="68">
        <f>+'Nike Income Statement'!Z17/'Nike Income Statement'!Z$15</f>
        <v>0.39034440603659049</v>
      </c>
      <c r="K22" s="68">
        <f>+'Nike Income Statement'!AA17/'Nike Income Statement'!AA$15</f>
        <v>0.39925070316060968</v>
      </c>
      <c r="L22" s="68">
        <f>+'Nike Income Statement'!AB17/'Nike Income Statement'!AB$15</f>
        <v>0.37409563741184243</v>
      </c>
      <c r="M22" s="68">
        <f>+'Nike Income Statement'!AC17/'Nike Income Statement'!AC$15</f>
        <v>0.36507521118799136</v>
      </c>
      <c r="N22" s="68">
        <f>+'Nike Income Statement'!AD17/'Nike Income Statement'!AD$15</f>
        <v>0.4009688129320198</v>
      </c>
      <c r="O22" s="68">
        <f>+'Nike Income Statement'!AE17/'Nike Income Statement'!AE$15</f>
        <v>0.3962383704756901</v>
      </c>
      <c r="Q22" t="s">
        <v>199</v>
      </c>
      <c r="R22" s="68">
        <f>+'Nike Income Statement'!S17/'Nike Income Statement'!$X17</f>
        <v>1.9134461833280103</v>
      </c>
      <c r="S22" s="68">
        <f>+'Nike Income Statement'!T17/'Nike Income Statement'!$X17</f>
        <v>1.6335492996304239</v>
      </c>
      <c r="T22" s="68">
        <f>+'Nike Income Statement'!U17/'Nike Income Statement'!$X17</f>
        <v>1.5027147876077931</v>
      </c>
      <c r="U22" s="68">
        <f>+'Nike Income Statement'!V17/'Nike Income Statement'!$X17</f>
        <v>1.3951270703107179</v>
      </c>
      <c r="V22" s="68">
        <f>+'Nike Income Statement'!W17/'Nike Income Statement'!$X17</f>
        <v>1.1980882420039241</v>
      </c>
      <c r="W22" s="68">
        <f>+'Nike Income Statement'!X17/'Nike Income Statement'!$X17</f>
        <v>1</v>
      </c>
    </row>
    <row r="23" spans="2:23">
      <c r="B23" t="s">
        <v>201</v>
      </c>
      <c r="H23" s="68"/>
      <c r="I23" s="68"/>
      <c r="J23" s="68"/>
      <c r="K23" s="68"/>
      <c r="L23" s="68"/>
      <c r="M23" s="68"/>
      <c r="N23" s="68"/>
      <c r="O23" s="68"/>
      <c r="Q23" t="s">
        <v>201</v>
      </c>
      <c r="R23" s="68"/>
      <c r="S23" s="68"/>
      <c r="T23" s="68"/>
      <c r="U23" s="68"/>
      <c r="V23" s="68"/>
      <c r="W23" s="68"/>
    </row>
    <row r="24" spans="2:23">
      <c r="B24" s="23" t="s">
        <v>669</v>
      </c>
      <c r="C24" s="68">
        <f>+'Nike Income Statement'!S19/'Nike Income Statement'!S$15</f>
        <v>0.19570515917753797</v>
      </c>
      <c r="D24" s="68">
        <f>+'Nike Income Statement'!T19/'Nike Income Statement'!T$15</f>
        <v>0.19088074776888256</v>
      </c>
      <c r="E24" s="68">
        <f>+'Nike Income Statement'!U19/'Nike Income Statement'!U$15</f>
        <v>0.18305705822172</v>
      </c>
      <c r="F24" s="68">
        <f>+'Nike Income Statement'!V19/'Nike Income Statement'!V$15</f>
        <v>0.19076107920842522</v>
      </c>
      <c r="G24" s="68">
        <f>+'Nike Income Statement'!W19/'Nike Income Statement'!W$15</f>
        <v>0.18869510572834627</v>
      </c>
      <c r="H24" s="68">
        <f>+'Nike Income Statement'!X19/'Nike Income Statement'!X$15</f>
        <v>0.18522015518369636</v>
      </c>
      <c r="I24" s="68">
        <f>+'Nike Income Statement'!Y19/'Nike Income Statement'!Y$15</f>
        <v>0.18230061659759425</v>
      </c>
      <c r="J24" s="68">
        <f>+'Nike Income Statement'!Z19/'Nike Income Statement'!Z$15</f>
        <v>0.17946421043756849</v>
      </c>
      <c r="K24" s="68">
        <f>+'Nike Income Statement'!AA19/'Nike Income Statement'!AA$15</f>
        <v>0.18046491978966325</v>
      </c>
      <c r="L24" s="68">
        <f>+'Nike Income Statement'!AB19/'Nike Income Statement'!AB$15</f>
        <v>0.16424933632603766</v>
      </c>
      <c r="M24" s="68">
        <f>+'Nike Income Statement'!AC19/'Nike Income Statement'!AC$15</f>
        <v>0.1561168625891072</v>
      </c>
      <c r="N24" s="68">
        <f>+'Nike Income Statement'!AD19/'Nike Income Statement'!AD$15</f>
        <v>0.14430958471670383</v>
      </c>
      <c r="O24" s="68">
        <f>+'Nike Income Statement'!AE19/'Nike Income Statement'!AE$15</f>
        <v>0.14533428121039776</v>
      </c>
      <c r="Q24" s="23" t="s">
        <v>669</v>
      </c>
      <c r="R24" s="68">
        <f>+'Nike Income Statement'!S19/'Nike Income Statement'!$X19</f>
        <v>1.8399030939282288</v>
      </c>
      <c r="S24" s="68">
        <f>+'Nike Income Statement'!T19/'Nike Income Statement'!$X19</f>
        <v>1.5728562055216271</v>
      </c>
      <c r="T24" s="68">
        <f>+'Nike Income Statement'!U19/'Nike Income Statement'!$X19</f>
        <v>1.381719073335689</v>
      </c>
      <c r="U24" s="68">
        <f>+'Nike Income Statement'!V19/'Nike Income Statement'!$X19</f>
        <v>1.3228688234997223</v>
      </c>
      <c r="V24" s="68">
        <f>+'Nike Income Statement'!W19/'Nike Income Statement'!$X19</f>
        <v>1.1669610861555544</v>
      </c>
      <c r="W24" s="68">
        <f>+'Nike Income Statement'!X19/'Nike Income Statement'!$X19</f>
        <v>1</v>
      </c>
    </row>
    <row r="25" spans="2:23">
      <c r="B25" s="23" t="s">
        <v>671</v>
      </c>
      <c r="C25" s="68">
        <f>+'Nike Income Statement'!S20/'Nike Income Statement'!S$15</f>
        <v>0.12392226338111345</v>
      </c>
      <c r="D25" s="68">
        <f>+'Nike Income Statement'!T20/'Nike Income Statement'!T$15</f>
        <v>0.11713902449482112</v>
      </c>
      <c r="E25" s="68">
        <f>+'Nike Income Statement'!U20/'Nike Income Statement'!U$15</f>
        <v>0.11636319868404336</v>
      </c>
      <c r="F25" s="68">
        <f>+'Nike Income Statement'!V20/'Nike Income Statement'!V$15</f>
        <v>0.11650181590573302</v>
      </c>
      <c r="G25" s="68">
        <f>+'Nike Income Statement'!W20/'Nike Income Statement'!W$15</f>
        <v>0.11245317511486889</v>
      </c>
      <c r="H25" s="68">
        <f>+'Nike Income Statement'!X20/'Nike Income Statement'!X$15</f>
        <v>0.10907731139571843</v>
      </c>
      <c r="I25" s="68">
        <f>+'Nike Income Statement'!Y20/'Nike Income Statement'!Y$15</f>
        <v>0.10390174871120995</v>
      </c>
      <c r="J25" s="68">
        <f>+'Nike Income Statement'!Z20/'Nike Income Statement'!Z$15</f>
        <v>0.10519770677008686</v>
      </c>
      <c r="K25" s="68">
        <f>+'Nike Income Statement'!AA20/'Nike Income Statement'!AA$15</f>
        <v>0.10874809618570111</v>
      </c>
      <c r="L25" s="68">
        <f>+'Nike Income Statement'!AB20/'Nike Income Statement'!AB$15</f>
        <v>0.11149722567193429</v>
      </c>
      <c r="M25" s="68">
        <f>+'Nike Income Statement'!AC20/'Nike Income Statement'!AC$15</f>
        <v>0.11819200050245468</v>
      </c>
      <c r="N25" s="68">
        <f>+'Nike Income Statement'!AD20/'Nike Income Statement'!AD$15</f>
        <v>0.10649322375224514</v>
      </c>
      <c r="O25" s="68">
        <f>+'Nike Income Statement'!AE20/'Nike Income Statement'!AE$15</f>
        <v>9.9295274008592713E-2</v>
      </c>
      <c r="Q25" s="23" t="s">
        <v>671</v>
      </c>
      <c r="R25" s="68">
        <f>+'Nike Income Statement'!S20/'Nike Income Statement'!$X20</f>
        <v>1.9783167637984234</v>
      </c>
      <c r="S25" s="68">
        <f>+'Nike Income Statement'!T20/'Nike Income Statement'!$X20</f>
        <v>1.6390126842646555</v>
      </c>
      <c r="T25" s="68">
        <f>+'Nike Income Statement'!U20/'Nike Income Statement'!$X20</f>
        <v>1.4914295509084676</v>
      </c>
      <c r="U25" s="68">
        <f>+'Nike Income Statement'!V20/'Nike Income Statement'!$X20</f>
        <v>1.3718717860815908</v>
      </c>
      <c r="V25" s="68">
        <f>+'Nike Income Statement'!W20/'Nike Income Statement'!$X20</f>
        <v>1.1809221803222489</v>
      </c>
      <c r="W25" s="68">
        <f>+'Nike Income Statement'!X20/'Nike Income Statement'!$X20</f>
        <v>1</v>
      </c>
    </row>
    <row r="26" spans="2:23">
      <c r="B26" s="23" t="s">
        <v>670</v>
      </c>
      <c r="C26" s="68">
        <f>+'Nike Income Statement'!S21/'Nike Income Statement'!S$15</f>
        <v>0</v>
      </c>
      <c r="D26" s="68">
        <f>+'Nike Income Statement'!T21/'Nike Income Statement'!T$15</f>
        <v>0</v>
      </c>
      <c r="E26" s="68">
        <f>+'Nike Income Statement'!U21/'Nike Income Statement'!U$15</f>
        <v>0</v>
      </c>
      <c r="F26" s="68">
        <f>+'Nike Income Statement'!V21/'Nike Income Statement'!V$15</f>
        <v>0</v>
      </c>
      <c r="G26" s="68">
        <f>+'Nike Income Statement'!W21/'Nike Income Statement'!W$15</f>
        <v>9.793440027421631E-4</v>
      </c>
      <c r="H26" s="68">
        <f>+'Nike Income Statement'!X21/'Nike Income Statement'!X$15</f>
        <v>3.3654295596896328E-4</v>
      </c>
      <c r="I26" s="68">
        <f>+'Nike Income Statement'!Y21/'Nike Income Statement'!Y$15</f>
        <v>2.6281208935611036E-4</v>
      </c>
      <c r="J26" s="68">
        <f>+'Nike Income Statement'!Z21/'Nike Income Statement'!Z$15</f>
        <v>2.634685102436557E-4</v>
      </c>
      <c r="K26" s="68">
        <f>+'Nike Income Statement'!AA21/'Nike Income Statement'!AA$15</f>
        <v>2.0566753009972094E-3</v>
      </c>
      <c r="L26" s="68">
        <f>+'Nike Income Statement'!AB21/'Nike Income Statement'!AB$15</f>
        <v>2.2103476170401851E-3</v>
      </c>
      <c r="M26" s="68">
        <f>+'Nike Income Statement'!AC21/'Nike Income Statement'!AC$15</f>
        <v>2.0726256398446575E-3</v>
      </c>
      <c r="N26" s="68">
        <f>+'Nike Income Statement'!AD21/'Nike Income Statement'!AD$15</f>
        <v>2.1553366352800307E-3</v>
      </c>
      <c r="O26" s="68">
        <f>+'Nike Income Statement'!AE21/'Nike Income Statement'!AE$15</f>
        <v>3.3690847834822119E-3</v>
      </c>
      <c r="Q26" s="23" t="s">
        <v>670</v>
      </c>
      <c r="R26" s="68">
        <f>+'Nike Income Statement'!S21/'Nike Income Statement'!$X21</f>
        <v>0</v>
      </c>
      <c r="S26" s="68">
        <f>+'Nike Income Statement'!T21/'Nike Income Statement'!$X21</f>
        <v>0</v>
      </c>
      <c r="T26" s="68">
        <f>+'Nike Income Statement'!U21/'Nike Income Statement'!$X21</f>
        <v>0</v>
      </c>
      <c r="U26" s="68">
        <f>+'Nike Income Statement'!V21/'Nike Income Statement'!$X21</f>
        <v>0</v>
      </c>
      <c r="V26" s="68">
        <f>+'Nike Income Statement'!W21/'Nike Income Statement'!$X21</f>
        <v>3.333333333333333</v>
      </c>
      <c r="W26" s="68">
        <f>+'Nike Income Statement'!X21/'Nike Income Statement'!$X21</f>
        <v>1</v>
      </c>
    </row>
    <row r="27" spans="2:23">
      <c r="B27" s="23" t="s">
        <v>750</v>
      </c>
      <c r="C27" s="80">
        <f>+'Nike Income Statement'!S22/'Nike Income Statement'!S$15</f>
        <v>-3.6774574542331024E-3</v>
      </c>
      <c r="D27" s="80">
        <f>+'Nike Income Statement'!T22/'Nike Income Statement'!T$15</f>
        <v>5.5127129285368648E-5</v>
      </c>
      <c r="E27" s="80">
        <f>+'Nike Income Statement'!U22/'Nike Income Statement'!U$15</f>
        <v>-2.9421794863222089E-4</v>
      </c>
      <c r="F27" s="80">
        <f>+'Nike Income Statement'!V22/'Nike Income Statement'!V$15</f>
        <v>-2.1179501735845759E-3</v>
      </c>
      <c r="G27" s="80">
        <f>+'Nike Income Statement'!W22/'Nike Income Statement'!W$15</f>
        <v>6.0964164170699657E-3</v>
      </c>
      <c r="H27" s="80">
        <f>+'Nike Income Statement'!X22/'Nike Income Statement'!X$15</f>
        <v>7.4693839394222687E-3</v>
      </c>
      <c r="I27" s="80">
        <f>+'Nike Income Statement'!Y22/'Nike Income Statement'!Y$15</f>
        <v>3.0324471848781968E-4</v>
      </c>
      <c r="J27" s="80">
        <f>+'Nike Income Statement'!Z22/'Nike Income Statement'!Z$15</f>
        <v>3.593710479723464E-3</v>
      </c>
      <c r="K27" s="80">
        <f>+'Nike Income Statement'!AA22/'Nike Income Statement'!AA$15</f>
        <v>2.5791819990883926E-3</v>
      </c>
      <c r="L27" s="80">
        <f>+'Nike Income Statement'!AB22/'Nike Income Statement'!AB$15</f>
        <v>2.4496120498125763E-3</v>
      </c>
      <c r="M27" s="80">
        <f>+'Nike Income Statement'!AC22/'Nike Income Statement'!AC$15</f>
        <v>2.1877715087249162E-3</v>
      </c>
      <c r="N27" s="80">
        <f>+'Nike Income Statement'!AD22/'Nike Income Statement'!AD$15</f>
        <v>3.5160289555325745E-3</v>
      </c>
      <c r="O27" s="80">
        <f>+'Nike Income Statement'!AE22/'Nike Income Statement'!AE$15</f>
        <v>5.6718078694402378E-3</v>
      </c>
      <c r="Q27" s="23" t="s">
        <v>750</v>
      </c>
      <c r="R27" s="68">
        <f>+'Nike Income Statement'!S22/'Nike Income Statement'!$X22</f>
        <v>-0.85732165206508126</v>
      </c>
      <c r="S27" s="68">
        <f>+'Nike Income Statement'!T22/'Nike Income Statement'!$X22</f>
        <v>1.1264080100125156E-2</v>
      </c>
      <c r="T27" s="68">
        <f>+'Nike Income Statement'!U22/'Nike Income Statement'!$X22</f>
        <v>-5.5068836045056323E-2</v>
      </c>
      <c r="U27" s="68">
        <f>+'Nike Income Statement'!V22/'Nike Income Statement'!$X22</f>
        <v>-0.3642052565707134</v>
      </c>
      <c r="V27" s="68">
        <f>+'Nike Income Statement'!W22/'Nike Income Statement'!$X22</f>
        <v>0.93491864831038796</v>
      </c>
      <c r="W27" s="68">
        <f>+'Nike Income Statement'!X22/'Nike Income Statement'!$X22</f>
        <v>1</v>
      </c>
    </row>
    <row r="28" spans="2:23">
      <c r="B28" t="s">
        <v>202</v>
      </c>
      <c r="C28" s="148">
        <f>+'Nike Income Statement'!S23/'Nike Income Statement'!S$15</f>
        <v>0.32330488001288449</v>
      </c>
      <c r="D28" s="148">
        <f>+'Nike Income Statement'!T23/'Nike Income Statement'!T$15</f>
        <v>0.30796464513441835</v>
      </c>
      <c r="E28" s="148">
        <f>+'Nike Income Statement'!U23/'Nike Income Statement'!U$15</f>
        <v>0.29971447485439556</v>
      </c>
      <c r="F28" s="148">
        <f>+'Nike Income Statement'!V23/'Nike Income Statement'!V$15</f>
        <v>0.30514494494057359</v>
      </c>
      <c r="G28" s="148">
        <f>+'Nike Income Statement'!W23/'Nike Income Statement'!W$15</f>
        <v>0.30822404126302727</v>
      </c>
      <c r="H28" s="148">
        <f>+'Nike Income Statement'!X23/'Nike Income Statement'!X$15</f>
        <v>0.30210339347480603</v>
      </c>
      <c r="I28" s="148">
        <f>+'Nike Income Statement'!Y23/'Nike Income Statement'!Y$15</f>
        <v>0.28676842211664816</v>
      </c>
      <c r="J28" s="148">
        <f>+'Nike Income Statement'!Z23/'Nike Income Statement'!Z$15</f>
        <v>0.28851909619762245</v>
      </c>
      <c r="K28" s="148">
        <f>+'Nike Income Statement'!AA23/'Nike Income Statement'!AA$15</f>
        <v>0.29384887327544995</v>
      </c>
      <c r="L28" s="148">
        <f>+'Nike Income Statement'!AB23/'Nike Income Statement'!AB$15</f>
        <v>0.28040652166482471</v>
      </c>
      <c r="M28" s="148">
        <f>+'Nike Income Statement'!AC23/'Nike Income Statement'!AC$15</f>
        <v>0.27856926024013151</v>
      </c>
      <c r="N28" s="148">
        <f>+'Nike Income Statement'!AD23/'Nike Income Statement'!AD$15</f>
        <v>0.25647417405976158</v>
      </c>
      <c r="O28" s="148">
        <f>+'Nike Income Statement'!AE23/'Nike Income Statement'!AE$15</f>
        <v>0.25367044787191295</v>
      </c>
      <c r="Q28" t="s">
        <v>202</v>
      </c>
      <c r="R28" s="80">
        <f>+'Nike Income Statement'!S23/'Nike Income Statement'!$X23</f>
        <v>1.863535090976606</v>
      </c>
      <c r="S28" s="80">
        <f>+'Nike Income Statement'!T23/'Nike Income Statement'!$X23</f>
        <v>1.5558237405619508</v>
      </c>
      <c r="T28" s="80">
        <f>+'Nike Income Statement'!U23/'Nike Income Statement'!$X23</f>
        <v>1.3869909642282461</v>
      </c>
      <c r="U28" s="80">
        <f>+'Nike Income Statement'!V23/'Nike Income Statement'!$X23</f>
        <v>1.2973759128605025</v>
      </c>
      <c r="V28" s="80">
        <f>+'Nike Income Statement'!W23/'Nike Income Statement'!$X23</f>
        <v>1.1686780542146304</v>
      </c>
      <c r="W28" s="80">
        <f>+'Nike Income Statement'!X23/'Nike Income Statement'!$X23</f>
        <v>1</v>
      </c>
    </row>
    <row r="29" spans="2:23">
      <c r="B29" t="s">
        <v>580</v>
      </c>
      <c r="C29" s="148">
        <f>+'Nike Income Statement'!S24/'Nike Income Statement'!S$15</f>
        <v>0.12697696891608953</v>
      </c>
      <c r="D29" s="148">
        <f>+'Nike Income Statement'!T24/'Nike Income Statement'!T$15</f>
        <v>0.1306329206965619</v>
      </c>
      <c r="E29" s="148">
        <f>+'Nike Income Statement'!U24/'Nike Income Statement'!U$15</f>
        <v>0.14074316779115878</v>
      </c>
      <c r="F29" s="148">
        <f>+'Nike Income Statement'!V24/'Nike Income Statement'!V$15</f>
        <v>0.1399448314009768</v>
      </c>
      <c r="G29" s="148">
        <f>+'Nike Income Statement'!W24/'Nike Income Statement'!W$15</f>
        <v>0.12037770033705764</v>
      </c>
      <c r="H29" s="148">
        <f>+'Nike Income Statement'!X24/'Nike Income Statement'!X$15</f>
        <v>0.10767504907918106</v>
      </c>
      <c r="I29" s="148">
        <f>+'Nike Income Statement'!Y24/'Nike Income Statement'!Y$15</f>
        <v>0.10626705751541496</v>
      </c>
      <c r="J29" s="148">
        <f>+'Nike Income Statement'!Z24/'Nike Income Statement'!Z$15</f>
        <v>0.10182530983896804</v>
      </c>
      <c r="K29" s="148">
        <f>+'Nike Income Statement'!AA24/'Nike Income Statement'!AA$15</f>
        <v>0.10540182988515974</v>
      </c>
      <c r="L29" s="148">
        <f>+'Nike Income Statement'!AB24/'Nike Income Statement'!AB$15</f>
        <v>9.3689115747017715E-2</v>
      </c>
      <c r="M29" s="148">
        <f>+'Nike Income Statement'!AC24/'Nike Income Statement'!AC$15</f>
        <v>8.6505950947859858E-2</v>
      </c>
      <c r="N29" s="148">
        <f>+'Nike Income Statement'!AD24/'Nike Income Statement'!AD$15</f>
        <v>0.14449463887225822</v>
      </c>
      <c r="O29" s="148">
        <f>+'Nike Income Statement'!AE24/'Nike Income Statement'!AE$15</f>
        <v>0.14256792260377718</v>
      </c>
      <c r="Q29" t="s">
        <v>580</v>
      </c>
      <c r="R29" s="80">
        <f>+'Nike Income Statement'!S24/'Nike Income Statement'!$X24</f>
        <v>2.0534815072061123</v>
      </c>
      <c r="S29" s="80">
        <f>+'Nike Income Statement'!T24/'Nike Income Statement'!$X24</f>
        <v>1.8516235457544716</v>
      </c>
      <c r="T29" s="80">
        <f>+'Nike Income Statement'!U24/'Nike Income Statement'!$X24</f>
        <v>1.827400590380275</v>
      </c>
      <c r="U29" s="80">
        <f>+'Nike Income Statement'!V24/'Nike Income Statement'!$X24</f>
        <v>1.6693870463622169</v>
      </c>
      <c r="V29" s="80">
        <f>+'Nike Income Statement'!W24/'Nike Income Statement'!$X24</f>
        <v>1.2806042715749273</v>
      </c>
      <c r="W29" s="80">
        <f>+'Nike Income Statement'!X24/'Nike Income Statement'!$X24</f>
        <v>1</v>
      </c>
    </row>
    <row r="30" spans="2:23">
      <c r="B30" t="s">
        <v>203</v>
      </c>
      <c r="C30" s="68"/>
      <c r="D30" s="68"/>
      <c r="E30" s="68"/>
      <c r="F30" s="68"/>
      <c r="G30" s="68"/>
      <c r="H30" s="68"/>
      <c r="I30" s="68"/>
      <c r="J30" s="68"/>
      <c r="K30" s="68"/>
      <c r="L30" s="189"/>
      <c r="M30" s="189"/>
      <c r="N30" s="189"/>
      <c r="O30" s="189"/>
      <c r="Q30" t="s">
        <v>203</v>
      </c>
      <c r="R30" s="68"/>
      <c r="S30" s="68"/>
      <c r="T30" s="68"/>
      <c r="U30" s="68"/>
      <c r="V30" s="68"/>
      <c r="W30" s="68"/>
    </row>
    <row r="31" spans="2:23">
      <c r="B31" s="23" t="s">
        <v>204</v>
      </c>
      <c r="C31" s="68">
        <f>+'Nike Income Statement'!S26/'Nike Income Statement'!S$15</f>
        <v>3.3258173618940248E-2</v>
      </c>
      <c r="D31" s="68">
        <f>+'Nike Income Statement'!T26/'Nike Income Statement'!T$15</f>
        <v>4.3391175984172387E-2</v>
      </c>
      <c r="E31" s="68">
        <f>+'Nike Income Statement'!U26/'Nike Income Statement'!U$15</f>
        <v>5.0124039612434723E-2</v>
      </c>
      <c r="F31" s="68">
        <f>+'Nike Income Statement'!V26/'Nike Income Statement'!V$15</f>
        <v>4.7177158162114166E-2</v>
      </c>
      <c r="G31" s="68">
        <f>+'Nike Income Statement'!W26/'Nike Income Statement'!W$15</f>
        <v>4.1165092915262255E-2</v>
      </c>
      <c r="H31" s="68">
        <f>+'Nike Income Statement'!X26/'Nike Income Statement'!X$15</f>
        <v>3.5795082733476674E-2</v>
      </c>
      <c r="I31" s="68">
        <f>+'Nike Income Statement'!Y26/'Nike Income Statement'!Y$15</f>
        <v>3.5277468917416357E-2</v>
      </c>
      <c r="J31" s="68">
        <f>+'Nike Income Statement'!Z26/'Nike Income Statement'!Z$15</f>
        <v>3.4957001939128235E-2</v>
      </c>
      <c r="K31" s="68">
        <f>+'Nike Income Statement'!AA26/'Nike Income Statement'!AA$15</f>
        <v>3.7809474046981137E-2</v>
      </c>
      <c r="L31" s="68">
        <f>+'Nike Income Statement'!AB26/'Nike Income Statement'!AB$15</f>
        <v>3.3576775399058893E-2</v>
      </c>
      <c r="M31" s="68">
        <f>+'Nike Income Statement'!AC26/'Nike Income Statement'!AC$15</f>
        <v>2.6525421067506882E-2</v>
      </c>
      <c r="N31" s="68">
        <f>+'Nike Income Statement'!AD26/'Nike Income Statement'!AD$15</f>
        <v>5.4362379578729657E-2</v>
      </c>
      <c r="O31" s="68">
        <f>+'Nike Income Statement'!AE26/'Nike Income Statement'!AE$15</f>
        <v>5.3457175532408113E-2</v>
      </c>
      <c r="Q31" s="23" t="s">
        <v>204</v>
      </c>
      <c r="R31" s="68">
        <f>+'Nike Income Statement'!S26/'Nike Income Statement'!$X26</f>
        <v>1.6179159049360148</v>
      </c>
      <c r="S31" s="68">
        <f>+'Nike Income Statement'!T26/'Nike Income Statement'!$X26</f>
        <v>1.8500914076782451</v>
      </c>
      <c r="T31" s="68">
        <f>+'Nike Income Statement'!U26/'Nike Income Statement'!$X26</f>
        <v>1.9576913032123271</v>
      </c>
      <c r="U31" s="68">
        <f>+'Nike Income Statement'!V26/'Nike Income Statement'!$X26</f>
        <v>1.6928702010968923</v>
      </c>
      <c r="V31" s="68">
        <f>+'Nike Income Statement'!W26/'Nike Income Statement'!$X26</f>
        <v>1.3173152259075476</v>
      </c>
      <c r="W31" s="68">
        <f>+'Nike Income Statement'!X26/'Nike Income Statement'!$X26</f>
        <v>1</v>
      </c>
    </row>
    <row r="32" spans="2:23">
      <c r="B32" s="23" t="s">
        <v>574</v>
      </c>
      <c r="C32" s="68">
        <f>+'Nike Income Statement'!S27/'Nike Income Statement'!S$15</f>
        <v>-1.1864497772051325E-3</v>
      </c>
      <c r="D32" s="68">
        <f>+'Nike Income Statement'!T27/'Nike Income Statement'!T$15</f>
        <v>0</v>
      </c>
      <c r="E32" s="68">
        <f>+'Nike Income Statement'!U27/'Nike Income Statement'!U$15</f>
        <v>0</v>
      </c>
      <c r="F32" s="68">
        <f>+'Nike Income Statement'!V27/'Nike Income Statement'!V$15</f>
        <v>0</v>
      </c>
      <c r="G32" s="68">
        <f>+'Nike Income Statement'!W27/'Nike Income Statement'!W$15</f>
        <v>0</v>
      </c>
      <c r="H32" s="68">
        <f>+'Nike Income Statement'!X27/'Nike Income Statement'!X$15</f>
        <v>0</v>
      </c>
      <c r="I32" s="68">
        <f>+'Nike Income Statement'!Y27/'Nike Income Statement'!Y$15</f>
        <v>0</v>
      </c>
      <c r="J32" s="68">
        <f>+'Nike Income Statement'!Z27/'Nike Income Statement'!Z$15</f>
        <v>0</v>
      </c>
      <c r="K32" s="68">
        <f>+'Nike Income Statement'!AA27/'Nike Income Statement'!AA$15</f>
        <v>-1.0366755233404853E-4</v>
      </c>
      <c r="L32" s="189">
        <f>+'Nike Income Statement'!AB27/'Nike Income Statement'!AB$15</f>
        <v>2.0297029702970302E-3</v>
      </c>
      <c r="M32" s="189">
        <f>+'Nike Income Statement'!AC27/'Nike Income Statement'!AC$15</f>
        <v>5.2758999696433618E-3</v>
      </c>
      <c r="N32" s="189">
        <f>+'Nike Income Statement'!AD27/'Nike Income Statement'!AD$15</f>
        <v>0</v>
      </c>
      <c r="O32" s="189">
        <f>+'Nike Income Statement'!AE27/'Nike Income Statement'!AE$15</f>
        <v>0</v>
      </c>
      <c r="Q32" s="23" t="s">
        <v>574</v>
      </c>
      <c r="R32" s="269" t="s">
        <v>516</v>
      </c>
      <c r="S32" s="269" t="s">
        <v>516</v>
      </c>
      <c r="T32" s="269" t="s">
        <v>516</v>
      </c>
      <c r="U32" s="269" t="s">
        <v>516</v>
      </c>
      <c r="V32" s="269" t="s">
        <v>516</v>
      </c>
      <c r="W32" s="269" t="s">
        <v>516</v>
      </c>
    </row>
    <row r="33" spans="2:23">
      <c r="B33" s="23" t="s">
        <v>205</v>
      </c>
      <c r="C33" s="80">
        <f>+'Nike Income Statement'!S28/'Nike Income Statement'!S$15</f>
        <v>-1.5066516347237878E-3</v>
      </c>
      <c r="D33" s="80">
        <f>+'Nike Income Statement'!T28/'Nike Income Statement'!T$15</f>
        <v>-1.4982818711372727E-3</v>
      </c>
      <c r="E33" s="80">
        <f>+'Nike Income Statement'!U28/'Nike Income Statement'!U$15</f>
        <v>-8.9570642398143743E-4</v>
      </c>
      <c r="F33" s="80">
        <f>+'Nike Income Statement'!V28/'Nike Income Statement'!V$15</f>
        <v>-1.2716434856656258E-4</v>
      </c>
      <c r="G33" s="80">
        <f>+'Nike Income Statement'!W28/'Nike Income Statement'!W$15</f>
        <v>7.5695130211946363E-4</v>
      </c>
      <c r="H33" s="80">
        <f>+'Nike Income Statement'!X28/'Nike Income Statement'!X$15</f>
        <v>1.0096288679068896E-3</v>
      </c>
      <c r="I33" s="80">
        <f>+'Nike Income Statement'!Y28/'Nike Income Statement'!Y$15</f>
        <v>1.2784797331446478E-3</v>
      </c>
      <c r="J33" s="80">
        <f>+'Nike Income Statement'!Z28/'Nike Income Statement'!Z$15</f>
        <v>1.7657870331338002E-3</v>
      </c>
      <c r="K33" s="80">
        <f>+'Nike Income Statement'!AA28/'Nike Income Statement'!AA$15</f>
        <v>1.3020644573156495E-3</v>
      </c>
      <c r="L33" s="80">
        <f>+'Nike Income Statement'!AB28/'Nike Income Statement'!AB$15</f>
        <v>1.3996399639963999E-3</v>
      </c>
      <c r="M33" s="80">
        <f>+'Nike Income Statement'!AC28/'Nike Income Statement'!AC$15</f>
        <v>1.7667563408736431E-3</v>
      </c>
      <c r="N33" s="80">
        <f>+'Nike Income Statement'!AD28/'Nike Income Statement'!AD$15</f>
        <v>1.3529853589506339E-3</v>
      </c>
      <c r="O33" s="80">
        <f>+'Nike Income Statement'!AE28/'Nike Income Statement'!AE$15</f>
        <v>1.3922974685500571E-3</v>
      </c>
      <c r="Q33" s="23" t="s">
        <v>205</v>
      </c>
      <c r="R33" s="80">
        <f>+'Nike Income Statement'!S28/'Nike Income Statement'!$X28</f>
        <v>-2.5985555555555555</v>
      </c>
      <c r="S33" s="80">
        <f>+'Nike Income Statement'!T28/'Nike Income Statement'!$X28</f>
        <v>-2.2648888888888892</v>
      </c>
      <c r="T33" s="80">
        <f>+'Nike Income Statement'!U28/'Nike Income Statement'!$X28</f>
        <v>-1.2402962962962962</v>
      </c>
      <c r="U33" s="80">
        <f>+'Nike Income Statement'!V28/'Nike Income Statement'!$X28</f>
        <v>-0.1617777777777778</v>
      </c>
      <c r="V33" s="80">
        <f>+'Nike Income Statement'!W28/'Nike Income Statement'!$X28</f>
        <v>0.85879629629629639</v>
      </c>
      <c r="W33" s="80">
        <f>+'Nike Income Statement'!X28/'Nike Income Statement'!$X28</f>
        <v>1</v>
      </c>
    </row>
    <row r="34" spans="2:23">
      <c r="B34" t="s">
        <v>206</v>
      </c>
      <c r="C34" s="148">
        <f>+'Nike Income Statement'!S29/'Nike Income Statement'!S$15</f>
        <v>3.0565072207011327E-2</v>
      </c>
      <c r="D34" s="148">
        <f>+'Nike Income Statement'!T29/'Nike Income Statement'!T$15</f>
        <v>4.1892894113035116E-2</v>
      </c>
      <c r="E34" s="148">
        <f>+'Nike Income Statement'!U29/'Nike Income Statement'!U$15</f>
        <v>4.922833318845328E-2</v>
      </c>
      <c r="F34" s="148">
        <f>+'Nike Income Statement'!V29/'Nike Income Statement'!V$15</f>
        <v>4.7049993813547603E-2</v>
      </c>
      <c r="G34" s="148">
        <f>+'Nike Income Statement'!W29/'Nike Income Statement'!W$15</f>
        <v>4.1922044217381722E-2</v>
      </c>
      <c r="H34" s="148">
        <f>+'Nike Income Statement'!X29/'Nike Income Statement'!X$15</f>
        <v>3.6804711601383565E-2</v>
      </c>
      <c r="I34" s="148">
        <f>+'Nike Income Statement'!Y29/'Nike Income Statement'!Y$15</f>
        <v>3.6555948650561006E-2</v>
      </c>
      <c r="J34" s="148">
        <f>+'Nike Income Statement'!Z29/'Nike Income Statement'!Z$15</f>
        <v>3.6722788972262034E-2</v>
      </c>
      <c r="K34" s="148">
        <f>+'Nike Income Statement'!AA29/'Nike Income Statement'!AA$15</f>
        <v>3.9007870951962738E-2</v>
      </c>
      <c r="L34" s="148">
        <f>+'Nike Income Statement'!AB29/'Nike Income Statement'!AB$15</f>
        <v>3.7006118333352322E-2</v>
      </c>
      <c r="M34" s="148">
        <f>+'Nike Income Statement'!AC29/'Nike Income Statement'!AC$15</f>
        <v>3.3568077378023885E-2</v>
      </c>
      <c r="N34" s="148">
        <f>+'Nike Income Statement'!AD29/'Nike Income Statement'!AD$15</f>
        <v>5.5715364937680284E-2</v>
      </c>
      <c r="O34" s="148">
        <f>+'Nike Income Statement'!AE29/'Nike Income Statement'!AE$15</f>
        <v>5.4849473000958174E-2</v>
      </c>
      <c r="Q34" t="s">
        <v>206</v>
      </c>
      <c r="R34" s="148">
        <f>+'Nike Income Statement'!S29/'Nike Income Statement'!$X29</f>
        <v>1.4461153162306326</v>
      </c>
      <c r="S34" s="148">
        <f>+'Nike Income Statement'!T29/'Nike Income Statement'!$X29</f>
        <v>1.737209042418085</v>
      </c>
      <c r="T34" s="148">
        <f>+'Nike Income Statement'!U29/'Nike Income Statement'!$X29</f>
        <v>1.8699639319278638</v>
      </c>
      <c r="U34" s="148">
        <f>+'Nike Income Statement'!V29/'Nike Income Statement'!$X29</f>
        <v>1.6419933959867921</v>
      </c>
      <c r="V34" s="148">
        <f>+'Nike Income Statement'!W29/'Nike Income Statement'!$X29</f>
        <v>1.3047371094742188</v>
      </c>
      <c r="W34" s="148">
        <f>+'Nike Income Statement'!X29/'Nike Income Statement'!$X29</f>
        <v>1</v>
      </c>
    </row>
    <row r="35" spans="2:23">
      <c r="B35" t="s">
        <v>581</v>
      </c>
      <c r="C35" s="68">
        <f>+'Nike Income Statement'!S30/'Nike Income Statement'!S$15</f>
        <v>9.641189670907821E-2</v>
      </c>
      <c r="D35" s="68">
        <f>+'Nike Income Statement'!T30/'Nike Income Statement'!T$15</f>
        <v>8.8740026583526782E-2</v>
      </c>
      <c r="E35" s="68">
        <f>+'Nike Income Statement'!U30/'Nike Income Statement'!U$15</f>
        <v>9.1514834602705486E-2</v>
      </c>
      <c r="F35" s="68">
        <f>+'Nike Income Statement'!V30/'Nike Income Statement'!V$15</f>
        <v>9.2894837587429197E-2</v>
      </c>
      <c r="G35" s="68">
        <f>+'Nike Income Statement'!W30/'Nike Income Statement'!W$15</f>
        <v>7.8455656119675907E-2</v>
      </c>
      <c r="H35" s="68">
        <f>+'Nike Income Statement'!X30/'Nike Income Statement'!X$15</f>
        <v>7.0870337477797488E-2</v>
      </c>
      <c r="I35" s="68">
        <f>+'Nike Income Statement'!Y30/'Nike Income Statement'!Y$15</f>
        <v>6.9711108864853946E-2</v>
      </c>
      <c r="J35" s="68">
        <f>+'Nike Income Statement'!Z30/'Nike Income Statement'!Z$15</f>
        <v>6.5102520866705996E-2</v>
      </c>
      <c r="K35" s="68">
        <f>+'Nike Income Statement'!AA30/'Nike Income Statement'!AA$15</f>
        <v>6.6393958933197009E-2</v>
      </c>
      <c r="L35" s="68">
        <f>+'Nike Income Statement'!AB30/'Nike Income Statement'!AB$15</f>
        <v>5.6682997413665392E-2</v>
      </c>
      <c r="M35" s="68">
        <f>+'Nike Income Statement'!AC30/'Nike Income Statement'!AC$15</f>
        <v>5.293787356983598E-2</v>
      </c>
      <c r="N35" s="68">
        <f>+'Nike Income Statement'!AD30/'Nike Income Statement'!AD$15</f>
        <v>8.8779273934577935E-2</v>
      </c>
      <c r="O35" s="68">
        <f>+'Nike Income Statement'!AE30/'Nike Income Statement'!AE$15</f>
        <v>8.7718449602819007E-2</v>
      </c>
      <c r="Q35" t="s">
        <v>581</v>
      </c>
      <c r="R35" s="68">
        <f>+'Nike Income Statement'!S30/'Nike Income Statement'!$X30</f>
        <v>2.3689017280042219</v>
      </c>
      <c r="S35" s="68">
        <f>+'Nike Income Statement'!T30/'Nike Income Statement'!$X30</f>
        <v>1.9110418150639763</v>
      </c>
      <c r="T35" s="68">
        <f>+'Nike Income Statement'!U30/'Nike Income Statement'!$X30</f>
        <v>1.8052963988919677</v>
      </c>
      <c r="U35" s="68">
        <f>+'Nike Income Statement'!V30/'Nike Income Statement'!$X30</f>
        <v>1.6836132436354063</v>
      </c>
      <c r="V35" s="68">
        <f>+'Nike Income Statement'!W30/'Nike Income Statement'!$X30</f>
        <v>1.26807149452579</v>
      </c>
      <c r="W35" s="68">
        <f>+'Nike Income Statement'!X30/'Nike Income Statement'!$X30</f>
        <v>1</v>
      </c>
    </row>
    <row r="36" spans="2:23">
      <c r="B36" t="s">
        <v>672</v>
      </c>
      <c r="C36" s="68"/>
      <c r="D36" s="68"/>
      <c r="E36" s="68"/>
      <c r="F36" s="68"/>
      <c r="G36" s="68"/>
      <c r="H36" s="68"/>
      <c r="I36" s="68"/>
      <c r="J36" s="68"/>
      <c r="K36" s="68"/>
      <c r="L36" s="189"/>
      <c r="M36" s="189"/>
      <c r="N36" s="189"/>
      <c r="O36" s="189"/>
      <c r="Q36" t="s">
        <v>672</v>
      </c>
      <c r="R36" s="68"/>
      <c r="S36" s="68"/>
      <c r="T36" s="68"/>
      <c r="U36" s="68"/>
      <c r="V36" s="68"/>
      <c r="W36" s="68"/>
    </row>
    <row r="37" spans="2:23">
      <c r="B37" s="23" t="s">
        <v>208</v>
      </c>
      <c r="C37" s="68">
        <f>+'Nike Income Statement'!S32/'Nike Income Statement'!S$15</f>
        <v>3.2533419230149781E-3</v>
      </c>
      <c r="D37" s="68">
        <f>+'Nike Income Statement'!T32/'Nike Income Statement'!T$15</f>
        <v>0</v>
      </c>
      <c r="E37" s="68">
        <f>+'Nike Income Statement'!U32/'Nike Income Statement'!U$15</f>
        <v>0</v>
      </c>
      <c r="F37" s="68">
        <f>+'Nike Income Statement'!V32/'Nike Income Statement'!V$15</f>
        <v>0</v>
      </c>
      <c r="G37" s="68">
        <f>+'Nike Income Statement'!W32/'Nike Income Statement'!W$15</f>
        <v>0</v>
      </c>
      <c r="H37" s="68">
        <f>+'Nike Income Statement'!X32/'Nike Income Statement'!X$15</f>
        <v>0</v>
      </c>
      <c r="I37" s="68">
        <f>+'Nike Income Statement'!Y32/'Nike Income Statement'!Y$15</f>
        <v>0</v>
      </c>
      <c r="J37" s="68">
        <f>+'Nike Income Statement'!Z32/'Nike Income Statement'!Z$15</f>
        <v>0</v>
      </c>
      <c r="K37" s="68">
        <f>+'Nike Income Statement'!AA32/'Nike Income Statement'!AA$15</f>
        <v>2.7792909472935262E-4</v>
      </c>
      <c r="L37" s="68">
        <f>+'Nike Income Statement'!AB32/'Nike Income Statement'!AB$15</f>
        <v>-5.1384885323975437E-3</v>
      </c>
      <c r="M37" s="68">
        <f>+'Nike Income Statement'!AC32/'Nike Income Statement'!AC$15</f>
        <v>-1.3597680334132375E-2</v>
      </c>
      <c r="N37" s="68">
        <f>+'Nike Income Statement'!AD32/'Nike Income Statement'!AD$15</f>
        <v>0</v>
      </c>
      <c r="O37" s="68">
        <f>+'Nike Income Statement'!AE32/'Nike Income Statement'!AE$15</f>
        <v>0</v>
      </c>
      <c r="Q37" s="23" t="s">
        <v>208</v>
      </c>
      <c r="R37" s="269" t="s">
        <v>516</v>
      </c>
      <c r="S37" s="269" t="s">
        <v>516</v>
      </c>
      <c r="T37" s="269" t="s">
        <v>516</v>
      </c>
      <c r="U37" s="269" t="s">
        <v>516</v>
      </c>
      <c r="V37" s="269" t="s">
        <v>516</v>
      </c>
      <c r="W37" s="269" t="s">
        <v>516</v>
      </c>
    </row>
    <row r="38" spans="2:23">
      <c r="B38" s="23" t="s">
        <v>575</v>
      </c>
      <c r="C38" s="80">
        <f>+'Nike Income Statement'!S33/'Nike Income Statement'!S$15</f>
        <v>-1.1864497772051325E-3</v>
      </c>
      <c r="D38" s="80">
        <f>+'Nike Income Statement'!T33/'Nike Income Statement'!T$15</f>
        <v>0</v>
      </c>
      <c r="E38" s="80">
        <f>+'Nike Income Statement'!U33/'Nike Income Statement'!U$15</f>
        <v>0</v>
      </c>
      <c r="F38" s="80">
        <f>+'Nike Income Statement'!V33/'Nike Income Statement'!V$15</f>
        <v>0</v>
      </c>
      <c r="G38" s="80">
        <f>+'Nike Income Statement'!W33/'Nike Income Statement'!W$15</f>
        <v>0</v>
      </c>
      <c r="H38" s="80">
        <f>+'Nike Income Statement'!X33/'Nike Income Statement'!X$15</f>
        <v>0</v>
      </c>
      <c r="I38" s="80">
        <f>+'Nike Income Statement'!Y33/'Nike Income Statement'!Y$15</f>
        <v>0</v>
      </c>
      <c r="J38" s="80">
        <f>+'Nike Income Statement'!Z33/'Nike Income Statement'!Z$15</f>
        <v>0</v>
      </c>
      <c r="K38" s="80">
        <f>+'Nike Income Statement'!AA33/'Nike Income Statement'!AA$15</f>
        <v>-1.0366755233404853E-4</v>
      </c>
      <c r="L38" s="80">
        <f>+'Nike Income Statement'!AB33/'Nike Income Statement'!AB$15</f>
        <v>2.0297029702970302E-3</v>
      </c>
      <c r="M38" s="80">
        <f>+'Nike Income Statement'!AC33/'Nike Income Statement'!AC$15</f>
        <v>5.2758999696433618E-3</v>
      </c>
      <c r="N38" s="80">
        <f>+'Nike Income Statement'!AD33/'Nike Income Statement'!AD$15</f>
        <v>0</v>
      </c>
      <c r="O38" s="80">
        <f>+'Nike Income Statement'!AE33/'Nike Income Statement'!AE$15</f>
        <v>0</v>
      </c>
      <c r="Q38" s="23" t="s">
        <v>575</v>
      </c>
      <c r="R38" s="271" t="s">
        <v>516</v>
      </c>
      <c r="S38" s="271" t="s">
        <v>516</v>
      </c>
      <c r="T38" s="271" t="s">
        <v>516</v>
      </c>
      <c r="U38" s="271" t="s">
        <v>516</v>
      </c>
      <c r="V38" s="271" t="s">
        <v>516</v>
      </c>
      <c r="W38" s="271" t="s">
        <v>516</v>
      </c>
    </row>
    <row r="39" spans="2:23">
      <c r="B39" s="23" t="s">
        <v>576</v>
      </c>
      <c r="C39" s="68">
        <f>+'Nike Income Statement'!S34/'Nike Income Statement'!S$15</f>
        <v>2.0668921458098458E-3</v>
      </c>
      <c r="D39" s="68">
        <f>+'Nike Income Statement'!T34/'Nike Income Statement'!T$15</f>
        <v>0</v>
      </c>
      <c r="E39" s="68">
        <f>+'Nike Income Statement'!U34/'Nike Income Statement'!U$15</f>
        <v>0</v>
      </c>
      <c r="F39" s="68">
        <f>+'Nike Income Statement'!V34/'Nike Income Statement'!V$15</f>
        <v>0</v>
      </c>
      <c r="G39" s="68">
        <f>+'Nike Income Statement'!W34/'Nike Income Statement'!W$15</f>
        <v>0</v>
      </c>
      <c r="H39" s="68">
        <f>+'Nike Income Statement'!X34/'Nike Income Statement'!X$15</f>
        <v>0</v>
      </c>
      <c r="I39" s="68">
        <f>+'Nike Income Statement'!Y34/'Nike Income Statement'!Y$15</f>
        <v>0</v>
      </c>
      <c r="J39" s="68">
        <f>+'Nike Income Statement'!Z34/'Nike Income Statement'!Z$15</f>
        <v>0</v>
      </c>
      <c r="K39" s="68">
        <f>+'Nike Income Statement'!AA34/'Nike Income Statement'!AA$15</f>
        <v>1.7426154239530409E-4</v>
      </c>
      <c r="L39" s="68">
        <f>+'Nike Income Statement'!AB34/'Nike Income Statement'!AB$15</f>
        <v>-3.1087855621005139E-3</v>
      </c>
      <c r="M39" s="68">
        <f>+'Nike Income Statement'!AC34/'Nike Income Statement'!AC$15</f>
        <v>-8.3217803644890145E-3</v>
      </c>
      <c r="N39" s="68">
        <f>+'Nike Income Statement'!AD34/'Nike Income Statement'!AD$15</f>
        <v>0</v>
      </c>
      <c r="O39" s="68">
        <f>+'Nike Income Statement'!AE34/'Nike Income Statement'!AE$15</f>
        <v>0</v>
      </c>
      <c r="Q39" s="23" t="s">
        <v>576</v>
      </c>
      <c r="R39" s="269" t="s">
        <v>516</v>
      </c>
      <c r="S39" s="269" t="s">
        <v>516</v>
      </c>
      <c r="T39" s="269" t="s">
        <v>516</v>
      </c>
      <c r="U39" s="269" t="s">
        <v>516</v>
      </c>
      <c r="V39" s="269" t="s">
        <v>516</v>
      </c>
      <c r="W39" s="269" t="s">
        <v>516</v>
      </c>
    </row>
    <row r="40" spans="2:23">
      <c r="B40" s="23" t="s">
        <v>591</v>
      </c>
      <c r="C40" s="68">
        <f>+'Nike Income Statement'!S35/'Nike Income Statement'!S$15</f>
        <v>8.890320502496378E-3</v>
      </c>
      <c r="D40" s="68">
        <f>+'Nike Income Statement'!T35/'Nike Income Statement'!T$15</f>
        <v>5.1819501528246525E-3</v>
      </c>
      <c r="E40" s="68">
        <f>+'Nike Income Statement'!U35/'Nike Income Statement'!U$15</f>
        <v>5.8241780286060084E-3</v>
      </c>
      <c r="F40" s="68">
        <f>+'Nike Income Statement'!V35/'Nike Income Statement'!V$15</f>
        <v>5.1020036827587201E-3</v>
      </c>
      <c r="G40" s="68">
        <f>+'Nike Income Statement'!W35/'Nike Income Statement'!W$15</f>
        <v>2.2443300062841239E-3</v>
      </c>
      <c r="H40" s="68">
        <f>+'Nike Income Statement'!X35/'Nike Income Statement'!X$15</f>
        <v>1.1909881275123867E-2</v>
      </c>
      <c r="I40" s="68">
        <f>+'Nike Income Statement'!Y35/'Nike Income Statement'!Y$15</f>
        <v>-1.5162235924390984E-4</v>
      </c>
      <c r="J40" s="68">
        <f>+'Nike Income Statement'!Z35/'Nike Income Statement'!Z$15</f>
        <v>-4.3208835679959534E-3</v>
      </c>
      <c r="K40" s="68">
        <f>+'Nike Income Statement'!AA35/'Nike Income Statement'!AA$15</f>
        <v>-4.691443119031473E-3</v>
      </c>
      <c r="L40" s="68">
        <f>+'Nike Income Statement'!AB35/'Nike Income Statement'!AB$15</f>
        <v>-2.472399138648042E-3</v>
      </c>
      <c r="M40" s="68">
        <f>+'Nike Income Statement'!AC35/'Nike Income Statement'!AC$15</f>
        <v>-1.6643811956328313E-3</v>
      </c>
      <c r="N40" s="68">
        <f>+'Nike Income Statement'!AD35/'Nike Income Statement'!AD$15</f>
        <v>-2.0573667882218473E-3</v>
      </c>
      <c r="O40" s="68">
        <f>+'Nike Income Statement'!AE35/'Nike Income Statement'!AE$15</f>
        <v>-2.7972676413315612E-3</v>
      </c>
      <c r="Q40" s="23" t="s">
        <v>591</v>
      </c>
      <c r="R40" s="68">
        <f>+'Nike Income Statement'!S35/'Nike Income Statement'!$X35</f>
        <v>1.2998430141287285</v>
      </c>
      <c r="S40" s="68">
        <f>+'Nike Income Statement'!T35/'Nike Income Statement'!$X35</f>
        <v>0.66405023547880682</v>
      </c>
      <c r="T40" s="68">
        <f>+'Nike Income Statement'!U35/'Nike Income Statement'!$X35</f>
        <v>0.68367346938775497</v>
      </c>
      <c r="U40" s="68">
        <f>+'Nike Income Statement'!V35/'Nike Income Statement'!$X35</f>
        <v>0.55023547880690726</v>
      </c>
      <c r="V40" s="68">
        <f>+'Nike Income Statement'!W35/'Nike Income Statement'!$X35</f>
        <v>0.21585557299843014</v>
      </c>
      <c r="W40" s="68">
        <f>+'Nike Income Statement'!X35/'Nike Income Statement'!$X35</f>
        <v>1</v>
      </c>
    </row>
    <row r="41" spans="2:23">
      <c r="B41" s="23" t="s">
        <v>726</v>
      </c>
      <c r="C41" s="68">
        <f>+'Nike Income Statement'!S36/'Nike Income Statement'!S$15</f>
        <v>-4.9175927417190101E-3</v>
      </c>
      <c r="D41" s="68">
        <f>+'Nike Income Statement'!T36/'Nike Income Statement'!T$15</f>
        <v>-1.0229145100729515E-3</v>
      </c>
      <c r="E41" s="68">
        <f>+'Nike Income Statement'!U36/'Nike Income Statement'!U$15</f>
        <v>-2.594467365211402E-3</v>
      </c>
      <c r="F41" s="68">
        <f>+'Nike Income Statement'!V36/'Nike Income Statement'!V$15</f>
        <v>6.5212486444391066E-3</v>
      </c>
      <c r="G41" s="68">
        <f>+'Nike Income Statement'!W36/'Nike Income Statement'!W$15</f>
        <v>1.0274950828769863E-2</v>
      </c>
      <c r="H41" s="68">
        <f>+'Nike Income Statement'!X36/'Nike Income Statement'!X$15</f>
        <v>-1.6331681779938299E-2</v>
      </c>
      <c r="I41" s="68">
        <f>+'Nike Income Statement'!Y36/'Nike Income Statement'!Y$15</f>
        <v>-9.6633983624785195E-3</v>
      </c>
      <c r="J41" s="68">
        <f>+'Nike Income Statement'!Z36/'Nike Income Statement'!Z$15</f>
        <v>0</v>
      </c>
      <c r="K41" s="68">
        <f>+'Nike Income Statement'!AA36/'Nike Income Statement'!AA$15</f>
        <v>0</v>
      </c>
      <c r="L41" s="68">
        <f>+'Nike Income Statement'!AB36/'Nike Income Statement'!AB$15</f>
        <v>0</v>
      </c>
      <c r="M41" s="68">
        <f>+'Nike Income Statement'!AC36/'Nike Income Statement'!AC$15</f>
        <v>0</v>
      </c>
      <c r="N41" s="68">
        <f>+'Nike Income Statement'!AD36/'Nike Income Statement'!AD$15</f>
        <v>0</v>
      </c>
      <c r="O41" s="68">
        <f>+'Nike Income Statement'!AE36/'Nike Income Statement'!AE$15</f>
        <v>0</v>
      </c>
      <c r="Q41" s="23" t="s">
        <v>726</v>
      </c>
      <c r="R41" s="269" t="s">
        <v>516</v>
      </c>
      <c r="S41" s="269" t="s">
        <v>516</v>
      </c>
      <c r="T41" s="269" t="s">
        <v>516</v>
      </c>
      <c r="U41" s="269" t="s">
        <v>516</v>
      </c>
      <c r="V41" s="269" t="s">
        <v>516</v>
      </c>
      <c r="W41" s="269" t="s">
        <v>516</v>
      </c>
    </row>
    <row r="42" spans="2:23">
      <c r="B42" s="23" t="s">
        <v>683</v>
      </c>
      <c r="C42" s="68">
        <f>+'Nike Income Statement'!S37/'Nike Income Statement'!S$15</f>
        <v>0</v>
      </c>
      <c r="D42" s="68">
        <f>+'Nike Income Statement'!T37/'Nike Income Statement'!T$15</f>
        <v>0</v>
      </c>
      <c r="E42" s="68">
        <f>+'Nike Income Statement'!U37/'Nike Income Statement'!U$15</f>
        <v>0</v>
      </c>
      <c r="F42" s="68">
        <f>+'Nike Income Statement'!V37/'Nike Income Statement'!V$15</f>
        <v>-4.9346055590733413E-3</v>
      </c>
      <c r="G42" s="68">
        <f>+'Nike Income Statement'!W37/'Nike Income Statement'!W$15</f>
        <v>-6.5308958285290961E-3</v>
      </c>
      <c r="H42" s="68">
        <f>+'Nike Income Statement'!X37/'Nike Income Statement'!X$15</f>
        <v>-1.9475865507463154E-3</v>
      </c>
      <c r="I42" s="68">
        <f>+'Nike Income Statement'!Y37/'Nike Income Statement'!Y$15</f>
        <v>-2.371938885863688E-3</v>
      </c>
      <c r="J42" s="68">
        <f>+'Nike Income Statement'!Z37/'Nike Income Statement'!Z$15</f>
        <v>-5.7152660023164943E-3</v>
      </c>
      <c r="K42" s="68">
        <f>+'Nike Income Statement'!AA37/'Nike Income Statement'!AA$15</f>
        <v>-2.7844471653512403E-3</v>
      </c>
      <c r="L42" s="68">
        <f>+'Nike Income Statement'!AB37/'Nike Income Statement'!AB$15</f>
        <v>-6.1304408525262744E-3</v>
      </c>
      <c r="M42" s="68">
        <f>+'Nike Income Statement'!AC37/'Nike Income Statement'!AC$15</f>
        <v>0</v>
      </c>
      <c r="N42" s="68">
        <f>+'Nike Income Statement'!AD37/'Nike Income Statement'!AD$15</f>
        <v>0</v>
      </c>
      <c r="O42" s="68">
        <f>+'Nike Income Statement'!AE37/'Nike Income Statement'!AE$15</f>
        <v>0</v>
      </c>
      <c r="Q42" s="23" t="s">
        <v>683</v>
      </c>
      <c r="R42" s="269" t="s">
        <v>516</v>
      </c>
      <c r="S42" s="269" t="s">
        <v>516</v>
      </c>
      <c r="T42" s="269" t="s">
        <v>516</v>
      </c>
      <c r="U42" s="269" t="s">
        <v>516</v>
      </c>
      <c r="V42" s="269" t="s">
        <v>516</v>
      </c>
      <c r="W42" s="269" t="s">
        <v>516</v>
      </c>
    </row>
    <row r="43" spans="2:23">
      <c r="B43" s="222" t="s">
        <v>686</v>
      </c>
      <c r="C43" s="80">
        <f>+'Nike Income Statement'!S38/'Nike Income Statement'!S$15</f>
        <v>-1.3797176142159231E-3</v>
      </c>
      <c r="D43" s="80">
        <f>+'Nike Income Statement'!T38/'Nike Income Statement'!T$15</f>
        <v>8.2996955757416134E-3</v>
      </c>
      <c r="E43" s="80">
        <f>+'Nike Income Statement'!U38/'Nike Income Statement'!U$15</f>
        <v>7.6897872937966823E-4</v>
      </c>
      <c r="F43" s="80">
        <f>+'Nike Income Statement'!V38/'Nike Income Statement'!V$15</f>
        <v>2.838489923360772E-4</v>
      </c>
      <c r="G43" s="80">
        <f>+'Nike Income Statement'!W38/'Nike Income Statement'!W$15</f>
        <v>0</v>
      </c>
      <c r="H43" s="80">
        <f>+'Nike Income Statement'!X38/'Nike Income Statement'!X$15</f>
        <v>-2.4876133495372536E-2</v>
      </c>
      <c r="I43" s="80">
        <f>+'Nike Income Statement'!Y38/'Nike Income Statement'!Y$15</f>
        <v>5.2360254725563526E-3</v>
      </c>
      <c r="J43" s="80">
        <f>+'Nike Income Statement'!Z38/'Nike Income Statement'!Z$15</f>
        <v>0</v>
      </c>
      <c r="K43" s="80">
        <f>+'Nike Income Statement'!AA38/'Nike Income Statement'!AA$15</f>
        <v>0</v>
      </c>
      <c r="L43" s="80">
        <f>+'Nike Income Statement'!AB38/'Nike Income Statement'!AB$15</f>
        <v>0</v>
      </c>
      <c r="M43" s="80">
        <f>+'Nike Income Statement'!AC38/'Nike Income Statement'!AC$15</f>
        <v>0</v>
      </c>
      <c r="N43" s="80">
        <f>+'Nike Income Statement'!AD38/'Nike Income Statement'!AD$15</f>
        <v>0</v>
      </c>
      <c r="O43" s="80">
        <f>+'Nike Income Statement'!AE38/'Nike Income Statement'!AE$15</f>
        <v>0</v>
      </c>
      <c r="Q43" s="222" t="s">
        <v>686</v>
      </c>
      <c r="R43" s="271" t="s">
        <v>516</v>
      </c>
      <c r="S43" s="271" t="s">
        <v>516</v>
      </c>
      <c r="T43" s="271" t="s">
        <v>516</v>
      </c>
      <c r="U43" s="271" t="s">
        <v>516</v>
      </c>
      <c r="V43" s="271" t="s">
        <v>516</v>
      </c>
      <c r="W43" s="271" t="s">
        <v>516</v>
      </c>
    </row>
    <row r="44" spans="2:23">
      <c r="B44" s="16" t="s">
        <v>239</v>
      </c>
      <c r="C44" s="80">
        <f>+'Nike Income Statement'!S39/'Nike Income Statement'!S$15</f>
        <v>4.65990229237129E-3</v>
      </c>
      <c r="D44" s="80">
        <f>+'Nike Income Statement'!T39/'Nike Income Statement'!T$15</f>
        <v>1.2458731218493313E-2</v>
      </c>
      <c r="E44" s="80">
        <f>+'Nike Income Statement'!U39/'Nike Income Statement'!U$15</f>
        <v>3.9986893927742746E-3</v>
      </c>
      <c r="F44" s="80">
        <f>+'Nike Income Statement'!V39/'Nike Income Statement'!V$15</f>
        <v>6.972495760460563E-3</v>
      </c>
      <c r="G44" s="80">
        <f>+'Nike Income Statement'!W39/'Nike Income Statement'!W$15</f>
        <v>5.9883850065248897E-3</v>
      </c>
      <c r="H44" s="80">
        <f>+'Nike Income Statement'!X39/'Nike Income Statement'!X$15</f>
        <v>-3.1245520550933284E-2</v>
      </c>
      <c r="I44" s="80">
        <f>+'Nike Income Statement'!Y39/'Nike Income Statement'!Y$15</f>
        <v>-6.9509341350297649E-3</v>
      </c>
      <c r="J44" s="80">
        <f>+'Nike Income Statement'!Z39/'Nike Income Statement'!Z$15</f>
        <v>-1.0036149570312446E-2</v>
      </c>
      <c r="K44" s="80">
        <f>+'Nike Income Statement'!AA39/'Nike Income Statement'!AA$15</f>
        <v>-7.3016287419874091E-3</v>
      </c>
      <c r="L44" s="80">
        <f>+'Nike Income Statement'!AB39/'Nike Income Statement'!AB$15</f>
        <v>-1.1711625553274832E-2</v>
      </c>
      <c r="M44" s="80">
        <f>+'Nike Income Statement'!AC39/'Nike Income Statement'!AC$15</f>
        <v>-9.9861615601218451E-3</v>
      </c>
      <c r="N44" s="80">
        <f>+'Nike Income Statement'!AD39/'Nike Income Statement'!AD$15</f>
        <v>-2.0573667882218473E-3</v>
      </c>
      <c r="O44" s="80">
        <f>+'Nike Income Statement'!AE39/'Nike Income Statement'!AE$15</f>
        <v>-2.7972676413315612E-3</v>
      </c>
      <c r="Q44" s="16" t="s">
        <v>239</v>
      </c>
      <c r="R44" s="148">
        <f>+'Nike Income Statement'!S39/'Nike Income Statement'!$X39</f>
        <v>-0.25969881320434834</v>
      </c>
      <c r="S44" s="148">
        <f>+'Nike Income Statement'!T39/'Nike Income Statement'!$X39</f>
        <v>-0.6085568963797745</v>
      </c>
      <c r="T44" s="148">
        <f>+'Nike Income Statement'!U39/'Nike Income Statement'!$X39</f>
        <v>-0.17891692430437817</v>
      </c>
      <c r="U44" s="148">
        <f>+'Nike Income Statement'!V39/'Nike Income Statement'!$X39</f>
        <v>-0.28662610950433826</v>
      </c>
      <c r="V44" s="148">
        <f>+'Nike Income Statement'!W39/'Nike Income Statement'!$X39</f>
        <v>-0.21953609351785219</v>
      </c>
      <c r="W44" s="148">
        <f>+'Nike Income Statement'!X39/'Nike Income Statement'!$X39</f>
        <v>1</v>
      </c>
    </row>
    <row r="45" spans="2:23">
      <c r="B45" s="16" t="s">
        <v>207</v>
      </c>
      <c r="C45" s="148">
        <f>+'Nike Income Statement'!S40/'Nike Income Statement'!S$15</f>
        <v>0.1010717990014495</v>
      </c>
      <c r="D45" s="148">
        <f>+'Nike Income Statement'!T40/'Nike Income Statement'!T$15</f>
        <v>0.10119875780202009</v>
      </c>
      <c r="E45" s="148">
        <f>+'Nike Income Statement'!U40/'Nike Income Statement'!U$15</f>
        <v>9.5513523995479757E-2</v>
      </c>
      <c r="F45" s="148">
        <f>+'Nike Income Statement'!V40/'Nike Income Statement'!V$15</f>
        <v>9.9867333347889761E-2</v>
      </c>
      <c r="G45" s="148">
        <f>+'Nike Income Statement'!W40/'Nike Income Statement'!W$15</f>
        <v>8.4444041126200797E-2</v>
      </c>
      <c r="H45" s="148">
        <f>+'Nike Income Statement'!X40/'Nike Income Statement'!X$15</f>
        <v>3.9624816926864197E-2</v>
      </c>
      <c r="I45" s="148">
        <f>+'Nike Income Statement'!Y40/'Nike Income Statement'!Y$15</f>
        <v>6.2760174729824189E-2</v>
      </c>
      <c r="J45" s="148">
        <f>+'Nike Income Statement'!Z40/'Nike Income Statement'!Z$15</f>
        <v>5.5066371296393551E-2</v>
      </c>
      <c r="K45" s="148">
        <f>+'Nike Income Statement'!AA40/'Nike Income Statement'!AA$15</f>
        <v>5.9092330191209588E-2</v>
      </c>
      <c r="L45" s="148">
        <f>+'Nike Income Statement'!AB40/'Nike Income Statement'!AB$15</f>
        <v>4.497137186039056E-2</v>
      </c>
      <c r="M45" s="148">
        <f>+'Nike Income Statement'!AC40/'Nike Income Statement'!AC$15</f>
        <v>4.2951712009714135E-2</v>
      </c>
      <c r="N45" s="148">
        <f>+'Nike Income Statement'!AD40/'Nike Income Statement'!AD$15</f>
        <v>8.6721907146356095E-2</v>
      </c>
      <c r="O45" s="148">
        <f>+'Nike Income Statement'!AE40/'Nike Income Statement'!AE$15</f>
        <v>8.4921181961487444E-2</v>
      </c>
      <c r="Q45" s="16" t="s">
        <v>207</v>
      </c>
      <c r="R45" s="148">
        <f>+'Nike Income Statement'!S40/'Nike Income Statement'!$X40</f>
        <v>4.4416429694872637</v>
      </c>
      <c r="S45" s="148">
        <f>+'Nike Income Statement'!T40/'Nike Income Statement'!$X40</f>
        <v>3.8978313935199771</v>
      </c>
      <c r="T45" s="148">
        <f>+'Nike Income Statement'!U40/'Nike Income Statement'!$X40</f>
        <v>3.3699163258886471</v>
      </c>
      <c r="U45" s="148">
        <f>+'Nike Income Statement'!V40/'Nike Income Statement'!$X40</f>
        <v>3.2372142183076487</v>
      </c>
      <c r="V45" s="148">
        <f>+'Nike Income Statement'!W40/'Nike Income Statement'!$X40</f>
        <v>2.441100850086785</v>
      </c>
      <c r="W45" s="148">
        <f>+'Nike Income Statement'!X40/'Nike Income Statement'!$X40</f>
        <v>1</v>
      </c>
    </row>
    <row r="46" spans="2:23">
      <c r="B46" s="16"/>
      <c r="C46" s="68"/>
      <c r="D46" s="68"/>
      <c r="E46" s="68"/>
      <c r="F46" s="68"/>
      <c r="G46" s="68"/>
      <c r="H46" s="68"/>
      <c r="I46" s="68"/>
      <c r="J46" s="68"/>
      <c r="K46" s="68"/>
      <c r="L46" s="189"/>
      <c r="M46" s="189"/>
      <c r="N46" s="189"/>
      <c r="O46" s="189"/>
      <c r="Q46" s="16"/>
      <c r="R46" s="68"/>
      <c r="S46" s="68"/>
      <c r="T46" s="68"/>
      <c r="U46" s="68"/>
      <c r="V46" s="68"/>
      <c r="W46" s="68"/>
    </row>
    <row r="47" spans="2:23">
      <c r="B47" s="16" t="s">
        <v>209</v>
      </c>
      <c r="C47" s="68"/>
      <c r="D47" s="68"/>
      <c r="E47" s="68"/>
      <c r="F47" s="68"/>
      <c r="G47" s="68"/>
      <c r="H47" s="68"/>
      <c r="I47" s="68"/>
      <c r="J47" s="68"/>
      <c r="K47" s="68"/>
      <c r="L47" s="189"/>
      <c r="M47" s="189"/>
      <c r="N47" s="189"/>
      <c r="O47" s="189"/>
      <c r="Q47" s="16" t="s">
        <v>209</v>
      </c>
      <c r="R47" s="68"/>
      <c r="S47" s="68"/>
      <c r="T47" s="68"/>
      <c r="U47" s="68"/>
      <c r="V47" s="68"/>
      <c r="W47" s="68"/>
    </row>
    <row r="48" spans="2:23">
      <c r="B48" s="222" t="s">
        <v>210</v>
      </c>
      <c r="C48" s="68">
        <f>+'Nike Income Statement'!S43/'Nike Income Statement'!S$15</f>
        <v>-2.0776292478660013E-3</v>
      </c>
      <c r="D48" s="68">
        <f>+'Nike Income Statement'!T43/'Nike Income Statement'!T$15</f>
        <v>-3.0442425838698023E-3</v>
      </c>
      <c r="E48" s="68">
        <f>+'Nike Income Statement'!U43/'Nike Income Statement'!U$15</f>
        <v>-3.3901931808303634E-3</v>
      </c>
      <c r="F48" s="68">
        <f>+'Nike Income Statement'!V43/'Nike Income Statement'!V$15</f>
        <v>-2.1907319664912625E-3</v>
      </c>
      <c r="G48" s="68">
        <f>+'Nike Income Statement'!W43/'Nike Income Statement'!W$15</f>
        <v>3.2889636092090979E-3</v>
      </c>
      <c r="H48" s="68">
        <f>+'Nike Income Statement'!X43/'Nike Income Statement'!X$15</f>
        <v>4.0104702252968119E-3</v>
      </c>
      <c r="I48" s="68">
        <f>+'Nike Income Statement'!Y43/'Nike Income Statement'!Y$15</f>
        <v>4.8114828666734055E-3</v>
      </c>
      <c r="J48" s="68">
        <f>+'Nike Income Statement'!Z43/'Nike Income Statement'!Z$15</f>
        <v>6.1862406205210364E-3</v>
      </c>
      <c r="K48" s="68">
        <f>+'Nike Income Statement'!AA43/'Nike Income Statement'!AA$15</f>
        <v>5.0027237051283478E-3</v>
      </c>
      <c r="L48" s="68">
        <f>+'Nike Income Statement'!AB43/'Nike Income Statement'!AB$15</f>
        <v>5.0245530882202152E-3</v>
      </c>
      <c r="M48" s="68">
        <f>+'Nike Income Statement'!AC43/'Nike Income Statement'!AC$15</f>
        <v>6.2806837571050232E-3</v>
      </c>
      <c r="N48" s="68">
        <f>+'Nike Income Statement'!AD43/'Nike Income Statement'!AD$15</f>
        <v>5.6931366679366458E-3</v>
      </c>
      <c r="O48" s="68">
        <f>+'Nike Income Statement'!AE43/'Nike Income Statement'!AE$15</f>
        <v>6.1045343553920803E-3</v>
      </c>
      <c r="Q48" s="222" t="s">
        <v>210</v>
      </c>
      <c r="R48" s="68">
        <f>+'Nike Income Statement'!S43/'Nike Income Statement'!$X43</f>
        <v>-0.90209790209790219</v>
      </c>
      <c r="S48" s="68">
        <f>+'Nike Income Statement'!T43/'Nike Income Statement'!$X43</f>
        <v>-1.1585081585081587</v>
      </c>
      <c r="T48" s="68">
        <f>+'Nike Income Statement'!U43/'Nike Income Statement'!$X43</f>
        <v>-1.1818181818181819</v>
      </c>
      <c r="U48" s="68">
        <f>+'Nike Income Statement'!V43/'Nike Income Statement'!$X43</f>
        <v>-0.70163170163170174</v>
      </c>
      <c r="V48" s="68">
        <f>+'Nike Income Statement'!W43/'Nike Income Statement'!$X43</f>
        <v>0.93939393939393934</v>
      </c>
      <c r="W48" s="68">
        <f>+'Nike Income Statement'!X43/'Nike Income Statement'!$X43</f>
        <v>1</v>
      </c>
    </row>
    <row r="49" spans="2:23">
      <c r="B49" s="222" t="s">
        <v>743</v>
      </c>
      <c r="C49" s="80">
        <f>+'Nike Income Statement'!S44/'Nike Income Statement'!S$15</f>
        <v>6.2167820905137698E-3</v>
      </c>
      <c r="D49" s="80">
        <f>+'Nike Income Statement'!T44/'Nike Income Statement'!T$15</f>
        <v>7.1604015705106615E-3</v>
      </c>
      <c r="E49" s="80">
        <f>+'Nike Income Statement'!U44/'Nike Income Statement'!U$15</f>
        <v>5.8375515717256554E-3</v>
      </c>
      <c r="F49" s="80">
        <f>+'Nike Income Statement'!V44/'Nike Income Statement'!V$15</f>
        <v>2.5400845724433572E-3</v>
      </c>
      <c r="G49" s="80">
        <f>+'Nike Income Statement'!W44/'Nike Income Statement'!W$15</f>
        <v>-1.2486636034962581E-3</v>
      </c>
      <c r="H49" s="80">
        <f>+'Nike Income Statement'!X44/'Nike Income Statement'!X$15</f>
        <v>-1.3181265775451061E-3</v>
      </c>
      <c r="I49" s="80">
        <f>+'Nike Income Statement'!Y44/'Nike Income Statement'!Y$15</f>
        <v>-1.3747093904781158E-3</v>
      </c>
      <c r="J49" s="80">
        <f>+'Nike Income Statement'!Z44/'Nike Income Statement'!Z$15</f>
        <v>-1.4648849169547258E-3</v>
      </c>
      <c r="K49" s="80">
        <f>+'Nike Income Statement'!AA44/'Nike Income Statement'!AA$15</f>
        <v>-1.5119342753276783E-3</v>
      </c>
      <c r="L49" s="80">
        <f>+'Nike Income Statement'!AB44/'Nike Income Statement'!AB$15</f>
        <v>-1.4811607743052788E-3</v>
      </c>
      <c r="M49" s="80">
        <f>+'Nike Income Statement'!AC44/'Nike Income Statement'!AC$15</f>
        <v>-1.7271880332038814E-3</v>
      </c>
      <c r="N49" s="80">
        <f>+'Nike Income Statement'!AD44/'Nike Income Statement'!AD$15</f>
        <v>-2.1879932509660917E-3</v>
      </c>
      <c r="O49" s="80">
        <f>+'Nike Income Statement'!AE44/'Nike Income Statement'!AE$15</f>
        <v>-2.4881772942231014E-3</v>
      </c>
      <c r="Q49" s="222" t="s">
        <v>743</v>
      </c>
      <c r="R49" s="80">
        <f>+'Nike Income Statement'!S44/'Nike Income Statement'!$X44</f>
        <v>-8.212765957446809</v>
      </c>
      <c r="S49" s="80">
        <f>+'Nike Income Statement'!T44/'Nike Income Statement'!$X44</f>
        <v>-8.2907801418439728</v>
      </c>
      <c r="T49" s="80">
        <f>+'Nike Income Statement'!U44/'Nike Income Statement'!$X44</f>
        <v>-6.1914893617021276</v>
      </c>
      <c r="U49" s="80">
        <f>+'Nike Income Statement'!V44/'Nike Income Statement'!$X44</f>
        <v>-2.4751773049645389</v>
      </c>
      <c r="V49" s="80">
        <f>+'Nike Income Statement'!W44/'Nike Income Statement'!$X44</f>
        <v>1.0851063829787235</v>
      </c>
      <c r="W49" s="80">
        <f>+'Nike Income Statement'!X44/'Nike Income Statement'!$X44</f>
        <v>1</v>
      </c>
    </row>
    <row r="50" spans="2:23">
      <c r="B50" s="16" t="s">
        <v>687</v>
      </c>
      <c r="C50" s="68">
        <f>+'Nike Income Statement'!S45/'Nike Income Statement'!S$15</f>
        <v>-4.1391528426477694E-3</v>
      </c>
      <c r="D50" s="68">
        <f>+'Nike Income Statement'!T45/'Nike Income Statement'!T$15</f>
        <v>-4.1161589866408593E-3</v>
      </c>
      <c r="E50" s="68">
        <f>+'Nike Income Statement'!U45/'Nike Income Statement'!U$15</f>
        <v>-2.4607319340149382E-3</v>
      </c>
      <c r="F50" s="68">
        <f>+'Nike Income Statement'!V45/'Nike Income Statement'!V$15</f>
        <v>3.4935260595209502E-4</v>
      </c>
      <c r="G50" s="68">
        <f>+'Nike Income Statement'!W45/'Nike Income Statement'!W$15</f>
        <v>2.04030000571284E-3</v>
      </c>
      <c r="H50" s="68">
        <f>+'Nike Income Statement'!X45/'Nike Income Statement'!X$15</f>
        <v>2.6923436477517058E-3</v>
      </c>
      <c r="I50" s="68">
        <f>+'Nike Income Statement'!Y45/'Nike Income Statement'!Y$15</f>
        <v>3.4367734761952895E-3</v>
      </c>
      <c r="J50" s="68">
        <f>+'Nike Income Statement'!Z45/'Nike Income Statement'!Z$15</f>
        <v>4.7213557035663102E-3</v>
      </c>
      <c r="K50" s="68">
        <f>+'Nike Income Statement'!AA45/'Nike Income Statement'!AA$15</f>
        <v>3.4907894298006688E-3</v>
      </c>
      <c r="L50" s="68">
        <f>+'Nike Income Statement'!AB45/'Nike Income Statement'!AB$15</f>
        <v>3.543392313914936E-3</v>
      </c>
      <c r="M50" s="68">
        <f>+'Nike Income Statement'!AC45/'Nike Income Statement'!AC$15</f>
        <v>4.5534957239011416E-3</v>
      </c>
      <c r="N50" s="68">
        <f>+'Nike Income Statement'!AD45/'Nike Income Statement'!AD$15</f>
        <v>3.5051434169705541E-3</v>
      </c>
      <c r="O50" s="68">
        <f>+'Nike Income Statement'!AE45/'Nike Income Statement'!AE$15</f>
        <v>3.6163570611689793E-3</v>
      </c>
      <c r="Q50" s="16" t="s">
        <v>687</v>
      </c>
      <c r="R50" s="68">
        <f>+'Nike Income Statement'!S45/'Nike Income Statement'!$X45</f>
        <v>-2.6770833333333335</v>
      </c>
      <c r="S50" s="68">
        <f>+'Nike Income Statement'!T45/'Nike Income Statement'!$X45</f>
        <v>-2.3333333333333335</v>
      </c>
      <c r="T50" s="68">
        <f>+'Nike Income Statement'!U45/'Nike Income Statement'!$X45</f>
        <v>-1.2777777777777779</v>
      </c>
      <c r="U50" s="68">
        <f>+'Nike Income Statement'!V45/'Nike Income Statement'!$X45</f>
        <v>0.16666666666666669</v>
      </c>
      <c r="V50" s="68">
        <f>+'Nike Income Statement'!W45/'Nike Income Statement'!$X45</f>
        <v>0.86805555555555569</v>
      </c>
      <c r="W50" s="68">
        <f>+'Nike Income Statement'!X45/'Nike Income Statement'!$X45</f>
        <v>1</v>
      </c>
    </row>
    <row r="51" spans="2:23">
      <c r="B51" s="16" t="s">
        <v>688</v>
      </c>
      <c r="C51" s="80">
        <f>+'Nike Income Statement'!S46/'Nike Income Statement'!S$15</f>
        <v>1.5066516347237878E-3</v>
      </c>
      <c r="D51" s="80">
        <f>+'Nike Income Statement'!T46/'Nike Income Statement'!T$15</f>
        <v>1.4982818711372727E-3</v>
      </c>
      <c r="E51" s="80">
        <f>+'Nike Income Statement'!U46/'Nike Income Statement'!U$15</f>
        <v>8.9570642398143743E-4</v>
      </c>
      <c r="F51" s="80">
        <f>+'Nike Income Statement'!V46/'Nike Income Statement'!V$15</f>
        <v>1.2716434856656258E-4</v>
      </c>
      <c r="G51" s="80">
        <f>+'Nike Income Statement'!W46/'Nike Income Statement'!W$15</f>
        <v>-7.5695130211946363E-4</v>
      </c>
      <c r="H51" s="80">
        <f>+'Nike Income Statement'!X46/'Nike Income Statement'!X$15</f>
        <v>-1.0096288679068896E-3</v>
      </c>
      <c r="I51" s="80">
        <f>+'Nike Income Statement'!Y46/'Nike Income Statement'!Y$15</f>
        <v>-1.2784797331446478E-3</v>
      </c>
      <c r="J51" s="80">
        <f>+'Nike Income Statement'!Z46/'Nike Income Statement'!Z$15</f>
        <v>-1.7657870331338002E-3</v>
      </c>
      <c r="K51" s="80">
        <f>+'Nike Income Statement'!AA46/'Nike Income Statement'!AA$15</f>
        <v>-1.3020644573156495E-3</v>
      </c>
      <c r="L51" s="80">
        <f>+'Nike Income Statement'!AB46/'Nike Income Statement'!AB$15</f>
        <v>-1.3996399639963999E-3</v>
      </c>
      <c r="M51" s="80">
        <f>+'Nike Income Statement'!AC46/'Nike Income Statement'!AC$15</f>
        <v>-1.7667563408736431E-3</v>
      </c>
      <c r="N51" s="80">
        <f>+'Nike Income Statement'!AD46/'Nike Income Statement'!AD$15</f>
        <v>-1.3529853589506339E-3</v>
      </c>
      <c r="O51" s="80">
        <f>+'Nike Income Statement'!AE46/'Nike Income Statement'!AE$15</f>
        <v>-1.3922974685500571E-3</v>
      </c>
      <c r="Q51" s="16" t="s">
        <v>688</v>
      </c>
      <c r="R51" s="80">
        <f>+'Nike Income Statement'!S46/'Nike Income Statement'!$X46</f>
        <v>-2.5985555555555555</v>
      </c>
      <c r="S51" s="80">
        <f>+'Nike Income Statement'!T46/'Nike Income Statement'!$X46</f>
        <v>-2.2648888888888892</v>
      </c>
      <c r="T51" s="80">
        <f>+'Nike Income Statement'!U46/'Nike Income Statement'!$X46</f>
        <v>-1.2402962962962962</v>
      </c>
      <c r="U51" s="80">
        <f>+'Nike Income Statement'!V46/'Nike Income Statement'!$X46</f>
        <v>-0.1617777777777778</v>
      </c>
      <c r="V51" s="80">
        <f>+'Nike Income Statement'!W46/'Nike Income Statement'!$X46</f>
        <v>0.85879629629629639</v>
      </c>
      <c r="W51" s="80">
        <f>+'Nike Income Statement'!X46/'Nike Income Statement'!$X46</f>
        <v>1</v>
      </c>
    </row>
    <row r="52" spans="2:23">
      <c r="B52" s="16" t="s">
        <v>212</v>
      </c>
      <c r="C52" s="68">
        <f>+'Nike Income Statement'!S47/'Nike Income Statement'!S$15</f>
        <v>-2.6325012079239816E-3</v>
      </c>
      <c r="D52" s="68">
        <f>+'Nike Income Statement'!T47/'Nike Income Statement'!T$15</f>
        <v>-2.6178771155035865E-3</v>
      </c>
      <c r="E52" s="68">
        <f>+'Nike Income Statement'!U47/'Nike Income Statement'!U$15</f>
        <v>-1.5650255100335007E-3</v>
      </c>
      <c r="F52" s="68">
        <f>+'Nike Income Statement'!V47/'Nike Income Statement'!V$15</f>
        <v>2.2218825738553241E-4</v>
      </c>
      <c r="G52" s="68">
        <f>+'Nike Income Statement'!W47/'Nike Income Statement'!W$15</f>
        <v>1.2833487035933764E-3</v>
      </c>
      <c r="H52" s="68">
        <f>+'Nike Income Statement'!X47/'Nike Income Statement'!X$15</f>
        <v>1.6827147798448164E-3</v>
      </c>
      <c r="I52" s="68">
        <f>+'Nike Income Statement'!Y47/'Nike Income Statement'!Y$15</f>
        <v>2.1582937430506418E-3</v>
      </c>
      <c r="J52" s="68">
        <f>+'Nike Income Statement'!Z47/'Nike Income Statement'!Z$15</f>
        <v>2.9555686704325103E-3</v>
      </c>
      <c r="K52" s="68">
        <f>+'Nike Income Statement'!AA47/'Nike Income Statement'!AA$15</f>
        <v>2.1887249724850196E-3</v>
      </c>
      <c r="L52" s="68">
        <f>+'Nike Income Statement'!AB47/'Nike Income Statement'!AB$15</f>
        <v>2.1437523499185361E-3</v>
      </c>
      <c r="M52" s="68">
        <f>+'Nike Income Statement'!AC47/'Nike Income Statement'!AC$15</f>
        <v>2.7867393830274989E-3</v>
      </c>
      <c r="N52" s="68">
        <f>+'Nike Income Statement'!AD47/'Nike Income Statement'!AD$15</f>
        <v>2.1521580580199204E-3</v>
      </c>
      <c r="O52" s="68">
        <f>+'Nike Income Statement'!AE47/'Nike Income Statement'!AE$15</f>
        <v>2.2240595926189223E-3</v>
      </c>
      <c r="Q52" s="16" t="s">
        <v>212</v>
      </c>
      <c r="R52" s="148">
        <f>+'Nike Income Statement'!S47/'Nike Income Statement'!$X47</f>
        <v>-2.7242000000000002</v>
      </c>
      <c r="S52" s="148">
        <f>+'Nike Income Statement'!T47/'Nike Income Statement'!$X47</f>
        <v>-2.3744000000000001</v>
      </c>
      <c r="T52" s="148">
        <f>+'Nike Income Statement'!U47/'Nike Income Statement'!$X47</f>
        <v>-1.3002666666666665</v>
      </c>
      <c r="U52" s="148">
        <f>+'Nike Income Statement'!V47/'Nike Income Statement'!$X47</f>
        <v>0.1696</v>
      </c>
      <c r="V52" s="148">
        <f>+'Nike Income Statement'!W47/'Nike Income Statement'!$X47</f>
        <v>0.87361111111111112</v>
      </c>
      <c r="W52" s="148">
        <f>+'Nike Income Statement'!X47/'Nike Income Statement'!$X47</f>
        <v>1</v>
      </c>
    </row>
    <row r="53" spans="2:23">
      <c r="B53" s="37" t="s">
        <v>138</v>
      </c>
      <c r="C53" s="80">
        <f>+'Nike Income Statement'!S48/'Nike Income Statement'!S$15</f>
        <v>0</v>
      </c>
      <c r="D53" s="80">
        <f>+'Nike Income Statement'!T48/'Nike Income Statement'!T$15</f>
        <v>0</v>
      </c>
      <c r="E53" s="80">
        <f>+'Nike Income Statement'!U48/'Nike Income Statement'!U$15</f>
        <v>0</v>
      </c>
      <c r="F53" s="80">
        <f>+'Nike Income Statement'!V48/'Nike Income Statement'!V$15</f>
        <v>0</v>
      </c>
      <c r="G53" s="80">
        <f>+'Nike Income Statement'!W48/'Nike Income Statement'!W$15</f>
        <v>0</v>
      </c>
      <c r="H53" s="80">
        <f>+'Nike Income Statement'!X48/'Nike Income Statement'!X$15</f>
        <v>0</v>
      </c>
      <c r="I53" s="80">
        <f>+'Nike Income Statement'!Y48/'Nike Income Statement'!Y$15</f>
        <v>0</v>
      </c>
      <c r="J53" s="80">
        <f>+'Nike Income Statement'!Z48/'Nike Income Statement'!Z$15</f>
        <v>0</v>
      </c>
      <c r="K53" s="80">
        <f>+'Nike Income Statement'!AA48/'Nike Income Statement'!AA$15</f>
        <v>0</v>
      </c>
      <c r="L53" s="80">
        <f>+'Nike Income Statement'!AB48/'Nike Income Statement'!AB$15</f>
        <v>0</v>
      </c>
      <c r="M53" s="80">
        <f>+'Nike Income Statement'!AC48/'Nike Income Statement'!AC$15</f>
        <v>0</v>
      </c>
      <c r="N53" s="80">
        <f>+'Nike Income Statement'!AD48/'Nike Income Statement'!AD$15</f>
        <v>0</v>
      </c>
      <c r="O53" s="80">
        <f>+'Nike Income Statement'!AE48/'Nike Income Statement'!AE$15</f>
        <v>0</v>
      </c>
      <c r="Q53" s="37" t="s">
        <v>138</v>
      </c>
      <c r="R53" s="269" t="s">
        <v>516</v>
      </c>
      <c r="S53" s="269" t="s">
        <v>516</v>
      </c>
      <c r="T53" s="269" t="s">
        <v>516</v>
      </c>
      <c r="U53" s="269" t="s">
        <v>516</v>
      </c>
      <c r="V53" s="269" t="s">
        <v>516</v>
      </c>
      <c r="W53" s="269" t="s">
        <v>516</v>
      </c>
    </row>
    <row r="54" spans="2:23">
      <c r="B54" s="16" t="s">
        <v>209</v>
      </c>
      <c r="C54" s="148">
        <f>+'Nike Income Statement'!S49/'Nike Income Statement'!S$15</f>
        <v>-2.6325012079239816E-3</v>
      </c>
      <c r="D54" s="148">
        <f>+'Nike Income Statement'!T49/'Nike Income Statement'!T$15</f>
        <v>-2.6178771155035865E-3</v>
      </c>
      <c r="E54" s="148">
        <f>+'Nike Income Statement'!U49/'Nike Income Statement'!U$15</f>
        <v>-1.5650255100335007E-3</v>
      </c>
      <c r="F54" s="148">
        <f>+'Nike Income Statement'!V49/'Nike Income Statement'!V$15</f>
        <v>2.2218825738553241E-4</v>
      </c>
      <c r="G54" s="148">
        <f>+'Nike Income Statement'!W49/'Nike Income Statement'!W$15</f>
        <v>1.2833487035933764E-3</v>
      </c>
      <c r="H54" s="148">
        <f>+'Nike Income Statement'!X49/'Nike Income Statement'!X$15</f>
        <v>1.6827147798448164E-3</v>
      </c>
      <c r="I54" s="148">
        <f>+'Nike Income Statement'!Y49/'Nike Income Statement'!Y$15</f>
        <v>2.1582937430506418E-3</v>
      </c>
      <c r="J54" s="148">
        <f>+'Nike Income Statement'!Z49/'Nike Income Statement'!Z$15</f>
        <v>2.9555686704325103E-3</v>
      </c>
      <c r="K54" s="148">
        <f>+'Nike Income Statement'!AA49/'Nike Income Statement'!AA$15</f>
        <v>2.1887249724850196E-3</v>
      </c>
      <c r="L54" s="148">
        <f>+'Nike Income Statement'!AB49/'Nike Income Statement'!AB$15</f>
        <v>2.1437523499185361E-3</v>
      </c>
      <c r="M54" s="148">
        <f>+'Nike Income Statement'!AC49/'Nike Income Statement'!AC$15</f>
        <v>2.7867393830274989E-3</v>
      </c>
      <c r="N54" s="148">
        <f>+'Nike Income Statement'!AD49/'Nike Income Statement'!AD$15</f>
        <v>2.1521580580199204E-3</v>
      </c>
      <c r="O54" s="148">
        <f>+'Nike Income Statement'!AE49/'Nike Income Statement'!AE$15</f>
        <v>2.2240595926189223E-3</v>
      </c>
      <c r="Q54" s="16" t="s">
        <v>209</v>
      </c>
      <c r="R54" s="80">
        <f>+'Nike Income Statement'!S49/'Nike Income Statement'!$X49</f>
        <v>-2.7242000000000002</v>
      </c>
      <c r="S54" s="80">
        <f>+'Nike Income Statement'!T49/'Nike Income Statement'!$X49</f>
        <v>-2.3744000000000001</v>
      </c>
      <c r="T54" s="80">
        <f>+'Nike Income Statement'!U49/'Nike Income Statement'!$X49</f>
        <v>-1.3002666666666665</v>
      </c>
      <c r="U54" s="80">
        <f>+'Nike Income Statement'!V49/'Nike Income Statement'!$X49</f>
        <v>0.1696</v>
      </c>
      <c r="V54" s="80">
        <f>+'Nike Income Statement'!W49/'Nike Income Statement'!$X49</f>
        <v>0.87361111111111112</v>
      </c>
      <c r="W54" s="80">
        <f>+'Nike Income Statement'!X49/'Nike Income Statement'!$X49</f>
        <v>1</v>
      </c>
    </row>
    <row r="55" spans="2:23">
      <c r="B55" s="16"/>
      <c r="C55" s="68"/>
      <c r="D55" s="68"/>
      <c r="E55" s="68"/>
      <c r="F55" s="68"/>
      <c r="G55" s="68"/>
      <c r="H55" s="68"/>
      <c r="I55" s="68"/>
      <c r="J55" s="68"/>
      <c r="K55" s="68"/>
      <c r="L55" s="189"/>
      <c r="M55" s="189"/>
      <c r="N55" s="189"/>
      <c r="O55" s="189"/>
      <c r="Q55" s="16"/>
      <c r="R55" s="68"/>
      <c r="S55" s="68"/>
      <c r="T55" s="68"/>
      <c r="U55" s="68"/>
      <c r="V55" s="68"/>
      <c r="W55" s="68"/>
    </row>
    <row r="56" spans="2:23" ht="13.5" thickBot="1">
      <c r="B56" s="16" t="s">
        <v>213</v>
      </c>
      <c r="C56" s="223">
        <f>+'Nike Income Statement'!S51/'Nike Income Statement'!S$15</f>
        <v>0.10370430020937349</v>
      </c>
      <c r="D56" s="223">
        <f>+'Nike Income Statement'!T51/'Nike Income Statement'!T$15</f>
        <v>0.1038166349175237</v>
      </c>
      <c r="E56" s="223">
        <f>+'Nike Income Statement'!U51/'Nike Income Statement'!U$15</f>
        <v>9.7078549505513242E-2</v>
      </c>
      <c r="F56" s="223">
        <f>+'Nike Income Statement'!V51/'Nike Income Statement'!V$15</f>
        <v>0.10008952160527529</v>
      </c>
      <c r="G56" s="223">
        <f>+'Nike Income Statement'!W51/'Nike Income Statement'!W$15</f>
        <v>8.316069242260743E-2</v>
      </c>
      <c r="H56" s="223">
        <f>+'Nike Income Statement'!X51/'Nike Income Statement'!X$15</f>
        <v>3.7942102147019381E-2</v>
      </c>
      <c r="I56" s="223">
        <f>+'Nike Income Statement'!Y51/'Nike Income Statement'!Y$15</f>
        <v>6.0601880986773549E-2</v>
      </c>
      <c r="J56" s="223">
        <f>+'Nike Income Statement'!Z51/'Nike Income Statement'!Z$15</f>
        <v>5.2110802625961038E-2</v>
      </c>
      <c r="K56" s="223">
        <f>+'Nike Income Statement'!AA51/'Nike Income Statement'!AA$15</f>
        <v>5.6903605218724576E-2</v>
      </c>
      <c r="L56" s="223">
        <f>+'Nike Income Statement'!AB51/'Nike Income Statement'!AB$15</f>
        <v>4.282761951047203E-2</v>
      </c>
      <c r="M56" s="223">
        <f>+'Nike Income Statement'!AC51/'Nike Income Statement'!AC$15</f>
        <v>4.0164972626686633E-2</v>
      </c>
      <c r="N56" s="223">
        <f>+'Nike Income Statement'!AD51/'Nike Income Statement'!AD$15</f>
        <v>8.4569749088336171E-2</v>
      </c>
      <c r="O56" s="223">
        <f>+'Nike Income Statement'!AE51/'Nike Income Statement'!AE$15</f>
        <v>8.2697122368868531E-2</v>
      </c>
      <c r="Q56" s="16" t="s">
        <v>213</v>
      </c>
      <c r="R56" s="223">
        <f>+'Nike Income Statement'!S51/'Nike Income Statement'!$X51</f>
        <v>4.7594448094612396</v>
      </c>
      <c r="S56" s="223">
        <f>+'Nike Income Statement'!T51/'Nike Income Statement'!$X51</f>
        <v>4.1760019710906739</v>
      </c>
      <c r="T56" s="223">
        <f>+'Nike Income Statement'!U51/'Nike Income Statement'!$X51</f>
        <v>3.5770367936925127</v>
      </c>
      <c r="U56" s="223">
        <f>+'Nike Income Statement'!V51/'Nike Income Statement'!$X51</f>
        <v>3.3883048620236584</v>
      </c>
      <c r="V56" s="223">
        <f>+'Nike Income Statement'!W51/'Nike Income Statement'!$X51</f>
        <v>2.5106182990886627</v>
      </c>
      <c r="W56" s="223">
        <f>+'Nike Income Statement'!X51/'Nike Income Statement'!$X51</f>
        <v>1</v>
      </c>
    </row>
    <row r="57" spans="2:23" ht="13.5" thickTop="1">
      <c r="B57" s="16"/>
      <c r="C57" s="16"/>
      <c r="D57" s="16"/>
      <c r="E57" s="16"/>
      <c r="F57" s="16"/>
      <c r="G57" s="16"/>
      <c r="H57" s="16"/>
      <c r="I57" s="189"/>
      <c r="J57" s="189"/>
      <c r="K57" s="189"/>
      <c r="L57" s="189"/>
      <c r="M57" s="189"/>
      <c r="N57" s="189"/>
      <c r="O57" s="189"/>
      <c r="Q57" s="16"/>
      <c r="R57" s="16"/>
      <c r="S57" s="16"/>
      <c r="T57" s="16"/>
      <c r="U57" s="16"/>
      <c r="V57" s="16"/>
      <c r="W57" s="16"/>
    </row>
    <row r="58" spans="2:23">
      <c r="B58" s="16"/>
      <c r="C58" s="16"/>
      <c r="D58" s="16"/>
      <c r="E58" s="16"/>
      <c r="F58" s="16"/>
      <c r="G58" s="16"/>
      <c r="H58" s="16"/>
      <c r="I58" s="189"/>
      <c r="J58" s="189"/>
      <c r="K58" s="189"/>
      <c r="L58" s="189"/>
      <c r="M58" s="189"/>
      <c r="N58" s="189"/>
      <c r="O58" s="189"/>
      <c r="Q58" s="37" t="s">
        <v>517</v>
      </c>
      <c r="R58" s="37"/>
      <c r="S58" s="37"/>
      <c r="T58" s="37"/>
      <c r="U58" s="37"/>
      <c r="V58" s="16"/>
      <c r="W58" s="16"/>
    </row>
    <row r="59" spans="2:23">
      <c r="B59" s="16"/>
      <c r="C59" s="16"/>
      <c r="D59" s="16"/>
      <c r="E59" s="16"/>
      <c r="F59" s="16"/>
      <c r="G59" s="16"/>
      <c r="H59" s="16"/>
      <c r="I59" s="68"/>
      <c r="J59" s="68"/>
      <c r="K59" s="68"/>
      <c r="L59" s="68"/>
      <c r="M59" s="68"/>
      <c r="N59" s="68"/>
      <c r="O59" s="68"/>
    </row>
    <row r="60" spans="2:23">
      <c r="B60" s="3" t="s">
        <v>414</v>
      </c>
      <c r="C60" s="3"/>
      <c r="D60" s="3"/>
      <c r="E60" s="3"/>
      <c r="F60" s="3"/>
      <c r="G60" s="3"/>
      <c r="H60" s="3"/>
      <c r="I60" s="3"/>
      <c r="J60" s="3"/>
      <c r="Q60" s="3" t="s">
        <v>412</v>
      </c>
      <c r="R60" s="3"/>
      <c r="S60" s="3"/>
      <c r="T60" s="3"/>
      <c r="U60" s="3"/>
      <c r="V60" s="3"/>
      <c r="W60" s="3"/>
    </row>
    <row r="61" spans="2:23">
      <c r="B61" s="3" t="s">
        <v>415</v>
      </c>
      <c r="C61" s="3"/>
      <c r="D61" s="3"/>
      <c r="E61" s="3"/>
      <c r="F61" s="3"/>
      <c r="G61" s="3"/>
      <c r="H61" s="3"/>
      <c r="I61" s="3"/>
      <c r="J61" s="3"/>
      <c r="Q61" s="3" t="s">
        <v>518</v>
      </c>
      <c r="R61" s="3"/>
      <c r="S61" s="3"/>
      <c r="T61" s="3"/>
      <c r="U61" s="3"/>
      <c r="V61" s="3"/>
      <c r="W61" s="3"/>
    </row>
    <row r="62" spans="2:23">
      <c r="Q62" s="3"/>
      <c r="R62" s="3"/>
      <c r="S62" s="3"/>
      <c r="T62" s="3"/>
      <c r="U62" s="3"/>
      <c r="V62" s="3"/>
      <c r="W62" s="3"/>
    </row>
    <row r="63" spans="2:23">
      <c r="Q63" t="s">
        <v>521</v>
      </c>
    </row>
    <row r="64" spans="2:23" ht="13.5" thickBot="1">
      <c r="B64" s="5"/>
      <c r="C64" s="6">
        <v>39599</v>
      </c>
      <c r="D64" s="6">
        <v>39233</v>
      </c>
      <c r="E64" s="6">
        <v>38868</v>
      </c>
      <c r="F64" s="6">
        <v>38503</v>
      </c>
      <c r="G64" s="6">
        <v>38138</v>
      </c>
      <c r="H64" s="6">
        <v>37772</v>
      </c>
      <c r="I64" s="6">
        <f>+'Nike Balance Sheet'!Z14</f>
        <v>37407</v>
      </c>
      <c r="J64" s="6">
        <v>37042</v>
      </c>
      <c r="K64" s="6">
        <v>36677</v>
      </c>
      <c r="L64" s="6">
        <v>36311</v>
      </c>
      <c r="M64" s="6">
        <v>35946</v>
      </c>
      <c r="N64" s="6">
        <v>35581</v>
      </c>
      <c r="O64" s="6">
        <v>35216</v>
      </c>
      <c r="Q64" s="5"/>
      <c r="R64" s="6">
        <f>+'Nike Balance Sheet'!T14</f>
        <v>39599</v>
      </c>
      <c r="S64" s="6">
        <f>+'Nike Balance Sheet'!U14</f>
        <v>39233</v>
      </c>
      <c r="T64" s="6">
        <f>+'Nike Balance Sheet'!V14</f>
        <v>38868</v>
      </c>
      <c r="U64" s="6">
        <f>+'Nike Balance Sheet'!W14</f>
        <v>38503</v>
      </c>
      <c r="V64" s="6">
        <f>+'Nike Balance Sheet'!X14</f>
        <v>38138</v>
      </c>
      <c r="W64" s="6">
        <f>+'Nike Balance Sheet'!Y14</f>
        <v>37772</v>
      </c>
    </row>
    <row r="65" spans="2:23">
      <c r="B65" s="3" t="s">
        <v>191</v>
      </c>
      <c r="C65" s="3"/>
      <c r="D65" s="3"/>
      <c r="E65" s="3"/>
      <c r="F65" s="3"/>
      <c r="G65" s="3"/>
      <c r="H65" s="3"/>
      <c r="I65" s="3"/>
      <c r="J65" s="3"/>
      <c r="Q65" s="3" t="s">
        <v>191</v>
      </c>
      <c r="R65" s="3"/>
      <c r="S65" s="3"/>
      <c r="T65" s="3"/>
      <c r="U65" s="3"/>
      <c r="V65" s="3"/>
      <c r="W65" s="3"/>
    </row>
    <row r="66" spans="2:23">
      <c r="B66" s="39" t="s">
        <v>161</v>
      </c>
      <c r="C66" s="39"/>
      <c r="D66" s="39"/>
      <c r="E66" s="39"/>
      <c r="F66" s="39"/>
      <c r="G66" s="39"/>
      <c r="H66" s="39"/>
      <c r="I66" s="39"/>
      <c r="J66" s="39"/>
      <c r="K66" s="9"/>
      <c r="L66" s="9"/>
      <c r="M66" s="9"/>
      <c r="N66" s="9"/>
      <c r="O66" s="9"/>
      <c r="Q66" s="39" t="s">
        <v>161</v>
      </c>
      <c r="R66" s="39"/>
      <c r="S66" s="39"/>
      <c r="T66" s="39"/>
      <c r="U66" s="39"/>
      <c r="V66" s="39"/>
      <c r="W66" s="39"/>
    </row>
    <row r="67" spans="2:23">
      <c r="B67" s="23" t="s">
        <v>181</v>
      </c>
      <c r="C67" s="189">
        <f>+'Nike Balance Sheet'!T17/'Nike Balance Sheet'!T$25</f>
        <v>9.5427795939131543E-3</v>
      </c>
      <c r="D67" s="189">
        <f>+'Nike Balance Sheet'!U17/'Nike Balance Sheet'!U$25</f>
        <v>1.0302944131965329E-2</v>
      </c>
      <c r="E67" s="189">
        <f>+'Nike Balance Sheet'!V17/'Nike Balance Sheet'!V$25</f>
        <v>9.7854777304789871E-3</v>
      </c>
      <c r="F67" s="189">
        <f>+'Nike Balance Sheet'!W17/'Nike Balance Sheet'!W$25</f>
        <v>9.761639570657522E-3</v>
      </c>
      <c r="G67" s="189">
        <f>+'Nike Balance Sheet'!X17/'Nike Balance Sheet'!X$25</f>
        <v>9.0808563133891844E-3</v>
      </c>
      <c r="H67" s="189">
        <f>+'Nike Balance Sheet'!Y17/'Nike Balance Sheet'!Y$25</f>
        <v>8.5696866861020779E-3</v>
      </c>
      <c r="I67" s="189">
        <f>+'Nike Balance Sheet'!Z17/'Nike Balance Sheet'!Z$25</f>
        <v>8.3568942054192685E-3</v>
      </c>
      <c r="J67" s="189">
        <f>+'Nike Balance Sheet'!AA17/'Nike Balance Sheet'!AA$25</f>
        <v>8.5132741330255588E-3</v>
      </c>
      <c r="K67" s="189">
        <f>+'Nike Balance Sheet'!AB17/'Nike Balance Sheet'!AB$25</f>
        <v>7.9472186855013525E-3</v>
      </c>
      <c r="L67" s="189">
        <f>+'Nike Balance Sheet'!AC17/'Nike Balance Sheet'!AC$25</f>
        <v>8.6158110425191246E-3</v>
      </c>
      <c r="M67" s="189">
        <f>+'Nike Balance Sheet'!AD17/'Nike Balance Sheet'!AD$25</f>
        <v>8.9506069025106147E-3</v>
      </c>
      <c r="N67" s="189">
        <f>+'Nike Balance Sheet'!AE17/'Nike Balance Sheet'!AE$25</f>
        <v>9.2573511369264672E-3</v>
      </c>
      <c r="O67" s="189">
        <f>+'Nike Balance Sheet'!AF17/'Nike Balance Sheet'!AF$25</f>
        <v>8.6927153470906446E-3</v>
      </c>
      <c r="Q67" s="23" t="s">
        <v>181</v>
      </c>
      <c r="R67" s="68">
        <f>'Nike Balance Sheet'!T17/'Nike Balance Sheet'!$Y17</f>
        <v>1.7413293446760776</v>
      </c>
      <c r="S67" s="68">
        <f>'Nike Balance Sheet'!U17/'Nike Balance Sheet'!$Y17</f>
        <v>1.5262129569038048</v>
      </c>
      <c r="T67" s="68">
        <f>'Nike Balance Sheet'!V17/'Nike Balance Sheet'!$Y17</f>
        <v>1.3980461811722913</v>
      </c>
      <c r="U67" s="68">
        <f>'Nike Balance Sheet'!W17/'Nike Balance Sheet'!$Y17</f>
        <v>1.2844442367018791</v>
      </c>
      <c r="V67" s="68">
        <f>'Nike Balance Sheet'!X17/'Nike Balance Sheet'!$Y17</f>
        <v>1.1454706927175844</v>
      </c>
      <c r="W67" s="68">
        <f>'Nike Balance Sheet'!Y17/'Nike Balance Sheet'!$Y17</f>
        <v>1</v>
      </c>
    </row>
    <row r="68" spans="2:23">
      <c r="B68" s="23" t="s">
        <v>661</v>
      </c>
      <c r="C68" s="189">
        <f>+'Nike Balance Sheet'!T18/'Nike Balance Sheet'!T$25</f>
        <v>0.28641146506539367</v>
      </c>
      <c r="D68" s="189">
        <f>+'Nike Balance Sheet'!U18/'Nike Balance Sheet'!U$25</f>
        <v>0.31487090728246414</v>
      </c>
      <c r="E68" s="189">
        <f>+'Nike Balance Sheet'!V18/'Nike Balance Sheet'!V$25</f>
        <v>0.31354306741542376</v>
      </c>
      <c r="F68" s="189">
        <f>+'Nike Balance Sheet'!W18/'Nike Balance Sheet'!W$25</f>
        <v>0.32143066985137048</v>
      </c>
      <c r="G68" s="189">
        <f>+'Nike Balance Sheet'!X18/'Nike Balance Sheet'!X$25</f>
        <v>0.31425894762382983</v>
      </c>
      <c r="H68" s="189">
        <f>+'Nike Balance Sheet'!Y18/'Nike Balance Sheet'!Y$25</f>
        <v>0.33389492540278809</v>
      </c>
      <c r="I68" s="189">
        <f>+'Nike Balance Sheet'!Z18/'Nike Balance Sheet'!Z$25</f>
        <v>0.30479476065898919</v>
      </c>
      <c r="J68" s="189">
        <f>+'Nike Balance Sheet'!AA18/'Nike Balance Sheet'!AA$25</f>
        <v>0.29094137676603243</v>
      </c>
      <c r="K68" s="189">
        <f>+'Nike Balance Sheet'!AB18/'Nike Balance Sheet'!AB$25</f>
        <v>0.27692590685857227</v>
      </c>
      <c r="L68" s="189">
        <f>+'Nike Balance Sheet'!AC18/'Nike Balance Sheet'!AC$25</f>
        <v>0.30236668041298642</v>
      </c>
      <c r="M68" s="189">
        <f>+'Nike Balance Sheet'!AD18/'Nike Balance Sheet'!AD$25</f>
        <v>0.31375985172485943</v>
      </c>
      <c r="N68" s="189">
        <f>+'Nike Balance Sheet'!AE18/'Nike Balance Sheet'!AE$25</f>
        <v>0.35352570901393821</v>
      </c>
      <c r="O68" s="189">
        <f>+'Nike Balance Sheet'!AF18/'Nike Balance Sheet'!AF$25</f>
        <v>0.36168149620135359</v>
      </c>
      <c r="Q68" s="23" t="s">
        <v>661</v>
      </c>
      <c r="R68" s="68">
        <f>'Nike Balance Sheet'!T18/'Nike Balance Sheet'!$Y18</f>
        <v>1.3413791448725947</v>
      </c>
      <c r="S68" s="68">
        <f>'Nike Balance Sheet'!U18/'Nike Balance Sheet'!$Y18</f>
        <v>1.1971303805364939</v>
      </c>
      <c r="T68" s="68">
        <f>'Nike Balance Sheet'!V18/'Nike Balance Sheet'!$Y18</f>
        <v>1.1497192763568309</v>
      </c>
      <c r="U68" s="68">
        <f>'Nike Balance Sheet'!W18/'Nike Balance Sheet'!$Y18</f>
        <v>1.0855127405345746</v>
      </c>
      <c r="V68" s="68">
        <f>'Nike Balance Sheet'!X18/'Nike Balance Sheet'!$Y18</f>
        <v>1.0174192619607465</v>
      </c>
      <c r="W68" s="68">
        <f>'Nike Balance Sheet'!Y18/'Nike Balance Sheet'!$Y18</f>
        <v>1</v>
      </c>
    </row>
    <row r="69" spans="2:23">
      <c r="B69" s="23" t="s">
        <v>182</v>
      </c>
      <c r="C69" s="189">
        <f>+'Nike Balance Sheet'!T19/'Nike Balance Sheet'!T$25</f>
        <v>0.24984284921670516</v>
      </c>
      <c r="D69" s="189">
        <f>+'Nike Balance Sheet'!U19/'Nike Balance Sheet'!U$25</f>
        <v>0.26781760458678827</v>
      </c>
      <c r="E69" s="189">
        <f>+'Nike Balance Sheet'!V19/'Nike Balance Sheet'!V$25</f>
        <v>0.27177047794215553</v>
      </c>
      <c r="F69" s="189">
        <f>+'Nike Balance Sheet'!W19/'Nike Balance Sheet'!W$25</f>
        <v>0.25734630925592022</v>
      </c>
      <c r="G69" s="189">
        <f>+'Nike Balance Sheet'!X19/'Nike Balance Sheet'!X$25</f>
        <v>0.24459490395662864</v>
      </c>
      <c r="H69" s="189">
        <f>+'Nike Balance Sheet'!Y19/'Nike Balance Sheet'!Y$25</f>
        <v>0.24272634123167314</v>
      </c>
      <c r="I69" s="189">
        <f>+'Nike Balance Sheet'!Z19/'Nike Balance Sheet'!Z$25</f>
        <v>0.23209746809673487</v>
      </c>
      <c r="J69" s="189">
        <f>+'Nike Balance Sheet'!AA19/'Nike Balance Sheet'!AA$25</f>
        <v>0.25553818592112171</v>
      </c>
      <c r="K69" s="189">
        <f>+'Nike Balance Sheet'!AB19/'Nike Balance Sheet'!AB$25</f>
        <v>0.25550973795143922</v>
      </c>
      <c r="L69" s="189">
        <f>+'Nike Balance Sheet'!AC19/'Nike Balance Sheet'!AC$25</f>
        <v>0.22982302194107002</v>
      </c>
      <c r="M69" s="189">
        <f>+'Nike Balance Sheet'!AD19/'Nike Balance Sheet'!AD$25</f>
        <v>0.26170389925880233</v>
      </c>
      <c r="N69" s="189">
        <f>+'Nike Balance Sheet'!AE19/'Nike Balance Sheet'!AE$25</f>
        <v>0.26978479795111893</v>
      </c>
      <c r="O69" s="189">
        <f>+'Nike Balance Sheet'!AF19/'Nike Balance Sheet'!AF$25</f>
        <v>0.2501848542069916</v>
      </c>
      <c r="Q69" s="23" t="s">
        <v>182</v>
      </c>
      <c r="R69" s="68">
        <f>'Nike Balance Sheet'!T19/'Nike Balance Sheet'!$Y19</f>
        <v>1.609611195458446</v>
      </c>
      <c r="S69" s="68">
        <f>'Nike Balance Sheet'!U19/'Nike Balance Sheet'!$Y19</f>
        <v>1.4006865139613176</v>
      </c>
      <c r="T69" s="68">
        <f>'Nike Balance Sheet'!V19/'Nike Balance Sheet'!$Y19</f>
        <v>1.3708495610271303</v>
      </c>
      <c r="U69" s="68">
        <f>'Nike Balance Sheet'!W19/'Nike Balance Sheet'!$Y19</f>
        <v>1.1955244570598718</v>
      </c>
      <c r="V69" s="68">
        <f>'Nike Balance Sheet'!X19/'Nike Balance Sheet'!$Y19</f>
        <v>1.0893128259291043</v>
      </c>
      <c r="W69" s="68">
        <f>'Nike Balance Sheet'!Y19/'Nike Balance Sheet'!$Y19</f>
        <v>1</v>
      </c>
    </row>
    <row r="70" spans="2:23">
      <c r="B70" t="s">
        <v>742</v>
      </c>
      <c r="C70" s="189">
        <f>+'Nike Balance Sheet'!T20/'Nike Balance Sheet'!T$25</f>
        <v>6.1712741175861834E-2</v>
      </c>
      <c r="D70" s="189">
        <f>+'Nike Balance Sheet'!U20/'Nike Balance Sheet'!U$25</f>
        <v>4.9628107886104507E-2</v>
      </c>
      <c r="E70" s="189">
        <f>+'Nike Balance Sheet'!V20/'Nike Balance Sheet'!V$25</f>
        <v>4.9742359833299631E-2</v>
      </c>
      <c r="F70" s="189">
        <f>+'Nike Balance Sheet'!W20/'Nike Balance Sheet'!W$25</f>
        <v>4.873821659476596E-2</v>
      </c>
      <c r="G70" s="189">
        <f>+'Nike Balance Sheet'!X20/'Nike Balance Sheet'!X$25</f>
        <v>5.4827084579782408E-2</v>
      </c>
      <c r="H70" s="189">
        <f>+'Nike Balance Sheet'!Y20/'Nike Balance Sheet'!Y$25</f>
        <v>5.3371274846042857E-2</v>
      </c>
      <c r="I70" s="189">
        <f>+'Nike Balance Sheet'!Z20/'Nike Balance Sheet'!Z$25</f>
        <v>4.4871951904566013E-2</v>
      </c>
      <c r="J70" s="189">
        <f>+'Nike Balance Sheet'!AA20/'Nike Balance Sheet'!AA$25</f>
        <v>3.09351753758875E-2</v>
      </c>
      <c r="K70" s="189">
        <f>+'Nike Balance Sheet'!AB20/'Nike Balance Sheet'!AB$25</f>
        <v>4.0093471328617944E-2</v>
      </c>
      <c r="L70" s="189">
        <f>+'Nike Balance Sheet'!AC20/'Nike Balance Sheet'!AC$25</f>
        <v>4.3113903654757368E-2</v>
      </c>
      <c r="M70" s="189">
        <f>+'Nike Balance Sheet'!AD20/'Nike Balance Sheet'!AD$25</f>
        <v>3.6765219128295154E-2</v>
      </c>
      <c r="N70" s="189">
        <f>+'Nike Balance Sheet'!AE20/'Nike Balance Sheet'!AE$25</f>
        <v>3.1662327624473914E-2</v>
      </c>
      <c r="O70" s="189">
        <f>+'Nike Balance Sheet'!AF20/'Nike Balance Sheet'!AF$25</f>
        <v>2.5370971226153009E-2</v>
      </c>
      <c r="Q70" t="s">
        <v>742</v>
      </c>
      <c r="R70" s="68">
        <f>'Nike Balance Sheet'!T20/'Nike Balance Sheet'!$Y20</f>
        <v>1.8081657160012006</v>
      </c>
      <c r="S70" s="68">
        <f>'Nike Balance Sheet'!U20/'Nike Balance Sheet'!$Y20</f>
        <v>1.180426298408886</v>
      </c>
      <c r="T70" s="68">
        <f>'Nike Balance Sheet'!V20/'Nike Balance Sheet'!$Y20</f>
        <v>1.1410987691383969</v>
      </c>
      <c r="U70" s="68">
        <f>'Nike Balance Sheet'!W20/'Nike Balance Sheet'!$Y20</f>
        <v>1.0297208045631943</v>
      </c>
      <c r="V70" s="68">
        <f>'Nike Balance Sheet'!X20/'Nike Balance Sheet'!$Y20</f>
        <v>1.1104773341338936</v>
      </c>
      <c r="W70" s="68">
        <f>'Nike Balance Sheet'!Y20/'Nike Balance Sheet'!$Y20</f>
        <v>1</v>
      </c>
    </row>
    <row r="71" spans="2:23">
      <c r="B71" s="23" t="s">
        <v>167</v>
      </c>
      <c r="C71" s="189">
        <f>+'Nike Balance Sheet'!T21/'Nike Balance Sheet'!T$25</f>
        <v>0.19376550695280145</v>
      </c>
      <c r="D71" s="189">
        <f>+'Nike Balance Sheet'!U21/'Nike Balance Sheet'!U$25</f>
        <v>0.21182821328903659</v>
      </c>
      <c r="E71" s="189">
        <f>+'Nike Balance Sheet'!V21/'Nike Balance Sheet'!V$25</f>
        <v>0.21693741093307231</v>
      </c>
      <c r="F71" s="189">
        <f>+'Nike Balance Sheet'!W21/'Nike Balance Sheet'!W$25</f>
        <v>0.22817442626202677</v>
      </c>
      <c r="G71" s="189">
        <f>+'Nike Balance Sheet'!X21/'Nike Balance Sheet'!X$25</f>
        <v>0.23890320336764878</v>
      </c>
      <c r="H71" s="189">
        <f>+'Nike Balance Sheet'!Y21/'Nike Balance Sheet'!Y$25</f>
        <v>0.2596942728023604</v>
      </c>
      <c r="I71" s="189">
        <f>+'Nike Balance Sheet'!Z21/'Nike Balance Sheet'!Z$25</f>
        <v>0.27276267451024783</v>
      </c>
      <c r="J71" s="189">
        <f>+'Nike Balance Sheet'!AA21/'Nike Balance Sheet'!AA$25</f>
        <v>0.29047483699818261</v>
      </c>
      <c r="K71" s="189">
        <f>+'Nike Balance Sheet'!AB21/'Nike Balance Sheet'!AB$25</f>
        <v>0.27978846408873365</v>
      </c>
      <c r="L71" s="189">
        <f>+'Nike Balance Sheet'!AC21/'Nike Balance Sheet'!AC$25</f>
        <v>0.24851356669486283</v>
      </c>
      <c r="M71" s="189">
        <f>+'Nike Balance Sheet'!AD21/'Nike Balance Sheet'!AD$25</f>
        <v>0.21607530161486821</v>
      </c>
      <c r="N71" s="189">
        <f>+'Nike Balance Sheet'!AE21/'Nike Balance Sheet'!AE$25</f>
        <v>0.18590280713440319</v>
      </c>
      <c r="O71" s="189">
        <f>+'Nike Balance Sheet'!AF21/'Nike Balance Sheet'!AF$25</f>
        <v>0.17288677787295142</v>
      </c>
      <c r="Q71" s="23" t="s">
        <v>167</v>
      </c>
      <c r="R71" s="68">
        <f>'Nike Balance Sheet'!T21/'Nike Balance Sheet'!$Y21</f>
        <v>1.166769496544916</v>
      </c>
      <c r="S71" s="68">
        <f>'Nike Balance Sheet'!U21/'Nike Balance Sheet'!$Y21</f>
        <v>1.0354763079960514</v>
      </c>
      <c r="T71" s="68">
        <f>'Nike Balance Sheet'!V21/'Nike Balance Sheet'!$Y21</f>
        <v>1.0227665350444226</v>
      </c>
      <c r="U71" s="68">
        <f>'Nike Balance Sheet'!W21/'Nike Balance Sheet'!$Y21</f>
        <v>0.99074531095755181</v>
      </c>
      <c r="V71" s="68">
        <f>'Nike Balance Sheet'!X21/'Nike Balance Sheet'!$Y21</f>
        <v>0.99444718657453113</v>
      </c>
      <c r="W71" s="68">
        <f>'Nike Balance Sheet'!Y21/'Nike Balance Sheet'!$Y21</f>
        <v>1</v>
      </c>
    </row>
    <row r="72" spans="2:23">
      <c r="B72" s="23" t="s">
        <v>664</v>
      </c>
      <c r="C72" s="189">
        <f>+'Nike Balance Sheet'!T22/'Nike Balance Sheet'!T$25</f>
        <v>4.5984855121578606E-2</v>
      </c>
      <c r="D72" s="189">
        <f>+'Nike Balance Sheet'!U22/'Nike Balance Sheet'!U$25</f>
        <v>1.6509045044512893E-2</v>
      </c>
      <c r="E72" s="189">
        <f>+'Nike Balance Sheet'!V22/'Nike Balance Sheet'!V$25</f>
        <v>1.7117339295436969E-2</v>
      </c>
      <c r="F72" s="189">
        <f>+'Nike Balance Sheet'!W22/'Nike Balance Sheet'!W$25</f>
        <v>1.9239517571228312E-2</v>
      </c>
      <c r="G72" s="189">
        <f>+'Nike Balance Sheet'!X22/'Nike Balance Sheet'!X$25</f>
        <v>2.0069173430934142E-2</v>
      </c>
      <c r="H72" s="189">
        <f>+'Nike Balance Sheet'!Y22/'Nike Balance Sheet'!Y$25</f>
        <v>1.0510824466828012E-2</v>
      </c>
      <c r="I72" s="189">
        <f>+'Nike Balance Sheet'!Z22/'Nike Balance Sheet'!Z$25</f>
        <v>3.9313641597110358E-2</v>
      </c>
      <c r="J72" s="189">
        <f>+'Nike Balance Sheet'!AA22/'Nike Balance Sheet'!AA$25</f>
        <v>3.2065637121062043E-2</v>
      </c>
      <c r="K72" s="189">
        <f>+'Nike Balance Sheet'!AB22/'Nike Balance Sheet'!AB$25</f>
        <v>3.4580398144603494E-2</v>
      </c>
      <c r="L72" s="189">
        <f>+'Nike Balance Sheet'!AC22/'Nike Balance Sheet'!AC$25</f>
        <v>4.1935928145064548E-2</v>
      </c>
      <c r="M72" s="189">
        <f>+'Nike Balance Sheet'!AD22/'Nike Balance Sheet'!AD$25</f>
        <v>4.0306822805791481E-2</v>
      </c>
      <c r="N72" s="189">
        <f>+'Nike Balance Sheet'!AE22/'Nike Balance Sheet'!AE$25</f>
        <v>4.9377913863756263E-2</v>
      </c>
      <c r="O72" s="189">
        <f>+'Nike Balance Sheet'!AF22/'Nike Balance Sheet'!AF$25</f>
        <v>7.1254848392681924E-2</v>
      </c>
      <c r="Q72" s="23" t="s">
        <v>664</v>
      </c>
      <c r="R72" s="68">
        <f>'Nike Balance Sheet'!T22/'Nike Balance Sheet'!$Y22</f>
        <v>6.8414634146341475</v>
      </c>
      <c r="S72" s="68">
        <f>'Nike Balance Sheet'!U22/'Nike Balance Sheet'!$Y22</f>
        <v>1.9939024390243907</v>
      </c>
      <c r="T72" s="68">
        <f>'Nike Balance Sheet'!V22/'Nike Balance Sheet'!$Y22</f>
        <v>1.9939024390243907</v>
      </c>
      <c r="U72" s="68">
        <f>'Nike Balance Sheet'!W22/'Nike Balance Sheet'!$Y22</f>
        <v>2.0640243902439028</v>
      </c>
      <c r="V72" s="68">
        <f>'Nike Balance Sheet'!X22/'Nike Balance Sheet'!$Y22</f>
        <v>2.0640243902439028</v>
      </c>
      <c r="W72" s="68">
        <f>'Nike Balance Sheet'!Y22/'Nike Balance Sheet'!$Y22</f>
        <v>1</v>
      </c>
    </row>
    <row r="73" spans="2:23">
      <c r="B73" s="23" t="s">
        <v>666</v>
      </c>
      <c r="C73" s="189">
        <f>+'Nike Balance Sheet'!T23/'Nike Balance Sheet'!T$25</f>
        <v>7.6139362390474738E-2</v>
      </c>
      <c r="D73" s="189">
        <f>+'Nike Balance Sheet'!U23/'Nike Balance Sheet'!U$25</f>
        <v>5.1735914095916165E-2</v>
      </c>
      <c r="E73" s="189">
        <f>+'Nike Balance Sheet'!V23/'Nike Balance Sheet'!V$25</f>
        <v>5.3066369146022092E-2</v>
      </c>
      <c r="F73" s="189">
        <f>+'Nike Balance Sheet'!W23/'Nike Balance Sheet'!W$25</f>
        <v>5.7704343321091714E-2</v>
      </c>
      <c r="G73" s="189">
        <f>+'Nike Balance Sheet'!X23/'Nike Balance Sheet'!X$25</f>
        <v>5.4293487649565556E-2</v>
      </c>
      <c r="H73" s="189">
        <f>+'Nike Balance Sheet'!Y23/'Nike Balance Sheet'!Y$25</f>
        <v>1.8938711158217551E-2</v>
      </c>
      <c r="I73" s="189">
        <f>+'Nike Balance Sheet'!Z23/'Nike Balance Sheet'!Z$25</f>
        <v>3.4802794022366711E-2</v>
      </c>
      <c r="J73" s="189">
        <f>+'Nike Balance Sheet'!AA23/'Nike Balance Sheet'!AA$25</f>
        <v>3.9225228173834149E-2</v>
      </c>
      <c r="K73" s="189">
        <f>+'Nike Balance Sheet'!AB23/'Nike Balance Sheet'!AB$25</f>
        <v>3.8026068884612525E-2</v>
      </c>
      <c r="L73" s="189">
        <f>+'Nike Balance Sheet'!AC23/'Nike Balance Sheet'!AC$25</f>
        <v>4.1818130594095261E-2</v>
      </c>
      <c r="M73" s="189">
        <f>+'Nike Balance Sheet'!AD23/'Nike Balance Sheet'!AD$25</f>
        <v>4.1356186858382979E-2</v>
      </c>
      <c r="N73" s="189">
        <f>+'Nike Balance Sheet'!AE23/'Nike Balance Sheet'!AE$25</f>
        <v>4.4178117220144378E-2</v>
      </c>
      <c r="O73" s="189">
        <f>+'Nike Balance Sheet'!AF23/'Nike Balance Sheet'!AF$25</f>
        <v>5.6316049106735044E-2</v>
      </c>
      <c r="Q73" s="23" t="s">
        <v>666</v>
      </c>
      <c r="R73" s="68">
        <f>'Nike Balance Sheet'!T23/'Nike Balance Sheet'!$Y23</f>
        <v>6.2868020304568528</v>
      </c>
      <c r="S73" s="68">
        <f>'Nike Balance Sheet'!U23/'Nike Balance Sheet'!$Y23</f>
        <v>3.4678510998307952</v>
      </c>
      <c r="T73" s="68">
        <f>'Nike Balance Sheet'!V23/'Nike Balance Sheet'!$Y23</f>
        <v>3.4306260575296106</v>
      </c>
      <c r="U73" s="68">
        <f>'Nike Balance Sheet'!W23/'Nike Balance Sheet'!$Y23</f>
        <v>3.4357021996615908</v>
      </c>
      <c r="V73" s="68">
        <f>'Nike Balance Sheet'!X23/'Nike Balance Sheet'!$Y23</f>
        <v>3.0989847715736043</v>
      </c>
      <c r="W73" s="68">
        <f>'Nike Balance Sheet'!Y23/'Nike Balance Sheet'!$Y23</f>
        <v>1</v>
      </c>
    </row>
    <row r="74" spans="2:23">
      <c r="B74" s="23" t="s">
        <v>168</v>
      </c>
      <c r="C74" s="80">
        <f>+'Nike Balance Sheet'!T24/'Nike Balance Sheet'!T$25</f>
        <v>7.6600440483271304E-2</v>
      </c>
      <c r="D74" s="80">
        <f>+'Nike Balance Sheet'!U24/'Nike Balance Sheet'!U$25</f>
        <v>7.7307263683212127E-2</v>
      </c>
      <c r="E74" s="80">
        <f>+'Nike Balance Sheet'!V24/'Nike Balance Sheet'!V$25</f>
        <v>6.8037497704110703E-2</v>
      </c>
      <c r="F74" s="80">
        <f>+'Nike Balance Sheet'!W24/'Nike Balance Sheet'!W$25</f>
        <v>5.7604877572939125E-2</v>
      </c>
      <c r="G74" s="80">
        <f>+'Nike Balance Sheet'!X24/'Nike Balance Sheet'!X$25</f>
        <v>6.3972343078221389E-2</v>
      </c>
      <c r="H74" s="80">
        <f>+'Nike Balance Sheet'!Y24/'Nike Balance Sheet'!Y$25</f>
        <v>7.2293963405987802E-2</v>
      </c>
      <c r="I74" s="80">
        <f>+'Nike Balance Sheet'!Z24/'Nike Balance Sheet'!Z$25</f>
        <v>6.2999815004565751E-2</v>
      </c>
      <c r="J74" s="80">
        <f>+'Nike Balance Sheet'!AA24/'Nike Balance Sheet'!AA$25</f>
        <v>5.2306285510853867E-2</v>
      </c>
      <c r="K74" s="80">
        <f>+'Nike Balance Sheet'!AB24/'Nike Balance Sheet'!AB$25</f>
        <v>6.7128734057919609E-2</v>
      </c>
      <c r="L74" s="80">
        <f>+'Nike Balance Sheet'!AC24/'Nike Balance Sheet'!AC$25</f>
        <v>8.3812957514644446E-2</v>
      </c>
      <c r="M74" s="80">
        <f>+'Nike Balance Sheet'!AD24/'Nike Balance Sheet'!AD$25</f>
        <v>8.1082111706489879E-2</v>
      </c>
      <c r="N74" s="80">
        <f>+'Nike Balance Sheet'!AE24/'Nike Balance Sheet'!AE$25</f>
        <v>5.6310976055238778E-2</v>
      </c>
      <c r="O74" s="80">
        <f>+'Nike Balance Sheet'!AF24/'Nike Balance Sheet'!AF$25</f>
        <v>5.3612287646042894E-2</v>
      </c>
      <c r="Q74" s="23" t="s">
        <v>168</v>
      </c>
      <c r="R74" s="80">
        <f>'Nike Balance Sheet'!T24/'Nike Balance Sheet'!$Y24</f>
        <v>1.6569148936170208</v>
      </c>
      <c r="S74" s="80">
        <f>'Nike Balance Sheet'!U24/'Nike Balance Sheet'!$Y24</f>
        <v>1.3574911347517729</v>
      </c>
      <c r="T74" s="80">
        <f>'Nike Balance Sheet'!V24/'Nike Balance Sheet'!$Y24</f>
        <v>1.1522606382978724</v>
      </c>
      <c r="U74" s="80">
        <f>'Nike Balance Sheet'!W24/'Nike Balance Sheet'!$Y24</f>
        <v>0.89849290780141833</v>
      </c>
      <c r="V74" s="80">
        <f>'Nike Balance Sheet'!X24/'Nike Balance Sheet'!$Y24</f>
        <v>0.95656028368794321</v>
      </c>
      <c r="W74" s="80">
        <f>'Nike Balance Sheet'!Y24/'Nike Balance Sheet'!$Y24</f>
        <v>1</v>
      </c>
    </row>
    <row r="75" spans="2:23">
      <c r="B75" s="16" t="s">
        <v>187</v>
      </c>
      <c r="C75" s="189">
        <f>+'Nike Balance Sheet'!T25/'Nike Balance Sheet'!T$25</f>
        <v>1</v>
      </c>
      <c r="D75" s="189">
        <f>+'Nike Balance Sheet'!U25/'Nike Balance Sheet'!U$25</f>
        <v>1</v>
      </c>
      <c r="E75" s="189">
        <f>+'Nike Balance Sheet'!V25/'Nike Balance Sheet'!V$25</f>
        <v>1</v>
      </c>
      <c r="F75" s="189">
        <f>+'Nike Balance Sheet'!W25/'Nike Balance Sheet'!W$25</f>
        <v>1</v>
      </c>
      <c r="G75" s="189">
        <f>+'Nike Balance Sheet'!X25/'Nike Balance Sheet'!X$25</f>
        <v>1</v>
      </c>
      <c r="H75" s="189">
        <f>+'Nike Balance Sheet'!Y25/'Nike Balance Sheet'!Y$25</f>
        <v>1</v>
      </c>
      <c r="I75" s="189">
        <f>+'Nike Balance Sheet'!Z25/'Nike Balance Sheet'!Z$25</f>
        <v>1</v>
      </c>
      <c r="J75" s="189">
        <f>+'Nike Balance Sheet'!AA25/'Nike Balance Sheet'!AA$25</f>
        <v>1</v>
      </c>
      <c r="K75" s="189">
        <f>+'Nike Balance Sheet'!AB25/'Nike Balance Sheet'!AB$25</f>
        <v>1</v>
      </c>
      <c r="L75" s="189">
        <f>+'Nike Balance Sheet'!AC25/'Nike Balance Sheet'!AC$25</f>
        <v>1</v>
      </c>
      <c r="M75" s="189">
        <f>+'Nike Balance Sheet'!AD25/'Nike Balance Sheet'!AD$25</f>
        <v>1</v>
      </c>
      <c r="N75" s="189">
        <f>+'Nike Balance Sheet'!AE25/'Nike Balance Sheet'!AE$25</f>
        <v>1</v>
      </c>
      <c r="O75" s="189">
        <f>+'Nike Balance Sheet'!AF25/'Nike Balance Sheet'!AF$25</f>
        <v>1</v>
      </c>
      <c r="Q75" s="16" t="s">
        <v>187</v>
      </c>
      <c r="R75" s="68">
        <f>'Nike Balance Sheet'!T25/'Nike Balance Sheet'!$Y25</f>
        <v>1.5637631315206968</v>
      </c>
      <c r="S75" s="68">
        <f>'Nike Balance Sheet'!U25/'Nike Balance Sheet'!$Y25</f>
        <v>1.2694591652066072</v>
      </c>
      <c r="T75" s="68">
        <f>'Nike Balance Sheet'!V25/'Nike Balance Sheet'!$Y25</f>
        <v>1.2243467386401781</v>
      </c>
      <c r="U75" s="68">
        <f>'Nike Balance Sheet'!W25/'Nike Balance Sheet'!$Y25</f>
        <v>1.1276061356937823</v>
      </c>
      <c r="V75" s="68">
        <f>'Nike Balance Sheet'!X25/'Nike Balance Sheet'!$Y25</f>
        <v>1.0809911098613485</v>
      </c>
      <c r="W75" s="68">
        <f>'Nike Balance Sheet'!Y25/'Nike Balance Sheet'!$Y25</f>
        <v>1</v>
      </c>
    </row>
    <row r="76" spans="2:23">
      <c r="B76" s="37" t="s">
        <v>162</v>
      </c>
      <c r="C76" s="189"/>
      <c r="D76" s="189"/>
      <c r="E76" s="189"/>
      <c r="F76" s="189"/>
      <c r="G76" s="189"/>
      <c r="H76" s="189"/>
      <c r="I76" s="189"/>
      <c r="J76" s="189"/>
      <c r="K76" s="189"/>
      <c r="L76" s="189"/>
      <c r="M76" s="189"/>
      <c r="N76" s="189"/>
      <c r="O76" s="189"/>
      <c r="Q76" s="37" t="s">
        <v>162</v>
      </c>
      <c r="R76" s="68"/>
      <c r="S76" s="68"/>
      <c r="T76" s="68"/>
      <c r="U76" s="68"/>
      <c r="V76" s="68"/>
      <c r="W76" s="68"/>
    </row>
    <row r="77" spans="2:23">
      <c r="B77" s="23" t="s">
        <v>662</v>
      </c>
      <c r="C77" s="189">
        <f>+'Nike Balance Sheet'!T27/'Nike Balance Sheet'!T$31</f>
        <v>0.30897043575023392</v>
      </c>
      <c r="D77" s="189">
        <f>+'Nike Balance Sheet'!U27/'Nike Balance Sheet'!U$31</f>
        <v>0.33370199075005025</v>
      </c>
      <c r="E77" s="189">
        <f>+'Nike Balance Sheet'!V27/'Nike Balance Sheet'!V$31</f>
        <v>0.32379379930288021</v>
      </c>
      <c r="F77" s="189">
        <f>+'Nike Balance Sheet'!W27/'Nike Balance Sheet'!W$31</f>
        <v>0.348769515744906</v>
      </c>
      <c r="G77" s="189">
        <f>+'Nike Balance Sheet'!X27/'Nike Balance Sheet'!X$31</f>
        <v>0.33550473760932947</v>
      </c>
      <c r="H77" s="189">
        <f>+'Nike Balance Sheet'!Y27/'Nike Balance Sheet'!Y$31</f>
        <v>0.27374535559160607</v>
      </c>
      <c r="I77" s="189">
        <f>+'Nike Balance Sheet'!Z27/'Nike Balance Sheet'!Z$31</f>
        <v>0.32105624142661182</v>
      </c>
      <c r="J77" s="189">
        <f>+'Nike Balance Sheet'!AA27/'Nike Balance Sheet'!AA$31</f>
        <v>0.40248546802966528</v>
      </c>
      <c r="K77" s="189">
        <f>+'Nike Balance Sheet'!AB27/'Nike Balance Sheet'!AB$31</f>
        <v>0.39791135597401528</v>
      </c>
      <c r="L77" s="189">
        <f>+'Nike Balance Sheet'!AC27/'Nike Balance Sheet'!AC$31</f>
        <v>0.37239738251041049</v>
      </c>
      <c r="M77" s="189">
        <f>+'Nike Balance Sheet'!AD27/'Nike Balance Sheet'!AD$31</f>
        <v>0.30627640313820159</v>
      </c>
      <c r="N77" s="189">
        <f>+'Nike Balance Sheet'!AE27/'Nike Balance Sheet'!AE$31</f>
        <v>0.29058009579563598</v>
      </c>
      <c r="O77" s="189">
        <f>+'Nike Balance Sheet'!AF27/'Nike Balance Sheet'!AF$31</f>
        <v>0.26522004584567727</v>
      </c>
      <c r="Q77" s="23" t="s">
        <v>662</v>
      </c>
      <c r="R77" s="68">
        <f>'Nike Balance Sheet'!T27/'Nike Balance Sheet'!$Y27</f>
        <v>2.3354999044159812</v>
      </c>
      <c r="S77" s="68">
        <f>'Nike Balance Sheet'!U27/'Nike Balance Sheet'!$Y27</f>
        <v>1.9034601414643471</v>
      </c>
      <c r="T77" s="68">
        <f>'Nike Balance Sheet'!V27/'Nike Balance Sheet'!$Y27</f>
        <v>1.6870579239151213</v>
      </c>
      <c r="U77" s="68">
        <f>'Nike Balance Sheet'!W27/'Nike Balance Sheet'!$Y27</f>
        <v>1.511756834257312</v>
      </c>
      <c r="V77" s="68">
        <f>'Nike Balance Sheet'!X27/'Nike Balance Sheet'!$Y27</f>
        <v>1.4079525903268972</v>
      </c>
      <c r="W77" s="68">
        <f>'Nike Balance Sheet'!Y27/'Nike Balance Sheet'!$Y27</f>
        <v>1</v>
      </c>
    </row>
    <row r="78" spans="2:23">
      <c r="B78" s="23" t="s">
        <v>183</v>
      </c>
      <c r="C78" s="189">
        <f>+'Nike Balance Sheet'!T28/'Nike Balance Sheet'!T$31</f>
        <v>0.41701019195265676</v>
      </c>
      <c r="D78" s="189">
        <f>+'Nike Balance Sheet'!U28/'Nike Balance Sheet'!U$31</f>
        <v>0.40565721563107449</v>
      </c>
      <c r="E78" s="189">
        <f>+'Nike Balance Sheet'!V28/'Nike Balance Sheet'!V$31</f>
        <v>0.44300128416804258</v>
      </c>
      <c r="F78" s="189">
        <f>+'Nike Balance Sheet'!W28/'Nike Balance Sheet'!W$31</f>
        <v>0.40531004674958099</v>
      </c>
      <c r="G78" s="189">
        <f>+'Nike Balance Sheet'!X28/'Nike Balance Sheet'!X$31</f>
        <v>0.42214832361516036</v>
      </c>
      <c r="H78" s="189">
        <f>+'Nike Balance Sheet'!Y28/'Nike Balance Sheet'!Y$31</f>
        <v>0.52294730231827935</v>
      </c>
      <c r="I78" s="189">
        <f>+'Nike Balance Sheet'!Z28/'Nike Balance Sheet'!Z$31</f>
        <v>0.5248971193415638</v>
      </c>
      <c r="J78" s="189">
        <f>+'Nike Balance Sheet'!AA28/'Nike Balance Sheet'!AA$31</f>
        <v>0.47314091000200442</v>
      </c>
      <c r="K78" s="189">
        <f>+'Nike Balance Sheet'!AB28/'Nike Balance Sheet'!AB$31</f>
        <v>0.51138886604720013</v>
      </c>
      <c r="L78" s="189">
        <f>+'Nike Balance Sheet'!AC28/'Nike Balance Sheet'!AC$31</f>
        <v>0.54848304580606788</v>
      </c>
      <c r="M78" s="189">
        <f>+'Nike Balance Sheet'!AD28/'Nike Balance Sheet'!AD$31</f>
        <v>0.61204988935827809</v>
      </c>
      <c r="N78" s="189">
        <f>+'Nike Balance Sheet'!AE28/'Nike Balance Sheet'!AE$31</f>
        <v>0.60723789249600857</v>
      </c>
      <c r="O78" s="189">
        <f>+'Nike Balance Sheet'!AF28/'Nike Balance Sheet'!AF$31</f>
        <v>0.58544881114432612</v>
      </c>
      <c r="Q78" s="23" t="s">
        <v>183</v>
      </c>
      <c r="R78" s="68">
        <f>'Nike Balance Sheet'!T28/'Nike Balance Sheet'!$Y28</f>
        <v>1.6500550385269688</v>
      </c>
      <c r="S78" s="68">
        <f>'Nike Balance Sheet'!U28/'Nike Balance Sheet'!$Y28</f>
        <v>1.211247873511458</v>
      </c>
      <c r="T78" s="68">
        <f>'Nike Balance Sheet'!V28/'Nike Balance Sheet'!$Y28</f>
        <v>1.2082457720404283</v>
      </c>
      <c r="U78" s="68">
        <f>'Nike Balance Sheet'!W28/'Nike Balance Sheet'!$Y28</f>
        <v>0.91964375062543779</v>
      </c>
      <c r="V78" s="68">
        <f>'Nike Balance Sheet'!X28/'Nike Balance Sheet'!$Y28</f>
        <v>0.92734914440108063</v>
      </c>
      <c r="W78" s="68">
        <f>'Nike Balance Sheet'!Y28/'Nike Balance Sheet'!$Y28</f>
        <v>1</v>
      </c>
    </row>
    <row r="79" spans="2:23">
      <c r="B79" s="23" t="s">
        <v>184</v>
      </c>
      <c r="C79" s="189">
        <f>+'Nike Balance Sheet'!T29/'Nike Balance Sheet'!T$31</f>
        <v>2.2255380491135783E-2</v>
      </c>
      <c r="D79" s="189">
        <f>+'Nike Balance Sheet'!U29/'Nike Balance Sheet'!U$31</f>
        <v>3.6530598565587505E-2</v>
      </c>
      <c r="E79" s="189">
        <f>+'Nike Balance Sheet'!V29/'Nike Balance Sheet'!V$31</f>
        <v>3.1370390753990091E-2</v>
      </c>
      <c r="F79" s="189">
        <f>+'Nike Balance Sheet'!W29/'Nike Balance Sheet'!W$31</f>
        <v>4.1898209402840253E-2</v>
      </c>
      <c r="G79" s="189">
        <f>+'Nike Balance Sheet'!X29/'Nike Balance Sheet'!X$31</f>
        <v>5.3844752186588928E-2</v>
      </c>
      <c r="H79" s="189">
        <f>+'Nike Balance Sheet'!Y29/'Nike Balance Sheet'!Y$31</f>
        <v>6.8344759014077133E-2</v>
      </c>
      <c r="I79" s="189">
        <f>+'Nike Balance Sheet'!Z29/'Nike Balance Sheet'!Z$31</f>
        <v>5.6927297668038418E-2</v>
      </c>
      <c r="J79" s="189">
        <f>+'Nike Balance Sheet'!AA29/'Nike Balance Sheet'!AA$31</f>
        <v>2.1948286229705349E-2</v>
      </c>
      <c r="K79" s="189">
        <f>+'Nike Balance Sheet'!AB29/'Nike Balance Sheet'!AB$31</f>
        <v>0</v>
      </c>
      <c r="L79" s="189">
        <f>+'Nike Balance Sheet'!AC29/'Nike Balance Sheet'!AC$31</f>
        <v>0</v>
      </c>
      <c r="M79" s="189">
        <f>+'Nike Balance Sheet'!AD29/'Nike Balance Sheet'!AD$31</f>
        <v>2.9068597867632266E-2</v>
      </c>
      <c r="N79" s="189">
        <f>+'Nike Balance Sheet'!AE29/'Nike Balance Sheet'!AE$31</f>
        <v>5.7370941990420435E-2</v>
      </c>
      <c r="O79" s="189">
        <f>+'Nike Balance Sheet'!AF29/'Nike Balance Sheet'!AF$31</f>
        <v>9.6581803823885329E-2</v>
      </c>
      <c r="Q79" s="23" t="s">
        <v>184</v>
      </c>
      <c r="R79" s="68">
        <f>'Nike Balance Sheet'!T29/'Nike Balance Sheet'!$Y29</f>
        <v>0.6738131699846861</v>
      </c>
      <c r="S79" s="68">
        <f>'Nike Balance Sheet'!U29/'Nike Balance Sheet'!$Y29</f>
        <v>0.83460949464012257</v>
      </c>
      <c r="T79" s="68">
        <f>'Nike Balance Sheet'!V29/'Nike Balance Sheet'!$Y29</f>
        <v>0.65467075038284839</v>
      </c>
      <c r="U79" s="68">
        <f>'Nike Balance Sheet'!W29/'Nike Balance Sheet'!$Y29</f>
        <v>0.72741194486983163</v>
      </c>
      <c r="V79" s="68">
        <f>'Nike Balance Sheet'!X29/'Nike Balance Sheet'!$Y29</f>
        <v>0.90505359877488523</v>
      </c>
      <c r="W79" s="68">
        <f>'Nike Balance Sheet'!Y29/'Nike Balance Sheet'!$Y29</f>
        <v>1</v>
      </c>
    </row>
    <row r="80" spans="2:23">
      <c r="B80" s="23" t="s">
        <v>179</v>
      </c>
      <c r="C80" s="80">
        <f>+'Nike Balance Sheet'!T30/'Nike Balance Sheet'!T$31</f>
        <v>0.25176399180597353</v>
      </c>
      <c r="D80" s="80">
        <f>+'Nike Balance Sheet'!U30/'Nike Balance Sheet'!U$31</f>
        <v>0.22411019505328775</v>
      </c>
      <c r="E80" s="80">
        <f>+'Nike Balance Sheet'!V30/'Nike Balance Sheet'!V$31</f>
        <v>0.20183452577508715</v>
      </c>
      <c r="F80" s="80">
        <f>+'Nike Balance Sheet'!W30/'Nike Balance Sheet'!W$31</f>
        <v>0.20402222810267268</v>
      </c>
      <c r="G80" s="80">
        <f>+'Nike Balance Sheet'!X30/'Nike Balance Sheet'!X$31</f>
        <v>0.18850218658892132</v>
      </c>
      <c r="H80" s="80">
        <f>+'Nike Balance Sheet'!Y30/'Nike Balance Sheet'!Y$31</f>
        <v>0.13496258307603745</v>
      </c>
      <c r="I80" s="80">
        <f>+'Nike Balance Sheet'!Z30/'Nike Balance Sheet'!Z$31</f>
        <v>9.7119341563786016E-2</v>
      </c>
      <c r="J80" s="80">
        <f>+'Nike Balance Sheet'!AA30/'Nike Balance Sheet'!AA$31</f>
        <v>0.10242533573862497</v>
      </c>
      <c r="K80" s="80">
        <f>+'Nike Balance Sheet'!AB30/'Nike Balance Sheet'!AB$31</f>
        <v>9.0699777978784646E-2</v>
      </c>
      <c r="L80" s="80">
        <f>+'Nike Balance Sheet'!AC30/'Nike Balance Sheet'!AC$31</f>
        <v>7.9119571683521711E-2</v>
      </c>
      <c r="M80" s="80">
        <f>+'Nike Balance Sheet'!AD30/'Nike Balance Sheet'!AD$31</f>
        <v>5.2605109635888152E-2</v>
      </c>
      <c r="N80" s="80">
        <f>+'Nike Balance Sheet'!AE30/'Nike Balance Sheet'!AE$31</f>
        <v>4.4811069717935074E-2</v>
      </c>
      <c r="O80" s="80">
        <f>+'Nike Balance Sheet'!AF30/'Nike Balance Sheet'!AF$31</f>
        <v>5.2749339186111271E-2</v>
      </c>
      <c r="Q80" s="23" t="s">
        <v>179</v>
      </c>
      <c r="R80" s="80">
        <f>'Nike Balance Sheet'!T30/'Nike Balance Sheet'!$Y30</f>
        <v>3.8600232648313302</v>
      </c>
      <c r="S80" s="80">
        <f>'Nike Balance Sheet'!U30/'Nike Balance Sheet'!$Y30</f>
        <v>2.5928654517254754</v>
      </c>
      <c r="T80" s="80">
        <f>'Nike Balance Sheet'!V30/'Nike Balance Sheet'!$Y30</f>
        <v>2.1329972857696786</v>
      </c>
      <c r="U80" s="80">
        <f>'Nike Balance Sheet'!W30/'Nike Balance Sheet'!$Y30</f>
        <v>1.7937184955409076</v>
      </c>
      <c r="V80" s="80">
        <f>'Nike Balance Sheet'!X30/'Nike Balance Sheet'!$Y30</f>
        <v>1.6044978673904615</v>
      </c>
      <c r="W80" s="80">
        <f>'Nike Balance Sheet'!Y30/'Nike Balance Sheet'!$Y30</f>
        <v>1</v>
      </c>
    </row>
    <row r="81" spans="2:23">
      <c r="B81" t="s">
        <v>189</v>
      </c>
      <c r="C81" s="189">
        <f>+'Nike Balance Sheet'!T31/'Nike Balance Sheet'!T$31</f>
        <v>1</v>
      </c>
      <c r="D81" s="189">
        <f>+'Nike Balance Sheet'!U31/'Nike Balance Sheet'!U$31</f>
        <v>1</v>
      </c>
      <c r="E81" s="189">
        <f>+'Nike Balance Sheet'!V31/'Nike Balance Sheet'!V$31</f>
        <v>1</v>
      </c>
      <c r="F81" s="189">
        <f>+'Nike Balance Sheet'!W31/'Nike Balance Sheet'!W$31</f>
        <v>1</v>
      </c>
      <c r="G81" s="189">
        <f>+'Nike Balance Sheet'!X31/'Nike Balance Sheet'!X$31</f>
        <v>1</v>
      </c>
      <c r="H81" s="189">
        <f>+'Nike Balance Sheet'!Y31/'Nike Balance Sheet'!Y$31</f>
        <v>1</v>
      </c>
      <c r="I81" s="189">
        <f>+'Nike Balance Sheet'!Z31/'Nike Balance Sheet'!Z$31</f>
        <v>1</v>
      </c>
      <c r="J81" s="189">
        <f>+'Nike Balance Sheet'!AA31/'Nike Balance Sheet'!AA$31</f>
        <v>1</v>
      </c>
      <c r="K81" s="189">
        <f>+'Nike Balance Sheet'!AB31/'Nike Balance Sheet'!AB$31</f>
        <v>1</v>
      </c>
      <c r="L81" s="189">
        <f>+'Nike Balance Sheet'!AC31/'Nike Balance Sheet'!AC$31</f>
        <v>1</v>
      </c>
      <c r="M81" s="189">
        <f>+'Nike Balance Sheet'!AD31/'Nike Balance Sheet'!AD$31</f>
        <v>1</v>
      </c>
      <c r="N81" s="189">
        <f>+'Nike Balance Sheet'!AE31/'Nike Balance Sheet'!AE$31</f>
        <v>1</v>
      </c>
      <c r="O81" s="189">
        <f>+'Nike Balance Sheet'!AF31/'Nike Balance Sheet'!AF$31</f>
        <v>1</v>
      </c>
      <c r="Q81" t="s">
        <v>189</v>
      </c>
      <c r="R81" s="148">
        <f>'Nike Balance Sheet'!T31/'Nike Balance Sheet'!$Y31</f>
        <v>2.0692343921712282</v>
      </c>
      <c r="S81" s="148">
        <f>'Nike Balance Sheet'!U31/'Nike Balance Sheet'!$Y31</f>
        <v>1.5614631848867027</v>
      </c>
      <c r="T81" s="148">
        <f>'Nike Balance Sheet'!V31/'Nike Balance Sheet'!$Y31</f>
        <v>1.4262912763619235</v>
      </c>
      <c r="U81" s="148">
        <f>'Nike Balance Sheet'!W31/'Nike Balance Sheet'!$Y31</f>
        <v>1.1865613061908002</v>
      </c>
      <c r="V81" s="148">
        <f>'Nike Balance Sheet'!X31/'Nike Balance Sheet'!$Y31</f>
        <v>1.1487780626929718</v>
      </c>
      <c r="W81" s="148">
        <f>'Nike Balance Sheet'!Y31/'Nike Balance Sheet'!$Y31</f>
        <v>1</v>
      </c>
    </row>
    <row r="82" spans="2:23">
      <c r="B82" s="16"/>
      <c r="C82" s="189"/>
      <c r="D82" s="189"/>
      <c r="E82" s="189"/>
      <c r="F82" s="189"/>
      <c r="G82" s="189"/>
      <c r="H82" s="189"/>
      <c r="I82" s="189"/>
      <c r="J82" s="189"/>
      <c r="K82" s="189"/>
      <c r="L82" s="189"/>
      <c r="M82" s="189"/>
      <c r="N82" s="189"/>
      <c r="O82" s="189"/>
      <c r="Q82" s="16" t="s">
        <v>191</v>
      </c>
      <c r="R82" s="148">
        <f>'Nike Balance Sheet'!T32/'Nike Balance Sheet'!$Y32</f>
        <v>1.3407050575193089</v>
      </c>
      <c r="S82" s="148">
        <f>'Nike Balance Sheet'!U32/'Nike Balance Sheet'!$Y32</f>
        <v>1.1406014846597854</v>
      </c>
      <c r="T82" s="148">
        <f>'Nike Balance Sheet'!V32/'Nike Balance Sheet'!$Y32</f>
        <v>1.1352311683873002</v>
      </c>
      <c r="U82" s="148">
        <f>'Nike Balance Sheet'!W32/'Nike Balance Sheet'!$Y32</f>
        <v>1.1015899646328127</v>
      </c>
      <c r="V82" s="148">
        <f>'Nike Balance Sheet'!X32/'Nike Balance Sheet'!$Y32</f>
        <v>1.0510775849626526</v>
      </c>
      <c r="W82" s="148">
        <f>'Nike Balance Sheet'!Y32/'Nike Balance Sheet'!$Y32</f>
        <v>1</v>
      </c>
    </row>
    <row r="83" spans="2:23">
      <c r="B83" s="3"/>
      <c r="C83" s="189"/>
      <c r="D83" s="189"/>
      <c r="E83" s="189"/>
      <c r="F83" s="189"/>
      <c r="G83" s="189"/>
      <c r="H83" s="189"/>
      <c r="I83" s="189"/>
      <c r="J83" s="189"/>
      <c r="K83" s="189"/>
      <c r="L83" s="189"/>
      <c r="M83" s="189"/>
      <c r="N83" s="189"/>
      <c r="O83" s="189"/>
      <c r="Q83" s="3"/>
      <c r="R83" s="68"/>
      <c r="S83" s="68"/>
      <c r="T83" s="68"/>
      <c r="U83" s="68"/>
      <c r="V83" s="68"/>
      <c r="W83" s="68"/>
    </row>
    <row r="84" spans="2:23">
      <c r="B84" s="3" t="s">
        <v>197</v>
      </c>
      <c r="C84" s="189"/>
      <c r="D84" s="189"/>
      <c r="E84" s="189"/>
      <c r="F84" s="189"/>
      <c r="G84" s="189"/>
      <c r="H84" s="189"/>
      <c r="I84" s="189"/>
      <c r="J84" s="189"/>
      <c r="K84" s="189"/>
      <c r="L84" s="189"/>
      <c r="M84" s="189"/>
      <c r="N84" s="189"/>
      <c r="O84" s="189"/>
      <c r="Q84" s="3" t="s">
        <v>197</v>
      </c>
      <c r="R84" s="68"/>
      <c r="S84" s="68"/>
      <c r="T84" s="68"/>
      <c r="U84" s="68"/>
      <c r="V84" s="68"/>
      <c r="W84" s="68"/>
    </row>
    <row r="85" spans="2:23">
      <c r="B85" s="39" t="s">
        <v>163</v>
      </c>
      <c r="C85" s="68"/>
      <c r="D85" s="68"/>
      <c r="E85" s="68"/>
      <c r="F85" s="68"/>
      <c r="G85" s="68"/>
      <c r="H85" s="68"/>
      <c r="I85" s="68"/>
      <c r="J85" s="68"/>
      <c r="K85" s="68"/>
      <c r="L85" s="68"/>
      <c r="M85" s="68"/>
      <c r="N85" s="68"/>
      <c r="O85" s="68"/>
      <c r="Q85" s="39" t="s">
        <v>163</v>
      </c>
      <c r="R85" s="68"/>
      <c r="S85" s="68"/>
      <c r="T85" s="68"/>
      <c r="U85" s="68"/>
      <c r="V85" s="68"/>
      <c r="W85" s="68"/>
    </row>
    <row r="86" spans="2:23">
      <c r="B86" s="23" t="s">
        <v>188</v>
      </c>
      <c r="C86" s="68">
        <f>+'Nike Balance Sheet'!T36/'Nike Balance Sheet'!T$38</f>
        <v>0.76063795092369824</v>
      </c>
      <c r="D86" s="68">
        <f>+'Nike Balance Sheet'!U36/'Nike Balance Sheet'!U$38</f>
        <v>0.64189246974320435</v>
      </c>
      <c r="E86" s="68">
        <f>+'Nike Balance Sheet'!V36/'Nike Balance Sheet'!V$38</f>
        <v>0.39467526962598715</v>
      </c>
      <c r="F86" s="68">
        <f>+'Nike Balance Sheet'!W36/'Nike Balance Sheet'!W$38</f>
        <v>0.75136695498266948</v>
      </c>
      <c r="G86" s="68">
        <f>+'Nike Balance Sheet'!X36/'Nike Balance Sheet'!X$38</f>
        <v>0.65671249971628254</v>
      </c>
      <c r="H86" s="68">
        <f>+'Nike Balance Sheet'!Y36/'Nike Balance Sheet'!Y$38</f>
        <v>1</v>
      </c>
      <c r="I86" s="68">
        <f>+'Nike Balance Sheet'!Z36/'Nike Balance Sheet'!Z$38</f>
        <v>1</v>
      </c>
      <c r="J86" s="68">
        <f>+'Nike Balance Sheet'!AA36/'Nike Balance Sheet'!AA$38</f>
        <v>1</v>
      </c>
      <c r="K86" s="68">
        <f>+'Nike Balance Sheet'!AB36/'Nike Balance Sheet'!AB$38</f>
        <v>1</v>
      </c>
      <c r="L86" s="68">
        <f>+'Nike Balance Sheet'!AC36/'Nike Balance Sheet'!AC$38</f>
        <v>1</v>
      </c>
      <c r="M86" s="68">
        <f>+'Nike Balance Sheet'!AD36/'Nike Balance Sheet'!AD$38</f>
        <v>1</v>
      </c>
      <c r="N86" s="68">
        <f>+'Nike Balance Sheet'!AE36/'Nike Balance Sheet'!AE$38</f>
        <v>1</v>
      </c>
      <c r="O86" s="68">
        <f>+'Nike Balance Sheet'!AF36/'Nike Balance Sheet'!AF$38</f>
        <v>1</v>
      </c>
      <c r="Q86" s="23" t="s">
        <v>188</v>
      </c>
      <c r="R86" s="68">
        <f>'Nike Balance Sheet'!T36/'Nike Balance Sheet'!$Y36</f>
        <v>3.5154388775483838</v>
      </c>
      <c r="S86" s="68">
        <f>'Nike Balance Sheet'!U36/'Nike Balance Sheet'!$Y36</f>
        <v>3.0577513070291036</v>
      </c>
      <c r="T86" s="68">
        <f>'Nike Balance Sheet'!V36/'Nike Balance Sheet'!$Y36</f>
        <v>1.514905730256755</v>
      </c>
      <c r="U86" s="68">
        <f>'Nike Balance Sheet'!W36/'Nike Balance Sheet'!$Y36</f>
        <v>2.272812072039482</v>
      </c>
      <c r="V86" s="68">
        <f>'Nike Balance Sheet'!X36/'Nike Balance Sheet'!$Y36</f>
        <v>1.3207832700274758</v>
      </c>
      <c r="W86" s="68">
        <f>'Nike Balance Sheet'!Y36/'Nike Balance Sheet'!$Y36</f>
        <v>1</v>
      </c>
    </row>
    <row r="87" spans="2:23">
      <c r="B87" s="234" t="s">
        <v>609</v>
      </c>
      <c r="C87" s="80">
        <f>+'Nike Balance Sheet'!T37/'Nike Balance Sheet'!T$38</f>
        <v>0.23936204907630179</v>
      </c>
      <c r="D87" s="80">
        <f>+'Nike Balance Sheet'!U37/'Nike Balance Sheet'!U$38</f>
        <v>0.35810753025679559</v>
      </c>
      <c r="E87" s="80">
        <f>+'Nike Balance Sheet'!V37/'Nike Balance Sheet'!V$38</f>
        <v>0.6053247303740128</v>
      </c>
      <c r="F87" s="80">
        <f>+'Nike Balance Sheet'!W37/'Nike Balance Sheet'!W$38</f>
        <v>0.24863304501733061</v>
      </c>
      <c r="G87" s="80">
        <f>+'Nike Balance Sheet'!X37/'Nike Balance Sheet'!X$38</f>
        <v>0.34328750028371752</v>
      </c>
      <c r="H87" s="80">
        <f>+'Nike Balance Sheet'!Y37/'Nike Balance Sheet'!Y$38</f>
        <v>0</v>
      </c>
      <c r="I87" s="80">
        <f>+'Nike Balance Sheet'!Z37/'Nike Balance Sheet'!Z$38</f>
        <v>0</v>
      </c>
      <c r="J87" s="80">
        <f>+'Nike Balance Sheet'!AA37/'Nike Balance Sheet'!AA$38</f>
        <v>0</v>
      </c>
      <c r="K87" s="80">
        <f>+'Nike Balance Sheet'!AB37/'Nike Balance Sheet'!AB$38</f>
        <v>0</v>
      </c>
      <c r="L87" s="80">
        <f>+'Nike Balance Sheet'!AC37/'Nike Balance Sheet'!AC$38</f>
        <v>0</v>
      </c>
      <c r="M87" s="80">
        <f>+'Nike Balance Sheet'!AD37/'Nike Balance Sheet'!AD$38</f>
        <v>0</v>
      </c>
      <c r="N87" s="80">
        <f>+'Nike Balance Sheet'!AE37/'Nike Balance Sheet'!AE$38</f>
        <v>0</v>
      </c>
      <c r="O87" s="80">
        <f>+'Nike Balance Sheet'!AF37/'Nike Balance Sheet'!AF$38</f>
        <v>0</v>
      </c>
      <c r="Q87" s="234" t="s">
        <v>609</v>
      </c>
      <c r="R87" s="271" t="s">
        <v>516</v>
      </c>
      <c r="S87" s="271" t="s">
        <v>516</v>
      </c>
      <c r="T87" s="271" t="s">
        <v>516</v>
      </c>
      <c r="U87" s="271" t="s">
        <v>516</v>
      </c>
      <c r="V87" s="271" t="s">
        <v>516</v>
      </c>
      <c r="W87" s="271" t="s">
        <v>516</v>
      </c>
    </row>
    <row r="88" spans="2:23">
      <c r="B88" s="39" t="s">
        <v>190</v>
      </c>
      <c r="C88" s="68">
        <f>+'Nike Balance Sheet'!T38/'Nike Balance Sheet'!T$38</f>
        <v>1</v>
      </c>
      <c r="D88" s="68">
        <f>+'Nike Balance Sheet'!U38/'Nike Balance Sheet'!U$38</f>
        <v>1</v>
      </c>
      <c r="E88" s="68">
        <f>+'Nike Balance Sheet'!V38/'Nike Balance Sheet'!V$38</f>
        <v>1</v>
      </c>
      <c r="F88" s="68">
        <f>+'Nike Balance Sheet'!W38/'Nike Balance Sheet'!W$38</f>
        <v>1</v>
      </c>
      <c r="G88" s="68">
        <f>+'Nike Balance Sheet'!X38/'Nike Balance Sheet'!X$38</f>
        <v>1</v>
      </c>
      <c r="H88" s="68">
        <f>+'Nike Balance Sheet'!Y38/'Nike Balance Sheet'!Y$38</f>
        <v>1</v>
      </c>
      <c r="I88" s="68">
        <f>+'Nike Balance Sheet'!Z38/'Nike Balance Sheet'!Z$38</f>
        <v>1</v>
      </c>
      <c r="J88" s="68">
        <f>+'Nike Balance Sheet'!AA38/'Nike Balance Sheet'!AA$38</f>
        <v>1</v>
      </c>
      <c r="K88" s="68">
        <f>+'Nike Balance Sheet'!AB38/'Nike Balance Sheet'!AB$38</f>
        <v>1</v>
      </c>
      <c r="L88" s="68">
        <f>+'Nike Balance Sheet'!AC38/'Nike Balance Sheet'!AC$38</f>
        <v>1</v>
      </c>
      <c r="M88" s="68">
        <f>+'Nike Balance Sheet'!AD38/'Nike Balance Sheet'!AD$38</f>
        <v>1</v>
      </c>
      <c r="N88" s="68">
        <f>+'Nike Balance Sheet'!AE38/'Nike Balance Sheet'!AE$38</f>
        <v>1</v>
      </c>
      <c r="O88" s="68">
        <f>+'Nike Balance Sheet'!AF38/'Nike Balance Sheet'!AF$38</f>
        <v>1</v>
      </c>
      <c r="Q88" s="39" t="s">
        <v>190</v>
      </c>
      <c r="R88" s="68">
        <f>'Nike Balance Sheet'!T38/'Nike Balance Sheet'!$Y38</f>
        <v>4.6216979750738574</v>
      </c>
      <c r="S88" s="68">
        <f>'Nike Balance Sheet'!U38/'Nike Balance Sheet'!$Y38</f>
        <v>4.7636503794044947</v>
      </c>
      <c r="T88" s="68">
        <f>'Nike Balance Sheet'!V38/'Nike Balance Sheet'!$Y38</f>
        <v>3.8383599045674961</v>
      </c>
      <c r="U88" s="68">
        <f>'Nike Balance Sheet'!W38/'Nike Balance Sheet'!$Y38</f>
        <v>3.0249028879529383</v>
      </c>
      <c r="V88" s="68">
        <f>'Nike Balance Sheet'!X38/'Nike Balance Sheet'!$Y38</f>
        <v>2.0112047061660765</v>
      </c>
      <c r="W88" s="68">
        <f>'Nike Balance Sheet'!Y38/'Nike Balance Sheet'!$Y38</f>
        <v>1</v>
      </c>
    </row>
    <row r="89" spans="2:23">
      <c r="B89" s="39" t="s">
        <v>164</v>
      </c>
      <c r="Q89" s="39" t="s">
        <v>164</v>
      </c>
      <c r="R89" s="68"/>
      <c r="S89" s="68"/>
      <c r="T89" s="68"/>
      <c r="U89" s="68"/>
      <c r="V89" s="68"/>
      <c r="W89" s="68"/>
    </row>
    <row r="90" spans="2:23">
      <c r="B90" s="23" t="s">
        <v>185</v>
      </c>
      <c r="C90" s="68">
        <f>+'Nike Balance Sheet'!T40/'Nike Balance Sheet'!T$45</f>
        <v>9.1132648633010273E-3</v>
      </c>
      <c r="D90" s="68">
        <f>+'Nike Balance Sheet'!U40/'Nike Balance Sheet'!U$45</f>
        <v>5.2038901211397377E-2</v>
      </c>
      <c r="E90" s="68">
        <f>+'Nike Balance Sheet'!V40/'Nike Balance Sheet'!V$45</f>
        <v>0.32755966127790614</v>
      </c>
      <c r="F90" s="68">
        <f>+'Nike Balance Sheet'!W40/'Nike Balance Sheet'!W$45</f>
        <v>7.5915268764540234E-3</v>
      </c>
      <c r="G90" s="68">
        <f>+'Nike Balance Sheet'!X40/'Nike Balance Sheet'!X$45</f>
        <v>7.506824385805278E-3</v>
      </c>
      <c r="H90" s="68">
        <f>+'Nike Balance Sheet'!Y40/'Nike Balance Sheet'!Y$45</f>
        <v>0.23306140947201448</v>
      </c>
      <c r="I90" s="68">
        <f>+'Nike Balance Sheet'!Z40/'Nike Balance Sheet'!Z$45</f>
        <v>4.8381452318460201E-2</v>
      </c>
      <c r="J90" s="68">
        <f>+'Nike Balance Sheet'!AA40/'Nike Balance Sheet'!AA$45</f>
        <v>4.0684095532283584E-3</v>
      </c>
      <c r="K90" s="68">
        <f>+'Nike Balance Sheet'!AB40/'Nike Balance Sheet'!AB$45</f>
        <v>3.3293460925039875E-2</v>
      </c>
      <c r="L90" s="68">
        <f>+'Nike Balance Sheet'!AC40/'Nike Balance Sheet'!AC$45</f>
        <v>1.1055831951354339E-3</v>
      </c>
      <c r="M90" s="68">
        <f>+'Nike Balance Sheet'!AD40/'Nike Balance Sheet'!AD$45</f>
        <v>1.4015416958654519E-3</v>
      </c>
      <c r="N90" s="68">
        <f>+'Nike Balance Sheet'!AE40/'Nike Balance Sheet'!AE$45</f>
        <v>1.7380312845631223E-3</v>
      </c>
      <c r="O90" s="68">
        <f>+'Nike Balance Sheet'!AF40/'Nike Balance Sheet'!AF$45</f>
        <v>1.0435232523736904E-2</v>
      </c>
      <c r="Q90" s="23" t="s">
        <v>185</v>
      </c>
      <c r="R90" s="68">
        <f>'Nike Balance Sheet'!T40/'Nike Balance Sheet'!$Y40</f>
        <v>3.0627126883811376E-2</v>
      </c>
      <c r="S90" s="68">
        <f>'Nike Balance Sheet'!U40/'Nike Balance Sheet'!$Y40</f>
        <v>0.1482741857073408</v>
      </c>
      <c r="T90" s="68">
        <f>'Nike Balance Sheet'!V40/'Nike Balance Sheet'!$Y40</f>
        <v>1.2411278561011183</v>
      </c>
      <c r="U90" s="68">
        <f>'Nike Balance Sheet'!W40/'Nike Balance Sheet'!$Y40</f>
        <v>3.0140982012639768E-2</v>
      </c>
      <c r="V90" s="68">
        <f>'Nike Balance Sheet'!X40/'Nike Balance Sheet'!$Y40</f>
        <v>3.2085561497326207E-2</v>
      </c>
      <c r="W90" s="68">
        <f>'Nike Balance Sheet'!Y40/'Nike Balance Sheet'!$Y40</f>
        <v>1</v>
      </c>
    </row>
    <row r="91" spans="2:23">
      <c r="B91" s="23" t="s">
        <v>186</v>
      </c>
      <c r="C91" s="68">
        <f>+'Nike Balance Sheet'!T41/'Nike Balance Sheet'!T$45</f>
        <v>0.25705193114422104</v>
      </c>
      <c r="D91" s="68">
        <f>+'Nike Balance Sheet'!U41/'Nike Balance Sheet'!U$45</f>
        <v>0.17198430301996248</v>
      </c>
      <c r="E91" s="68">
        <f>+'Nike Balance Sheet'!V41/'Nike Balance Sheet'!V$45</f>
        <v>5.56838593790095E-2</v>
      </c>
      <c r="F91" s="68">
        <f>+'Nike Balance Sheet'!W41/'Nike Balance Sheet'!W$45</f>
        <v>8.5465899351046898E-2</v>
      </c>
      <c r="G91" s="68">
        <f>+'Nike Balance Sheet'!X41/'Nike Balance Sheet'!X$45</f>
        <v>0.16606005459508646</v>
      </c>
      <c r="H91" s="68">
        <f>+'Nike Balance Sheet'!Y41/'Nike Balance Sheet'!Y$45</f>
        <v>8.5429413097665996E-2</v>
      </c>
      <c r="I91" s="68">
        <f>+'Nike Balance Sheet'!Z41/'Nike Balance Sheet'!Z$45</f>
        <v>0.37200349956255474</v>
      </c>
      <c r="J91" s="68">
        <f>+'Nike Balance Sheet'!AA41/'Nike Balance Sheet'!AA$45</f>
        <v>0.64439086868078055</v>
      </c>
      <c r="K91" s="68">
        <f>+'Nike Balance Sheet'!AB41/'Nike Balance Sheet'!AB$45</f>
        <v>0.61416799574694314</v>
      </c>
      <c r="L91" s="68">
        <f>+'Nike Balance Sheet'!AC41/'Nike Balance Sheet'!AC$45</f>
        <v>0.46334991708126039</v>
      </c>
      <c r="M91" s="68">
        <f>+'Nike Balance Sheet'!AD41/'Nike Balance Sheet'!AD$45</f>
        <v>0.42063770147161872</v>
      </c>
      <c r="N91" s="68">
        <f>+'Nike Balance Sheet'!AE41/'Nike Balance Sheet'!AE$45</f>
        <v>0.43703586664559968</v>
      </c>
      <c r="O91" s="68">
        <f>+'Nike Balance Sheet'!AF41/'Nike Balance Sheet'!AF$45</f>
        <v>0.63612468537795397</v>
      </c>
      <c r="Q91" s="23" t="s">
        <v>186</v>
      </c>
      <c r="R91" s="68">
        <f>'Nike Balance Sheet'!T41/'Nike Balance Sheet'!$Y41</f>
        <v>2.3567639257294428</v>
      </c>
      <c r="S91" s="68">
        <f>'Nike Balance Sheet'!U41/'Nike Balance Sheet'!$Y41</f>
        <v>1.3368700265251987</v>
      </c>
      <c r="T91" s="68">
        <f>'Nike Balance Sheet'!V41/'Nike Balance Sheet'!$Y41</f>
        <v>0.5755968169761273</v>
      </c>
      <c r="U91" s="68">
        <f>'Nike Balance Sheet'!W41/'Nike Balance Sheet'!$Y41</f>
        <v>0.92572944297082216</v>
      </c>
      <c r="V91" s="68">
        <f>'Nike Balance Sheet'!X41/'Nike Balance Sheet'!$Y41</f>
        <v>1.9363395225464191</v>
      </c>
      <c r="W91" s="68">
        <f>'Nike Balance Sheet'!Y41/'Nike Balance Sheet'!$Y41</f>
        <v>1</v>
      </c>
    </row>
    <row r="92" spans="2:23">
      <c r="B92" s="23" t="s">
        <v>663</v>
      </c>
      <c r="C92" s="68">
        <f>+'Nike Balance Sheet'!T42/'Nike Balance Sheet'!T$45</f>
        <v>9.5327643570085357E-2</v>
      </c>
      <c r="D92" s="68">
        <f>+'Nike Balance Sheet'!U42/'Nike Balance Sheet'!U$45</f>
        <v>7.6096229312404035E-2</v>
      </c>
      <c r="E92" s="68">
        <f>+'Nike Balance Sheet'!V42/'Nike Balance Sheet'!V$45</f>
        <v>8.9427764947395447E-2</v>
      </c>
      <c r="F92" s="68">
        <f>+'Nike Balance Sheet'!W42/'Nike Balance Sheet'!W$45</f>
        <v>6.5017754377372353E-2</v>
      </c>
      <c r="G92" s="68">
        <f>+'Nike Balance Sheet'!X42/'Nike Balance Sheet'!X$45</f>
        <v>4.9931756141947226E-2</v>
      </c>
      <c r="H92" s="68">
        <f>+'Nike Balance Sheet'!Y42/'Nike Balance Sheet'!Y$45</f>
        <v>5.6197598005891684E-2</v>
      </c>
      <c r="I92" s="68">
        <f>+'Nike Balance Sheet'!Z42/'Nike Balance Sheet'!Z$45</f>
        <v>3.1758530183727041E-2</v>
      </c>
      <c r="J92" s="68">
        <f>+'Nike Balance Sheet'!AA42/'Nike Balance Sheet'!AA$45</f>
        <v>2.2903638966322609E-2</v>
      </c>
      <c r="K92" s="68">
        <f>+'Nike Balance Sheet'!AB42/'Nike Balance Sheet'!AB$45</f>
        <v>3.980595427963849E-2</v>
      </c>
      <c r="L92" s="68">
        <f>+'Nike Balance Sheet'!AC42/'Nike Balance Sheet'!AC$45</f>
        <v>0.10834715312327253</v>
      </c>
      <c r="M92" s="68">
        <f>+'Nike Balance Sheet'!AD42/'Nike Balance Sheet'!AD$45</f>
        <v>0.24535739313244567</v>
      </c>
      <c r="N92" s="68">
        <f>+'Nike Balance Sheet'!AE42/'Nike Balance Sheet'!AE$45</f>
        <v>0.32714488860799495</v>
      </c>
      <c r="O92" s="68">
        <f>+'Nike Balance Sheet'!AF42/'Nike Balance Sheet'!AF$45</f>
        <v>0.33931299837489948</v>
      </c>
      <c r="Q92" s="23" t="s">
        <v>663</v>
      </c>
      <c r="R92" s="68">
        <f>'Nike Balance Sheet'!T42/'Nike Balance Sheet'!$Y42</f>
        <v>1.3286290322580645</v>
      </c>
      <c r="S92" s="68">
        <f>'Nike Balance Sheet'!U42/'Nike Balance Sheet'!$Y42</f>
        <v>0.89919354838709675</v>
      </c>
      <c r="T92" s="68">
        <f>'Nike Balance Sheet'!V42/'Nike Balance Sheet'!$Y42</f>
        <v>1.405241935483871</v>
      </c>
      <c r="U92" s="68">
        <f>'Nike Balance Sheet'!W42/'Nike Balance Sheet'!$Y42</f>
        <v>1.0705645161290323</v>
      </c>
      <c r="V92" s="68">
        <f>'Nike Balance Sheet'!X42/'Nike Balance Sheet'!$Y42</f>
        <v>0.88508064516129026</v>
      </c>
      <c r="W92" s="68">
        <f>'Nike Balance Sheet'!Y42/'Nike Balance Sheet'!$Y42</f>
        <v>1</v>
      </c>
    </row>
    <row r="93" spans="2:23">
      <c r="B93" s="23" t="s">
        <v>172</v>
      </c>
      <c r="C93" s="68">
        <f>+'Nike Balance Sheet'!T43/'Nike Balance Sheet'!T$45</f>
        <v>0.63807319542890217</v>
      </c>
      <c r="D93" s="68">
        <f>+'Nike Balance Sheet'!U43/'Nike Balance Sheet'!U$45</f>
        <v>0.69936870841153398</v>
      </c>
      <c r="E93" s="68">
        <f>+'Nike Balance Sheet'!V43/'Nike Balance Sheet'!V$45</f>
        <v>0.52694380292532728</v>
      </c>
      <c r="F93" s="68">
        <f>+'Nike Balance Sheet'!W43/'Nike Balance Sheet'!W$45</f>
        <v>0.84155748744949188</v>
      </c>
      <c r="G93" s="68">
        <f>+'Nike Balance Sheet'!X43/'Nike Balance Sheet'!X$45</f>
        <v>0.77616014558689717</v>
      </c>
      <c r="H93" s="68">
        <f>+'Nike Balance Sheet'!Y43/'Nike Balance Sheet'!Y$45</f>
        <v>0.62497167459777925</v>
      </c>
      <c r="I93" s="68">
        <f>+'Nike Balance Sheet'!Z43/'Nike Balance Sheet'!Z$45</f>
        <v>0.54759405074365708</v>
      </c>
      <c r="J93" s="68">
        <f>+'Nike Balance Sheet'!AA43/'Nike Balance Sheet'!AA$45</f>
        <v>0.32841106004671139</v>
      </c>
      <c r="K93" s="68">
        <f>+'Nike Balance Sheet'!AB43/'Nike Balance Sheet'!AB$45</f>
        <v>0.31253322700691122</v>
      </c>
      <c r="L93" s="68">
        <f>+'Nike Balance Sheet'!AC43/'Nike Balance Sheet'!AC$45</f>
        <v>0.42686567164179107</v>
      </c>
      <c r="M93" s="68">
        <f>+'Nike Balance Sheet'!AD43/'Nike Balance Sheet'!AD$45</f>
        <v>0.33234057463209526</v>
      </c>
      <c r="N93" s="68">
        <f>+'Nike Balance Sheet'!AE43/'Nike Balance Sheet'!AE$45</f>
        <v>0.23384420919576554</v>
      </c>
      <c r="O93" s="68">
        <f>+'Nike Balance Sheet'!AF43/'Nike Balance Sheet'!AF$45</f>
        <v>1.3698297289069235E-2</v>
      </c>
      <c r="Q93" s="23" t="s">
        <v>172</v>
      </c>
      <c r="R93" s="68">
        <f>'Nike Balance Sheet'!T43/'Nike Balance Sheet'!$Y43</f>
        <v>0.79967367657722987</v>
      </c>
      <c r="S93" s="68">
        <f>'Nike Balance Sheet'!U43/'Nike Balance Sheet'!$Y43</f>
        <v>0.74311094996374172</v>
      </c>
      <c r="T93" s="68">
        <f>'Nike Balance Sheet'!V43/'Nike Balance Sheet'!$Y43</f>
        <v>0.74456127628716451</v>
      </c>
      <c r="U93" s="68">
        <f>'Nike Balance Sheet'!W43/'Nike Balance Sheet'!$Y43</f>
        <v>1.2460116026105872</v>
      </c>
      <c r="V93" s="68">
        <f>'Nike Balance Sheet'!X43/'Nike Balance Sheet'!$Y43</f>
        <v>1.2371283538796227</v>
      </c>
      <c r="W93" s="68">
        <f>'Nike Balance Sheet'!Y43/'Nike Balance Sheet'!$Y43</f>
        <v>1</v>
      </c>
    </row>
    <row r="94" spans="2:23">
      <c r="B94" s="23" t="s">
        <v>175</v>
      </c>
      <c r="C94" s="80">
        <f>+'Nike Balance Sheet'!T44/'Nike Balance Sheet'!T$45</f>
        <v>4.339649934905251E-4</v>
      </c>
      <c r="D94" s="80">
        <f>+'Nike Balance Sheet'!U44/'Nike Balance Sheet'!U$45</f>
        <v>5.1185804470226925E-4</v>
      </c>
      <c r="E94" s="80">
        <f>+'Nike Balance Sheet'!V44/'Nike Balance Sheet'!V$45</f>
        <v>3.8491147036181681E-4</v>
      </c>
      <c r="F94" s="80">
        <f>+'Nike Balance Sheet'!W44/'Nike Balance Sheet'!W$45</f>
        <v>3.6733194563487204E-4</v>
      </c>
      <c r="G94" s="80">
        <f>+'Nike Balance Sheet'!X44/'Nike Balance Sheet'!X$45</f>
        <v>3.4121929026387628E-4</v>
      </c>
      <c r="H94" s="80">
        <f>+'Nike Balance Sheet'!Y44/'Nike Balance Sheet'!Y$45</f>
        <v>3.3990482664853839E-4</v>
      </c>
      <c r="I94" s="80">
        <f>+'Nike Balance Sheet'!Z44/'Nike Balance Sheet'!Z$45</f>
        <v>2.6246719160104992E-4</v>
      </c>
      <c r="J94" s="80">
        <f>+'Nike Balance Sheet'!AA44/'Nike Balance Sheet'!AA$45</f>
        <v>2.2602275295713101E-4</v>
      </c>
      <c r="K94" s="80">
        <f>+'Nike Balance Sheet'!AB44/'Nike Balance Sheet'!AB$45</f>
        <v>1.9936204146730463E-4</v>
      </c>
      <c r="L94" s="80">
        <f>+'Nike Balance Sheet'!AC44/'Nike Balance Sheet'!AC$45</f>
        <v>3.3167495854063018E-4</v>
      </c>
      <c r="M94" s="80">
        <f>+'Nike Balance Sheet'!AD44/'Nike Balance Sheet'!AD$45</f>
        <v>2.6278906797477222E-4</v>
      </c>
      <c r="N94" s="80">
        <f>+'Nike Balance Sheet'!AE44/'Nike Balance Sheet'!AE$45</f>
        <v>2.370042660767894E-4</v>
      </c>
      <c r="O94" s="80">
        <f>+'Nike Balance Sheet'!AF44/'Nike Balance Sheet'!AF$45</f>
        <v>4.2878643434064799E-4</v>
      </c>
      <c r="Q94" s="23" t="s">
        <v>175</v>
      </c>
      <c r="R94" s="80">
        <f>'Nike Balance Sheet'!T44/'Nike Balance Sheet'!$Y44</f>
        <v>1</v>
      </c>
      <c r="S94" s="80">
        <f>'Nike Balance Sheet'!U44/'Nike Balance Sheet'!$Y44</f>
        <v>1</v>
      </c>
      <c r="T94" s="80">
        <f>'Nike Balance Sheet'!V44/'Nike Balance Sheet'!$Y44</f>
        <v>1</v>
      </c>
      <c r="U94" s="80">
        <f>'Nike Balance Sheet'!W44/'Nike Balance Sheet'!$Y44</f>
        <v>1</v>
      </c>
      <c r="V94" s="80">
        <f>'Nike Balance Sheet'!X44/'Nike Balance Sheet'!$Y44</f>
        <v>1</v>
      </c>
      <c r="W94" s="80">
        <f>'Nike Balance Sheet'!Y44/'Nike Balance Sheet'!$Y44</f>
        <v>1</v>
      </c>
    </row>
    <row r="95" spans="2:23">
      <c r="B95" s="14" t="s">
        <v>238</v>
      </c>
      <c r="C95" s="68">
        <f>+'Nike Balance Sheet'!T45/'Nike Balance Sheet'!T$45</f>
        <v>1</v>
      </c>
      <c r="D95" s="68">
        <f>+'Nike Balance Sheet'!U45/'Nike Balance Sheet'!U$45</f>
        <v>1</v>
      </c>
      <c r="E95" s="68">
        <f>+'Nike Balance Sheet'!V45/'Nike Balance Sheet'!V$45</f>
        <v>1</v>
      </c>
      <c r="F95" s="68">
        <f>+'Nike Balance Sheet'!W45/'Nike Balance Sheet'!W$45</f>
        <v>1</v>
      </c>
      <c r="G95" s="68">
        <f>+'Nike Balance Sheet'!X45/'Nike Balance Sheet'!X$45</f>
        <v>1</v>
      </c>
      <c r="H95" s="68">
        <f>+'Nike Balance Sheet'!Y45/'Nike Balance Sheet'!Y$45</f>
        <v>1</v>
      </c>
      <c r="I95" s="68">
        <f>+'Nike Balance Sheet'!Z45/'Nike Balance Sheet'!Z$45</f>
        <v>1</v>
      </c>
      <c r="J95" s="68">
        <f>+'Nike Balance Sheet'!AA45/'Nike Balance Sheet'!AA$45</f>
        <v>1</v>
      </c>
      <c r="K95" s="68">
        <f>+'Nike Balance Sheet'!AB45/'Nike Balance Sheet'!AB$45</f>
        <v>1</v>
      </c>
      <c r="L95" s="68">
        <f>+'Nike Balance Sheet'!AC45/'Nike Balance Sheet'!AC$45</f>
        <v>1</v>
      </c>
      <c r="M95" s="68">
        <f>+'Nike Balance Sheet'!AD45/'Nike Balance Sheet'!AD$45</f>
        <v>1</v>
      </c>
      <c r="N95" s="68">
        <f>+'Nike Balance Sheet'!AE45/'Nike Balance Sheet'!AE$45</f>
        <v>1</v>
      </c>
      <c r="O95" s="68">
        <f>+'Nike Balance Sheet'!AF45/'Nike Balance Sheet'!AF$45</f>
        <v>1</v>
      </c>
      <c r="Q95" s="14" t="s">
        <v>238</v>
      </c>
      <c r="R95" s="148">
        <f>'Nike Balance Sheet'!T45/'Nike Balance Sheet'!$Y45</f>
        <v>0.78325402220711526</v>
      </c>
      <c r="S95" s="148">
        <f>'Nike Balance Sheet'!U45/'Nike Balance Sheet'!$Y45</f>
        <v>0.66406072966236107</v>
      </c>
      <c r="T95" s="148">
        <f>'Nike Balance Sheet'!V45/'Nike Balance Sheet'!$Y45</f>
        <v>0.88307273963290256</v>
      </c>
      <c r="U95" s="148">
        <f>'Nike Balance Sheet'!W45/'Nike Balance Sheet'!$Y45</f>
        <v>0.92533423974620432</v>
      </c>
      <c r="V95" s="148">
        <f>'Nike Balance Sheet'!X45/'Nike Balance Sheet'!$Y45</f>
        <v>0.99614774529798311</v>
      </c>
      <c r="W95" s="148">
        <f>'Nike Balance Sheet'!Y45/'Nike Balance Sheet'!$Y45</f>
        <v>1</v>
      </c>
    </row>
    <row r="96" spans="2:23">
      <c r="B96" s="14"/>
      <c r="Q96" s="14" t="s">
        <v>192</v>
      </c>
      <c r="R96" s="148">
        <f>'Nike Balance Sheet'!T46/'Nike Balance Sheet'!$Y46</f>
        <v>-6.5930615555224525</v>
      </c>
      <c r="S96" s="148">
        <f>'Nike Balance Sheet'!U46/'Nike Balance Sheet'!$Y46</f>
        <v>-7.214097025671582</v>
      </c>
      <c r="T96" s="148">
        <f>'Nike Balance Sheet'!V46/'Nike Balance Sheet'!$Y46</f>
        <v>-4.7960855388384065</v>
      </c>
      <c r="U96" s="148">
        <f>'Nike Balance Sheet'!W46/'Nike Balance Sheet'!$Y46</f>
        <v>-3.1093947067878238</v>
      </c>
      <c r="V96" s="148">
        <f>'Nike Balance Sheet'!X46/'Nike Balance Sheet'!$Y46</f>
        <v>-0.95448135458562988</v>
      </c>
      <c r="W96" s="148">
        <f>'Nike Balance Sheet'!Y46/'Nike Balance Sheet'!$Y46</f>
        <v>1</v>
      </c>
    </row>
    <row r="97" spans="2:23">
      <c r="B97" s="196"/>
      <c r="H97" s="14"/>
      <c r="I97" s="14"/>
      <c r="J97" s="14"/>
      <c r="K97" s="51"/>
      <c r="L97" s="51"/>
      <c r="M97" s="51"/>
      <c r="N97" s="51"/>
      <c r="O97" s="51"/>
      <c r="Q97" s="218"/>
      <c r="R97" s="68"/>
      <c r="S97" s="68"/>
      <c r="T97" s="68"/>
      <c r="U97" s="68"/>
      <c r="V97" s="68"/>
      <c r="W97" s="68"/>
    </row>
    <row r="98" spans="2:23" ht="13.5" thickBot="1">
      <c r="B98" s="7" t="s">
        <v>416</v>
      </c>
      <c r="C98" s="7"/>
      <c r="D98" s="7"/>
      <c r="E98" s="7"/>
      <c r="F98" s="7"/>
      <c r="G98" s="7"/>
      <c r="H98" s="7"/>
      <c r="I98" s="7"/>
      <c r="J98" s="7"/>
      <c r="K98" s="7"/>
      <c r="L98" s="7"/>
      <c r="M98" s="7"/>
      <c r="N98" s="7"/>
      <c r="O98" s="7"/>
      <c r="Q98" s="40" t="s">
        <v>180</v>
      </c>
      <c r="R98" s="223">
        <f>'Nike Balance Sheet'!T48/'Nike Balance Sheet'!$Y48</f>
        <v>1.9356784668089968</v>
      </c>
      <c r="S98" s="223">
        <f>'Nike Balance Sheet'!U48/'Nike Balance Sheet'!$Y48</f>
        <v>1.7671416513579266</v>
      </c>
      <c r="T98" s="223">
        <f>'Nike Balance Sheet'!V48/'Nike Balance Sheet'!$Y48</f>
        <v>1.5800357479767639</v>
      </c>
      <c r="U98" s="223">
        <f>'Nike Balance Sheet'!W48/'Nike Balance Sheet'!$Y48</f>
        <v>1.4173824537014048</v>
      </c>
      <c r="V98" s="223">
        <f>'Nike Balance Sheet'!X48/'Nike Balance Sheet'!$Y48</f>
        <v>1.2014795690382802</v>
      </c>
      <c r="W98" s="223">
        <f>'Nike Balance Sheet'!Y48/'Nike Balance Sheet'!$Y48</f>
        <v>1</v>
      </c>
    </row>
    <row r="99" spans="2:23" ht="13.5" thickTop="1">
      <c r="B99" t="s">
        <v>191</v>
      </c>
      <c r="C99" s="68">
        <f>+'Nike Balance Sheet'!T32/'Nike Balance Sheet'!T48</f>
        <v>0.74456991522706584</v>
      </c>
      <c r="D99" s="68">
        <f>+'Nike Balance Sheet'!U32/'Nike Balance Sheet'!U48</f>
        <v>0.69385388570465267</v>
      </c>
      <c r="E99" s="68">
        <f>+'Nike Balance Sheet'!V32/'Nike Balance Sheet'!V48</f>
        <v>0.77236546891448143</v>
      </c>
      <c r="F99" s="68">
        <f>+'Nike Balance Sheet'!W32/'Nike Balance Sheet'!W48</f>
        <v>0.83548445573167529</v>
      </c>
      <c r="G99" s="68">
        <f>+'Nike Balance Sheet'!X32/'Nike Balance Sheet'!X48</f>
        <v>0.94042429439233033</v>
      </c>
      <c r="H99" s="68">
        <f>+'Nike Balance Sheet'!Y32/'Nike Balance Sheet'!Y48</f>
        <v>1.0749925525048409</v>
      </c>
      <c r="I99" s="68">
        <f>+'Nike Balance Sheet'!Z32/'Nike Balance Sheet'!Z48</f>
        <v>1.1604966051871699</v>
      </c>
      <c r="J99" s="68">
        <f>+'Nike Balance Sheet'!AA32/'Nike Balance Sheet'!AA48</f>
        <v>1.3055427462618421</v>
      </c>
      <c r="K99" s="68">
        <f>+'Nike Balance Sheet'!AB32/'Nike Balance Sheet'!AB48</f>
        <v>1.411562569495187</v>
      </c>
      <c r="L99" s="68">
        <f>+'Nike Balance Sheet'!AC32/'Nike Balance Sheet'!AC48</f>
        <v>1.2249998500569785</v>
      </c>
      <c r="M99" s="68">
        <f>+'Nike Balance Sheet'!AD32/'Nike Balance Sheet'!AD48</f>
        <v>1.3313605285749328</v>
      </c>
      <c r="N99" s="68">
        <f>+'Nike Balance Sheet'!AE32/'Nike Balance Sheet'!AE48</f>
        <v>1.2745120250958524</v>
      </c>
      <c r="O99" s="68">
        <f>+'Nike Balance Sheet'!AF32/'Nike Balance Sheet'!AF48</f>
        <v>1.193257925102863</v>
      </c>
    </row>
    <row r="100" spans="2:23">
      <c r="B100" t="s">
        <v>192</v>
      </c>
      <c r="C100" s="68">
        <f>+'Nike Balance Sheet'!T46/'Nike Balance Sheet'!T48</f>
        <v>0.25543008477293422</v>
      </c>
      <c r="D100" s="68">
        <f>+'Nike Balance Sheet'!U46/'Nike Balance Sheet'!U48</f>
        <v>0.30614611429534727</v>
      </c>
      <c r="E100" s="68">
        <f>+'Nike Balance Sheet'!V46/'Nike Balance Sheet'!V48</f>
        <v>0.22763453108551859</v>
      </c>
      <c r="F100" s="68">
        <f>+'Nike Balance Sheet'!W46/'Nike Balance Sheet'!W48</f>
        <v>0.16451554426832476</v>
      </c>
      <c r="G100" s="68">
        <f>+'Nike Balance Sheet'!X46/'Nike Balance Sheet'!X48</f>
        <v>5.9575705607669747E-2</v>
      </c>
      <c r="H100" s="68">
        <f>+'Nike Balance Sheet'!Y46/'Nike Balance Sheet'!Y48</f>
        <v>-7.4992552504840881E-2</v>
      </c>
      <c r="I100" s="68">
        <f>+'Nike Balance Sheet'!Z46/'Nike Balance Sheet'!Z48</f>
        <v>-0.16049660518716991</v>
      </c>
      <c r="J100" s="68">
        <f>+'Nike Balance Sheet'!AA46/'Nike Balance Sheet'!AA48</f>
        <v>-0.30554274626184219</v>
      </c>
      <c r="K100" s="68">
        <f>+'Nike Balance Sheet'!AB46/'Nike Balance Sheet'!AB48</f>
        <v>-0.41156256949518705</v>
      </c>
      <c r="L100" s="68">
        <f>+'Nike Balance Sheet'!AC46/'Nike Balance Sheet'!AC48</f>
        <v>-0.22499985005697837</v>
      </c>
      <c r="M100" s="68">
        <f>+'Nike Balance Sheet'!AD46/'Nike Balance Sheet'!AD48</f>
        <v>-0.33136052857493264</v>
      </c>
      <c r="N100" s="68">
        <f>+'Nike Balance Sheet'!AE46/'Nike Balance Sheet'!AE48</f>
        <v>-0.27451202509585226</v>
      </c>
      <c r="O100" s="68">
        <f>+'Nike Balance Sheet'!AF46/'Nike Balance Sheet'!AF48</f>
        <v>-0.19325792510286305</v>
      </c>
    </row>
    <row r="101" spans="2:23">
      <c r="B101" s="7" t="s">
        <v>180</v>
      </c>
      <c r="C101" s="80">
        <f>+'Nike Balance Sheet'!T48/'Nike Balance Sheet'!T48</f>
        <v>1</v>
      </c>
      <c r="D101" s="80">
        <f>+'Nike Balance Sheet'!U48/'Nike Balance Sheet'!U48</f>
        <v>1</v>
      </c>
      <c r="E101" s="80">
        <f>+'Nike Balance Sheet'!V48/'Nike Balance Sheet'!V48</f>
        <v>1</v>
      </c>
      <c r="F101" s="80">
        <f>+'Nike Balance Sheet'!W48/'Nike Balance Sheet'!W48</f>
        <v>1</v>
      </c>
      <c r="G101" s="80">
        <f>+'Nike Balance Sheet'!X48/'Nike Balance Sheet'!X48</f>
        <v>1</v>
      </c>
      <c r="H101" s="80">
        <f>+'Nike Balance Sheet'!Y48/'Nike Balance Sheet'!Y48</f>
        <v>1</v>
      </c>
      <c r="I101" s="80">
        <f>+'Nike Balance Sheet'!Z48/'Nike Balance Sheet'!Z48</f>
        <v>1</v>
      </c>
      <c r="J101" s="80">
        <f>+'Nike Balance Sheet'!AA48/'Nike Balance Sheet'!AA48</f>
        <v>1</v>
      </c>
      <c r="K101" s="80">
        <f>+'Nike Balance Sheet'!AB48/'Nike Balance Sheet'!AB48</f>
        <v>1</v>
      </c>
      <c r="L101" s="80">
        <f>+'Nike Balance Sheet'!AC48/'Nike Balance Sheet'!AC48</f>
        <v>1</v>
      </c>
      <c r="M101" s="80">
        <f>+'Nike Balance Sheet'!AD48/'Nike Balance Sheet'!AD48</f>
        <v>1</v>
      </c>
      <c r="N101" s="80">
        <f>+'Nike Balance Sheet'!AE48/'Nike Balance Sheet'!AE48</f>
        <v>1</v>
      </c>
      <c r="O101" s="80">
        <f>+'Nike Balance Sheet'!AF48/'Nike Balance Sheet'!AF48</f>
        <v>1</v>
      </c>
    </row>
  </sheetData>
  <mergeCells count="1">
    <mergeCell ref="B12:K12"/>
  </mergeCells>
  <phoneticPr fontId="0" type="noConversion"/>
  <pageMargins left="0.75" right="0.75" top="1" bottom="0.76" header="0.5" footer="0.32"/>
  <pageSetup scale="70" orientation="landscape" horizontalDpi="4294967293" r:id="rId1"/>
  <headerFooter alignWithMargins="0">
    <oddFooter>&amp;C&amp;8Financial Statement Analysis and Security Valuation: Roadmap&amp;R&amp;8Stephen H. Penman 2003</oddFooter>
  </headerFooter>
  <legacyDrawing r:id="rId2"/>
</worksheet>
</file>

<file path=xl/worksheets/sheet14.xml><?xml version="1.0" encoding="utf-8"?>
<worksheet xmlns="http://schemas.openxmlformats.org/spreadsheetml/2006/main" xmlns:r="http://schemas.openxmlformats.org/officeDocument/2006/relationships">
  <sheetPr>
    <pageSetUpPr fitToPage="1"/>
  </sheetPr>
  <dimension ref="B1:P103"/>
  <sheetViews>
    <sheetView showGridLines="0" zoomScaleNormal="100" workbookViewId="0"/>
  </sheetViews>
  <sheetFormatPr defaultRowHeight="12.75"/>
  <sheetData>
    <row r="1" spans="2:12" ht="10.5" customHeight="1">
      <c r="L1" s="27"/>
    </row>
    <row r="2" spans="2:12" ht="15.75">
      <c r="B2" s="1" t="s">
        <v>296</v>
      </c>
      <c r="C2" s="1"/>
      <c r="D2" s="1"/>
      <c r="E2" s="1"/>
      <c r="F2" s="1"/>
      <c r="L2" s="27"/>
    </row>
    <row r="3" spans="2:12" ht="15">
      <c r="B3" s="2" t="s">
        <v>709</v>
      </c>
      <c r="C3" s="2"/>
      <c r="D3" s="2"/>
      <c r="E3" s="2"/>
      <c r="F3" s="2"/>
      <c r="L3" s="27"/>
    </row>
    <row r="4" spans="2:12" ht="15">
      <c r="B4" s="14"/>
      <c r="C4" s="2"/>
      <c r="D4" s="2"/>
      <c r="E4" s="2"/>
      <c r="F4" s="2"/>
      <c r="L4" s="27"/>
    </row>
    <row r="5" spans="2:12" ht="15.75">
      <c r="B5" s="1" t="s">
        <v>495</v>
      </c>
      <c r="C5" s="2"/>
      <c r="D5" s="2"/>
      <c r="E5" s="2"/>
      <c r="F5" s="2"/>
      <c r="L5" s="27"/>
    </row>
    <row r="6" spans="2:12" ht="15.75">
      <c r="B6" s="1"/>
      <c r="C6" s="2"/>
      <c r="D6" s="2"/>
      <c r="E6" s="2"/>
      <c r="F6" s="2"/>
      <c r="L6" s="27"/>
    </row>
    <row r="7" spans="2:12" ht="15.75">
      <c r="B7" s="32" t="s">
        <v>505</v>
      </c>
      <c r="C7" s="2"/>
      <c r="D7" s="2"/>
      <c r="E7" s="2"/>
      <c r="F7" s="2"/>
      <c r="L7" s="27"/>
    </row>
    <row r="8" spans="2:12" s="292" customFormat="1">
      <c r="B8" s="294" t="s">
        <v>674</v>
      </c>
      <c r="C8" s="291"/>
      <c r="D8" s="291"/>
      <c r="E8" s="291"/>
      <c r="F8" s="291"/>
      <c r="L8" s="293"/>
    </row>
    <row r="92" spans="12:13">
      <c r="L92" s="48"/>
      <c r="M92" s="48"/>
    </row>
    <row r="93" spans="12:13">
      <c r="L93" s="48"/>
      <c r="M93" s="48"/>
    </row>
    <row r="94" spans="12:13">
      <c r="L94" s="48"/>
      <c r="M94" s="48"/>
    </row>
    <row r="98" spans="2:16" s="275" customFormat="1" ht="13.5" customHeight="1">
      <c r="C98" s="290">
        <f>'Profitability and Growth'!D34</f>
        <v>2008</v>
      </c>
      <c r="D98" s="290">
        <f>'Profitability and Growth'!E34</f>
        <v>2007</v>
      </c>
      <c r="E98" s="290">
        <f>'Profitability and Growth'!F34</f>
        <v>2006</v>
      </c>
      <c r="F98" s="290">
        <f>'Profitability and Growth'!G34</f>
        <v>2005</v>
      </c>
      <c r="G98" s="290">
        <f>'Profitability and Growth'!H34</f>
        <v>2004</v>
      </c>
      <c r="H98" s="290">
        <f>'Profitability and Growth'!I34</f>
        <v>2003</v>
      </c>
      <c r="I98" s="290">
        <f>'Profitability and Growth'!J34</f>
        <v>2002</v>
      </c>
      <c r="J98" s="290">
        <f>'Profitability and Growth'!K34</f>
        <v>2001</v>
      </c>
      <c r="K98" s="290">
        <f>'Profitability and Growth'!L34</f>
        <v>2000</v>
      </c>
      <c r="L98" s="350"/>
      <c r="M98" s="350"/>
      <c r="N98" s="350"/>
      <c r="O98" s="350"/>
      <c r="P98" s="351"/>
    </row>
    <row r="99" spans="2:16" s="275" customFormat="1" ht="13.5" customHeight="1">
      <c r="B99" s="275" t="s">
        <v>215</v>
      </c>
      <c r="C99" s="288">
        <f>'Profitability and Growth'!D44</f>
        <v>0.35043381360289472</v>
      </c>
      <c r="D99" s="288">
        <f>'Profitability and Growth'!E44</f>
        <v>0.33529378577624114</v>
      </c>
      <c r="E99" s="288">
        <f>'Profitability and Growth'!F44</f>
        <v>0.29493793821293735</v>
      </c>
      <c r="F99" s="288">
        <f>'Profitability and Growth'!G44</f>
        <v>0.29439962650445267</v>
      </c>
      <c r="G99" s="288">
        <f>'Profitability and Growth'!H44</f>
        <v>0.23299489899506884</v>
      </c>
      <c r="H99" s="288">
        <f>'Profitability and Growth'!I44</f>
        <v>9.6428117790024609E-2</v>
      </c>
      <c r="I99" s="288">
        <f>'Profitability and Growth'!J44</f>
        <v>0.13742187871089542</v>
      </c>
      <c r="J99" s="288">
        <f>'Profitability and Growth'!K44</f>
        <v>0.11587830392507587</v>
      </c>
      <c r="K99" s="288">
        <f>'Profitability and Growth'!L44</f>
        <v>0.12465705431316136</v>
      </c>
      <c r="L99" s="352"/>
      <c r="M99" s="352"/>
      <c r="N99" s="352"/>
      <c r="O99" s="352"/>
      <c r="P99" s="351"/>
    </row>
    <row r="100" spans="2:16" s="275" customFormat="1" ht="13.5" customHeight="1">
      <c r="B100" s="275" t="s">
        <v>249</v>
      </c>
      <c r="C100" s="288">
        <f>'Profitability and Growth'!D46</f>
        <v>0.1010717990014495</v>
      </c>
      <c r="D100" s="288">
        <f>'Profitability and Growth'!E46</f>
        <v>0.10119875780202009</v>
      </c>
      <c r="E100" s="288">
        <f>'Profitability and Growth'!F46</f>
        <v>9.5513523995479757E-2</v>
      </c>
      <c r="F100" s="288">
        <f>'Profitability and Growth'!G46</f>
        <v>9.9867333347889761E-2</v>
      </c>
      <c r="G100" s="288">
        <f>'Profitability and Growth'!H46</f>
        <v>8.4444041126200797E-2</v>
      </c>
      <c r="H100" s="288">
        <f>'Profitability and Growth'!I46</f>
        <v>3.9624816926864197E-2</v>
      </c>
      <c r="I100" s="288">
        <f>'Profitability and Growth'!J46</f>
        <v>6.2760174729824189E-2</v>
      </c>
      <c r="J100" s="288">
        <f>'Profitability and Growth'!K46</f>
        <v>5.5066371296393551E-2</v>
      </c>
      <c r="K100" s="288">
        <f>'Profitability and Growth'!L46</f>
        <v>5.9092330191209588E-2</v>
      </c>
      <c r="L100" s="352"/>
      <c r="M100" s="352"/>
      <c r="N100" s="352"/>
      <c r="O100" s="352"/>
      <c r="P100" s="351"/>
    </row>
    <row r="101" spans="2:16" s="275" customFormat="1" ht="13.5" customHeight="1">
      <c r="B101" s="275" t="s">
        <v>273</v>
      </c>
      <c r="C101" s="289">
        <f>'Profitability and Growth'!D48</f>
        <v>3.4671769679084172</v>
      </c>
      <c r="D101" s="289">
        <f>'Profitability and Growth'!E48</f>
        <v>3.3132203700779832</v>
      </c>
      <c r="E101" s="289">
        <f>'Profitability and Growth'!F48</f>
        <v>3.0879180861015607</v>
      </c>
      <c r="F101" s="289">
        <f>'Profitability and Growth'!G48</f>
        <v>2.9479071547740836</v>
      </c>
      <c r="G101" s="289">
        <f>'Profitability and Growth'!H48</f>
        <v>2.7591632978206269</v>
      </c>
      <c r="H101" s="289">
        <f>'Profitability and Growth'!I48</f>
        <v>2.4335284114498914</v>
      </c>
      <c r="I101" s="289">
        <f>'Profitability and Growth'!J48</f>
        <v>2.1896350560284743</v>
      </c>
      <c r="J101" s="289">
        <f>'Profitability and Growth'!K48</f>
        <v>2.1043388405123591</v>
      </c>
      <c r="K101" s="289">
        <f>'Profitability and Growth'!L48</f>
        <v>2.1095301862322735</v>
      </c>
      <c r="L101" s="353"/>
      <c r="M101" s="353"/>
      <c r="N101" s="353"/>
      <c r="O101" s="353"/>
      <c r="P101" s="351"/>
    </row>
    <row r="102" spans="2:16">
      <c r="L102" s="16"/>
      <c r="M102" s="16"/>
      <c r="N102" s="16"/>
      <c r="O102" s="16"/>
      <c r="P102" s="16"/>
    </row>
    <row r="103" spans="2:16">
      <c r="L103" s="16"/>
      <c r="M103" s="16"/>
      <c r="N103" s="16"/>
      <c r="O103" s="16"/>
      <c r="P103" s="16"/>
    </row>
  </sheetData>
  <phoneticPr fontId="17" type="noConversion"/>
  <printOptions horizontalCentered="1" verticalCentered="1"/>
  <pageMargins left="0.5" right="0.5" top="0.5" bottom="0.5" header="0.5" footer="0.5"/>
  <pageSetup scale="56"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sheetPr codeName="Sheet13">
    <pageSetUpPr fitToPage="1"/>
  </sheetPr>
  <dimension ref="B1:D58"/>
  <sheetViews>
    <sheetView workbookViewId="0"/>
  </sheetViews>
  <sheetFormatPr defaultRowHeight="12.75"/>
  <cols>
    <col min="1" max="1" width="2" customWidth="1"/>
    <col min="2" max="2" width="33.140625" customWidth="1"/>
    <col min="3" max="3" width="27.7109375" customWidth="1"/>
    <col min="4" max="4" width="29" customWidth="1"/>
    <col min="5" max="7" width="10.7109375" bestFit="1" customWidth="1"/>
    <col min="8" max="8" width="10.28515625" bestFit="1" customWidth="1"/>
  </cols>
  <sheetData>
    <row r="1" spans="2:4" ht="10.5" customHeight="1"/>
    <row r="2" spans="2:4" ht="15.75">
      <c r="B2" s="1" t="s">
        <v>290</v>
      </c>
    </row>
    <row r="3" spans="2:4" ht="15">
      <c r="B3" s="2" t="s">
        <v>709</v>
      </c>
    </row>
    <row r="5" spans="2:4" ht="15.75">
      <c r="B5" s="1" t="s">
        <v>495</v>
      </c>
    </row>
    <row r="6" spans="2:4" ht="15.75">
      <c r="B6" s="1"/>
    </row>
    <row r="7" spans="2:4" ht="15.75">
      <c r="B7" s="1" t="s">
        <v>507</v>
      </c>
    </row>
    <row r="8" spans="2:4">
      <c r="B8" s="3" t="s">
        <v>299</v>
      </c>
    </row>
    <row r="9" spans="2:4" ht="15.75">
      <c r="B9" s="1" t="s">
        <v>550</v>
      </c>
    </row>
    <row r="10" spans="2:4">
      <c r="B10" s="3"/>
    </row>
    <row r="12" spans="2:4">
      <c r="B12" s="15" t="s">
        <v>330</v>
      </c>
      <c r="C12" s="15" t="s">
        <v>331</v>
      </c>
      <c r="D12" s="15" t="s">
        <v>332</v>
      </c>
    </row>
    <row r="13" spans="2:4" ht="31.5">
      <c r="B13" s="100" t="s">
        <v>334</v>
      </c>
      <c r="C13" s="101" t="s">
        <v>336</v>
      </c>
      <c r="D13" s="101" t="s">
        <v>339</v>
      </c>
    </row>
    <row r="14" spans="2:4" ht="28.5">
      <c r="B14" s="92" t="s">
        <v>209</v>
      </c>
      <c r="C14" s="99" t="s">
        <v>337</v>
      </c>
      <c r="D14" s="99" t="s">
        <v>340</v>
      </c>
    </row>
    <row r="15" spans="2:4" ht="31.5">
      <c r="B15" s="100" t="s">
        <v>335</v>
      </c>
      <c r="C15" s="101" t="s">
        <v>338</v>
      </c>
      <c r="D15" s="101" t="s">
        <v>341</v>
      </c>
    </row>
    <row r="17" spans="2:4">
      <c r="B17" s="7"/>
      <c r="C17" s="7"/>
      <c r="D17" s="7"/>
    </row>
    <row r="18" spans="2:4" ht="25.5">
      <c r="B18" s="98" t="s">
        <v>342</v>
      </c>
      <c r="C18" s="30" t="s">
        <v>343</v>
      </c>
      <c r="D18" s="30" t="s">
        <v>344</v>
      </c>
    </row>
    <row r="19" spans="2:4">
      <c r="B19" s="98"/>
      <c r="C19" s="30"/>
      <c r="D19" s="30"/>
    </row>
    <row r="20" spans="2:4" ht="25.5">
      <c r="B20" s="98" t="s">
        <v>345</v>
      </c>
      <c r="C20" s="30" t="s">
        <v>346</v>
      </c>
      <c r="D20" s="30" t="s">
        <v>344</v>
      </c>
    </row>
    <row r="21" spans="2:4">
      <c r="B21" s="98"/>
      <c r="C21" s="30"/>
      <c r="D21" s="30"/>
    </row>
    <row r="22" spans="2:4">
      <c r="B22" s="92" t="s">
        <v>342</v>
      </c>
      <c r="C22" s="99" t="s">
        <v>347</v>
      </c>
      <c r="D22" s="99" t="s">
        <v>348</v>
      </c>
    </row>
    <row r="26" spans="2:4">
      <c r="B26" s="3" t="s">
        <v>367</v>
      </c>
    </row>
    <row r="28" spans="2:4">
      <c r="B28" s="15"/>
      <c r="C28" s="55" t="s">
        <v>356</v>
      </c>
      <c r="D28" s="55" t="s">
        <v>243</v>
      </c>
    </row>
    <row r="29" spans="2:4" ht="15.75">
      <c r="B29" t="s">
        <v>354</v>
      </c>
      <c r="C29" s="29" t="s">
        <v>357</v>
      </c>
      <c r="D29" s="29" t="s">
        <v>536</v>
      </c>
    </row>
    <row r="30" spans="2:4" ht="15.75">
      <c r="B30" t="s">
        <v>353</v>
      </c>
      <c r="C30" s="29" t="s">
        <v>358</v>
      </c>
      <c r="D30" s="29" t="s">
        <v>217</v>
      </c>
    </row>
    <row r="31" spans="2:4" ht="15.75">
      <c r="B31" s="7" t="s">
        <v>355</v>
      </c>
      <c r="C31" s="34" t="s">
        <v>359</v>
      </c>
      <c r="D31" s="34" t="s">
        <v>360</v>
      </c>
    </row>
    <row r="32" spans="2:4">
      <c r="B32" s="16"/>
      <c r="C32" s="82"/>
      <c r="D32" s="82"/>
    </row>
    <row r="34" spans="2:3" hidden="1">
      <c r="B34" s="57" t="s">
        <v>363</v>
      </c>
      <c r="C34" s="15"/>
    </row>
    <row r="35" spans="2:3" hidden="1">
      <c r="B35" t="s">
        <v>361</v>
      </c>
      <c r="C35" s="48">
        <v>5.5E-2</v>
      </c>
    </row>
    <row r="36" spans="2:3" hidden="1">
      <c r="B36" t="s">
        <v>362</v>
      </c>
      <c r="C36" s="53">
        <v>0.95</v>
      </c>
    </row>
    <row r="37" spans="2:3" hidden="1">
      <c r="B37" t="s">
        <v>364</v>
      </c>
      <c r="C37" s="48">
        <v>0.06</v>
      </c>
    </row>
    <row r="38" spans="2:3" ht="15.75" hidden="1">
      <c r="B38" s="14" t="s">
        <v>357</v>
      </c>
      <c r="C38" s="51">
        <f>+C35+C37*C36</f>
        <v>0.11199999999999999</v>
      </c>
    </row>
    <row r="39" spans="2:3" ht="15.75" hidden="1">
      <c r="B39" s="14" t="s">
        <v>358</v>
      </c>
      <c r="C39" s="48">
        <f>+'3. Financial Statement Analysis'!J35</f>
        <v>2.2871895567433929</v>
      </c>
    </row>
    <row r="40" spans="2:3" hidden="1">
      <c r="B40" t="s">
        <v>611</v>
      </c>
      <c r="C40" s="58" t="e">
        <f>40.875*'Nike Statement of SE'!#REF!</f>
        <v>#REF!</v>
      </c>
    </row>
    <row r="41" spans="2:3" hidden="1">
      <c r="B41" t="s">
        <v>365</v>
      </c>
      <c r="C41" s="52">
        <f>-'Nike Balance Sheet'!AB46</f>
        <v>1295.4755</v>
      </c>
    </row>
    <row r="42" spans="2:3" hidden="1">
      <c r="B42" t="s">
        <v>366</v>
      </c>
      <c r="C42" s="53" t="e">
        <f>+C40+C41</f>
        <v>#REF!</v>
      </c>
    </row>
    <row r="43" spans="2:3" ht="15.75" hidden="1">
      <c r="B43" s="56" t="s">
        <v>359</v>
      </c>
      <c r="C43" s="59" t="e">
        <f>+C38*C40/C42+C39*C41/C42</f>
        <v>#REF!</v>
      </c>
    </row>
    <row r="44" spans="2:3" hidden="1"/>
    <row r="45" spans="2:3" hidden="1">
      <c r="B45" t="s">
        <v>612</v>
      </c>
    </row>
    <row r="48" spans="2:3">
      <c r="B48" s="57" t="s">
        <v>754</v>
      </c>
      <c r="C48" s="15"/>
    </row>
    <row r="49" spans="2:4">
      <c r="B49" t="s">
        <v>297</v>
      </c>
      <c r="C49" s="48">
        <v>4.4999999999999998E-2</v>
      </c>
    </row>
    <row r="50" spans="2:4">
      <c r="B50" t="s">
        <v>362</v>
      </c>
      <c r="C50" s="53">
        <v>0.8</v>
      </c>
      <c r="D50" s="262" t="s">
        <v>6</v>
      </c>
    </row>
    <row r="51" spans="2:4">
      <c r="B51" t="s">
        <v>364</v>
      </c>
      <c r="C51" s="48">
        <v>0.05</v>
      </c>
    </row>
    <row r="52" spans="2:4" ht="15.75">
      <c r="B52" s="14" t="s">
        <v>357</v>
      </c>
      <c r="C52" s="51">
        <f>+C49+C51*C50</f>
        <v>8.5000000000000006E-2</v>
      </c>
    </row>
    <row r="53" spans="2:4" ht="15.75">
      <c r="B53" s="14" t="s">
        <v>358</v>
      </c>
      <c r="C53" s="48">
        <v>3.2000000000000001E-2</v>
      </c>
      <c r="D53" s="272" t="s">
        <v>298</v>
      </c>
    </row>
    <row r="54" spans="2:4">
      <c r="B54" t="s">
        <v>692</v>
      </c>
      <c r="C54" s="261">
        <v>75.31</v>
      </c>
    </row>
    <row r="55" spans="2:4">
      <c r="B55" t="s">
        <v>693</v>
      </c>
      <c r="C55" s="58">
        <f>75.31*263.1</f>
        <v>19814.061000000002</v>
      </c>
    </row>
    <row r="56" spans="2:4">
      <c r="B56" t="s">
        <v>365</v>
      </c>
      <c r="C56" s="52">
        <f>-'Nike Balance Sheet'!X46</f>
        <v>-288.33450000000005</v>
      </c>
    </row>
    <row r="57" spans="2:4">
      <c r="B57" t="s">
        <v>366</v>
      </c>
      <c r="C57" s="53">
        <f>+C55+C56</f>
        <v>19525.726500000001</v>
      </c>
    </row>
    <row r="58" spans="2:4" ht="15.75">
      <c r="B58" s="56" t="s">
        <v>359</v>
      </c>
      <c r="C58" s="59">
        <f>+C52*C55/C57+C53*C56/C57</f>
        <v>8.5782645833946319E-2</v>
      </c>
    </row>
  </sheetData>
  <phoneticPr fontId="0" type="noConversion"/>
  <hyperlinks>
    <hyperlink ref="D50" r:id="rId1" display="MSN Moneycentral"/>
  </hyperlinks>
  <pageMargins left="0.75" right="0.75" top="1" bottom="1" header="0.5" footer="0.5"/>
  <pageSetup scale="80" orientation="portrait" horizontalDpi="4294967293" r:id="rId2"/>
  <headerFooter alignWithMargins="0">
    <oddFooter>&amp;C&amp;8Financial Statement Analysis and Security Valuation: Roadmap&amp;R&amp;8Stephen H. Penman 2003</oddFooter>
  </headerFooter>
</worksheet>
</file>

<file path=xl/worksheets/sheet16.xml><?xml version="1.0" encoding="utf-8"?>
<worksheet xmlns="http://schemas.openxmlformats.org/spreadsheetml/2006/main" xmlns:r="http://schemas.openxmlformats.org/officeDocument/2006/relationships">
  <sheetPr codeName="Sheet14"/>
  <dimension ref="B1:G106"/>
  <sheetViews>
    <sheetView workbookViewId="0"/>
  </sheetViews>
  <sheetFormatPr defaultRowHeight="12.75"/>
  <cols>
    <col min="1" max="1" width="2" customWidth="1"/>
    <col min="2" max="2" width="19.7109375" customWidth="1"/>
    <col min="3" max="3" width="21.28515625" customWidth="1"/>
    <col min="4" max="4" width="22.5703125" customWidth="1"/>
    <col min="5" max="5" width="13.7109375" customWidth="1"/>
  </cols>
  <sheetData>
    <row r="1" spans="2:7" ht="10.5" customHeight="1"/>
    <row r="2" spans="2:7" ht="15.75">
      <c r="B2" s="1" t="s">
        <v>290</v>
      </c>
    </row>
    <row r="3" spans="2:7" ht="15">
      <c r="B3" s="2" t="s">
        <v>709</v>
      </c>
    </row>
    <row r="5" spans="2:7" ht="15.75">
      <c r="B5" s="1" t="s">
        <v>495</v>
      </c>
    </row>
    <row r="6" spans="2:7" ht="15.75">
      <c r="B6" s="1"/>
    </row>
    <row r="7" spans="2:7" ht="15.75">
      <c r="B7" s="1" t="s">
        <v>507</v>
      </c>
    </row>
    <row r="8" spans="2:7" ht="15">
      <c r="B8" s="2"/>
    </row>
    <row r="9" spans="2:7" ht="15.75">
      <c r="B9" s="1" t="s">
        <v>551</v>
      </c>
    </row>
    <row r="12" spans="2:7">
      <c r="B12" s="3" t="s">
        <v>368</v>
      </c>
    </row>
    <row r="13" spans="2:7">
      <c r="B13" s="7"/>
      <c r="C13" s="7"/>
      <c r="D13" s="7"/>
      <c r="E13" s="7"/>
      <c r="F13" s="7"/>
      <c r="G13" s="7"/>
    </row>
    <row r="14" spans="2:7">
      <c r="B14" t="s">
        <v>537</v>
      </c>
    </row>
    <row r="15" spans="2:7">
      <c r="B15" t="s">
        <v>369</v>
      </c>
    </row>
    <row r="17" spans="2:7">
      <c r="B17" s="15"/>
      <c r="C17" s="15"/>
      <c r="D17" s="54" t="s">
        <v>9</v>
      </c>
    </row>
    <row r="18" spans="2:7" ht="15.75">
      <c r="B18" t="s">
        <v>370</v>
      </c>
      <c r="C18" t="s">
        <v>471</v>
      </c>
      <c r="D18" s="50">
        <f>+'Nike Balance Sheet'!X32*'4. Valuation - Essentials'!C58</f>
        <v>390.43675301192542</v>
      </c>
    </row>
    <row r="19" spans="2:7" ht="15.75">
      <c r="B19" t="s">
        <v>371</v>
      </c>
      <c r="C19" t="s">
        <v>472</v>
      </c>
      <c r="D19" s="50">
        <f>+'Nike Balance Sheet'!X46*'4. Valuation - Essentials'!C53</f>
        <v>9.2267040000000016</v>
      </c>
    </row>
    <row r="20" spans="2:7" ht="15.75">
      <c r="B20" s="7" t="s">
        <v>335</v>
      </c>
      <c r="C20" s="7" t="s">
        <v>473</v>
      </c>
      <c r="D20" s="87">
        <f>+D18+D19</f>
        <v>399.6634570119254</v>
      </c>
    </row>
    <row r="22" spans="2:7" ht="39" customHeight="1">
      <c r="B22" s="385" t="s">
        <v>613</v>
      </c>
      <c r="C22" s="385"/>
      <c r="D22" s="385"/>
      <c r="E22" s="385"/>
      <c r="F22" s="385"/>
      <c r="G22" s="385"/>
    </row>
    <row r="24" spans="2:7">
      <c r="B24" t="s">
        <v>373</v>
      </c>
    </row>
    <row r="25" spans="2:7">
      <c r="B25" s="386" t="s">
        <v>372</v>
      </c>
      <c r="C25" s="387"/>
      <c r="D25" s="387"/>
      <c r="E25" s="387"/>
      <c r="F25" s="387"/>
      <c r="G25" s="388"/>
    </row>
    <row r="28" spans="2:7">
      <c r="B28" s="3" t="s">
        <v>374</v>
      </c>
    </row>
    <row r="30" spans="2:7" ht="29.25" customHeight="1">
      <c r="B30" s="385" t="s">
        <v>400</v>
      </c>
      <c r="C30" s="385"/>
      <c r="D30" s="385"/>
      <c r="E30" s="385"/>
      <c r="F30" s="385"/>
      <c r="G30" s="385"/>
    </row>
    <row r="32" spans="2:7" ht="19.5" customHeight="1">
      <c r="B32" t="s">
        <v>402</v>
      </c>
    </row>
    <row r="35" spans="2:5">
      <c r="B35" s="7" t="s">
        <v>406</v>
      </c>
    </row>
    <row r="37" spans="2:5">
      <c r="B37" t="s">
        <v>403</v>
      </c>
    </row>
    <row r="38" spans="2:5">
      <c r="B38" s="7" t="s">
        <v>407</v>
      </c>
      <c r="C38" s="7"/>
      <c r="D38" s="7"/>
      <c r="E38" s="7"/>
    </row>
    <row r="39" spans="2:5">
      <c r="B39" t="s">
        <v>404</v>
      </c>
      <c r="E39" s="36">
        <f>+'4. Valuation - Essentials'!C58</f>
        <v>8.5782645833946319E-2</v>
      </c>
    </row>
    <row r="40" spans="2:5">
      <c r="B40" t="s">
        <v>10</v>
      </c>
      <c r="E40" s="61">
        <f>+'Nike Balance Sheet'!X48</f>
        <v>4839.8</v>
      </c>
    </row>
    <row r="41" spans="2:5">
      <c r="B41" t="s">
        <v>11</v>
      </c>
      <c r="D41" s="14"/>
      <c r="E41" s="61">
        <f>'Nike Income Statement'!W30</f>
        <v>961.32500000000095</v>
      </c>
    </row>
    <row r="42" spans="2:5">
      <c r="B42" t="s">
        <v>566</v>
      </c>
      <c r="D42" s="14"/>
      <c r="E42" s="61">
        <f>+'Nike Balance Sheet'!Y32</f>
        <v>4330.2849999999999</v>
      </c>
    </row>
    <row r="43" spans="2:5">
      <c r="B43" t="s">
        <v>12</v>
      </c>
      <c r="D43" s="14"/>
      <c r="E43" s="61">
        <f>+'Nike Balance Sheet'!X32</f>
        <v>4551.4655000000002</v>
      </c>
    </row>
    <row r="44" spans="2:5">
      <c r="B44" t="s">
        <v>13</v>
      </c>
      <c r="D44" s="14"/>
      <c r="E44" s="61">
        <f>+E41-E42*E39</f>
        <v>589.86169548495081</v>
      </c>
    </row>
    <row r="45" spans="2:5">
      <c r="D45" s="14"/>
      <c r="E45" s="61"/>
    </row>
    <row r="46" spans="2:5">
      <c r="B46" t="s">
        <v>567</v>
      </c>
      <c r="D46" s="14"/>
      <c r="E46" s="61">
        <f>+E41+E39*(E43-E42)</f>
        <v>980.29844849687618</v>
      </c>
    </row>
    <row r="47" spans="2:5">
      <c r="B47" t="s">
        <v>568</v>
      </c>
      <c r="D47" s="14"/>
      <c r="E47" s="61">
        <f>+E46-E43*E39</f>
        <v>589.86169548495081</v>
      </c>
    </row>
    <row r="48" spans="2:5">
      <c r="E48" s="61"/>
    </row>
    <row r="49" spans="2:7">
      <c r="E49" s="61"/>
    </row>
    <row r="50" spans="2:7">
      <c r="B50" t="s">
        <v>352</v>
      </c>
      <c r="E50" s="61"/>
    </row>
    <row r="51" spans="2:7" ht="15.75">
      <c r="B51" t="s">
        <v>14</v>
      </c>
      <c r="E51" s="61">
        <f>+E40+E47/E39</f>
        <v>11716.035743844683</v>
      </c>
    </row>
    <row r="52" spans="2:7">
      <c r="B52" t="s">
        <v>351</v>
      </c>
      <c r="E52" s="63">
        <f>+E51/'Nike Statement of SE'!E123</f>
        <v>63.159222338785348</v>
      </c>
    </row>
    <row r="53" spans="2:7">
      <c r="E53" s="61"/>
    </row>
    <row r="54" spans="2:7">
      <c r="E54" s="61"/>
    </row>
    <row r="55" spans="2:7">
      <c r="B55" t="s">
        <v>405</v>
      </c>
      <c r="E55" s="61"/>
    </row>
    <row r="56" spans="2:7" ht="15.75">
      <c r="B56" t="s">
        <v>616</v>
      </c>
      <c r="E56" s="61">
        <f>+E51-'Nike Balance Sheet'!X46</f>
        <v>11427.701243844682</v>
      </c>
    </row>
    <row r="57" spans="2:7" ht="15.75">
      <c r="B57" t="s">
        <v>615</v>
      </c>
      <c r="E57" s="61">
        <f>+E43+E47/E39</f>
        <v>11427.701243844684</v>
      </c>
    </row>
    <row r="58" spans="2:7" ht="15.75">
      <c r="B58" s="7" t="s">
        <v>569</v>
      </c>
      <c r="C58" s="7"/>
      <c r="D58" s="7"/>
      <c r="E58" s="64">
        <f>+E46/E39</f>
        <v>11427.701243844682</v>
      </c>
    </row>
    <row r="59" spans="2:7">
      <c r="E59" s="24"/>
    </row>
    <row r="60" spans="2:7">
      <c r="E60" s="24"/>
    </row>
    <row r="61" spans="2:7">
      <c r="E61" s="24"/>
    </row>
    <row r="62" spans="2:7">
      <c r="B62" s="3" t="s">
        <v>408</v>
      </c>
    </row>
    <row r="63" spans="2:7">
      <c r="B63" s="7"/>
      <c r="C63" s="7"/>
      <c r="D63" s="7"/>
      <c r="E63" s="7"/>
      <c r="F63" s="7"/>
      <c r="G63" s="7"/>
    </row>
    <row r="64" spans="2:7">
      <c r="B64" s="385" t="s">
        <v>409</v>
      </c>
      <c r="C64" s="385"/>
      <c r="D64" s="385"/>
      <c r="E64" s="385"/>
      <c r="F64" s="385"/>
      <c r="G64" s="385"/>
    </row>
    <row r="66" spans="2:6" ht="15.75">
      <c r="B66" t="s">
        <v>370</v>
      </c>
      <c r="C66" t="s">
        <v>474</v>
      </c>
    </row>
    <row r="67" spans="2:6" ht="15.75">
      <c r="B67" t="s">
        <v>371</v>
      </c>
      <c r="C67" t="s">
        <v>475</v>
      </c>
    </row>
    <row r="68" spans="2:6" ht="15.75">
      <c r="B68" t="s">
        <v>335</v>
      </c>
      <c r="C68" t="s">
        <v>476</v>
      </c>
    </row>
    <row r="72" spans="2:6">
      <c r="B72" s="7" t="s">
        <v>585</v>
      </c>
      <c r="C72" s="7"/>
    </row>
    <row r="74" spans="2:6">
      <c r="B74" t="s">
        <v>410</v>
      </c>
      <c r="E74" s="48">
        <f>+E39</f>
        <v>8.5782645833946319E-2</v>
      </c>
      <c r="F74" s="49"/>
    </row>
    <row r="75" spans="2:6">
      <c r="B75" t="s">
        <v>15</v>
      </c>
      <c r="E75" s="48">
        <f>+'3. Financial Statement Analysis'!J34</f>
        <v>0.21647196687184603</v>
      </c>
      <c r="F75" s="48"/>
    </row>
    <row r="76" spans="2:6">
      <c r="B76" t="s">
        <v>196</v>
      </c>
      <c r="E76" s="69">
        <f>'3. Financial Statement Analysis'!J48</f>
        <v>5.1077584962652578E-2</v>
      </c>
    </row>
    <row r="77" spans="2:6">
      <c r="B77" t="s">
        <v>12</v>
      </c>
      <c r="E77" s="62">
        <f>+'Nike Balance Sheet'!X32</f>
        <v>4551.4655000000002</v>
      </c>
    </row>
    <row r="79" spans="2:6">
      <c r="B79" t="s">
        <v>16</v>
      </c>
      <c r="D79" s="29"/>
      <c r="E79" s="62">
        <f>+E77*E75</f>
        <v>985.26468893435015</v>
      </c>
    </row>
    <row r="80" spans="2:6">
      <c r="B80" t="s">
        <v>17</v>
      </c>
      <c r="E80" s="62">
        <f>+E79-E77*E74</f>
        <v>594.82793592242479</v>
      </c>
    </row>
    <row r="83" spans="2:6">
      <c r="B83" t="s">
        <v>352</v>
      </c>
    </row>
    <row r="84" spans="2:6" ht="15.75">
      <c r="B84" t="s">
        <v>619</v>
      </c>
      <c r="E84" s="62">
        <f>'Nike Balance Sheet'!X48+E80/(E74-E76)</f>
        <v>21979.315707187136</v>
      </c>
    </row>
    <row r="85" spans="2:6">
      <c r="B85" t="s">
        <v>351</v>
      </c>
      <c r="E85" s="60">
        <f>+E84/263.1</f>
        <v>83.539778438567595</v>
      </c>
    </row>
    <row r="86" spans="2:6" ht="27" customHeight="1"/>
    <row r="87" spans="2:6">
      <c r="B87" t="s">
        <v>405</v>
      </c>
    </row>
    <row r="88" spans="2:6" ht="15.75">
      <c r="B88" t="s">
        <v>616</v>
      </c>
      <c r="E88" s="65">
        <f>+E84-'Nike Balance Sheet'!X46</f>
        <v>21690.981207187135</v>
      </c>
    </row>
    <row r="89" spans="2:6" ht="15.75">
      <c r="B89" t="s">
        <v>617</v>
      </c>
      <c r="E89" s="62">
        <f>+E77+E80/(E74-E76)</f>
        <v>21690.981207187135</v>
      </c>
    </row>
    <row r="90" spans="2:6" ht="15.75">
      <c r="B90" s="7" t="s">
        <v>618</v>
      </c>
      <c r="C90" s="7"/>
      <c r="D90" s="7"/>
      <c r="E90" s="89">
        <f>'Nike Balance Sheet'!X32*('3. Financial Statement Analysis'!J33-E76)/('4. Valuation - Essentials'!C58-E76)</f>
        <v>23857.914606226204</v>
      </c>
      <c r="F90" s="7"/>
    </row>
    <row r="106" spans="7:7">
      <c r="G106" s="16"/>
    </row>
  </sheetData>
  <mergeCells count="4">
    <mergeCell ref="B64:G64"/>
    <mergeCell ref="B22:G22"/>
    <mergeCell ref="B25:G25"/>
    <mergeCell ref="B30:G30"/>
  </mergeCells>
  <phoneticPr fontId="0" type="noConversion"/>
  <pageMargins left="0.75" right="0.75" top="1" bottom="1" header="0.5" footer="0.5"/>
  <pageSetup orientation="landscape" horizontalDpi="4294967293" r:id="rId1"/>
  <headerFooter alignWithMargins="0">
    <oddFooter>&amp;C&amp;8Financial Statement Analysis and Security Valuation: Roadmap&amp;R&amp;8Stephen H. Penman 2003</oddFooter>
  </headerFooter>
</worksheet>
</file>

<file path=xl/worksheets/sheet17.xml><?xml version="1.0" encoding="utf-8"?>
<worksheet xmlns="http://schemas.openxmlformats.org/spreadsheetml/2006/main" xmlns:r="http://schemas.openxmlformats.org/officeDocument/2006/relationships">
  <sheetPr codeName="Sheet15">
    <pageSetUpPr fitToPage="1"/>
  </sheetPr>
  <dimension ref="B1:J74"/>
  <sheetViews>
    <sheetView workbookViewId="0"/>
  </sheetViews>
  <sheetFormatPr defaultRowHeight="12.75"/>
  <cols>
    <col min="1" max="1" width="2" customWidth="1"/>
    <col min="2" max="2" width="32.5703125" customWidth="1"/>
    <col min="3" max="3" width="15.28515625" customWidth="1"/>
    <col min="4" max="4" width="10.85546875" bestFit="1" customWidth="1"/>
    <col min="5" max="5" width="9.28515625" bestFit="1" customWidth="1"/>
    <col min="6" max="6" width="9.42578125" bestFit="1" customWidth="1"/>
    <col min="7" max="7" width="9.85546875" customWidth="1"/>
    <col min="8" max="8" width="11.7109375" customWidth="1"/>
    <col min="9" max="9" width="15.140625" customWidth="1"/>
  </cols>
  <sheetData>
    <row r="1" spans="2:9" ht="10.5" customHeight="1"/>
    <row r="2" spans="2:9" ht="15.75">
      <c r="B2" s="1" t="s">
        <v>290</v>
      </c>
    </row>
    <row r="3" spans="2:9" ht="15">
      <c r="B3" s="2" t="s">
        <v>709</v>
      </c>
    </row>
    <row r="4" spans="2:9" ht="15">
      <c r="B4" s="2"/>
    </row>
    <row r="5" spans="2:9" ht="15.75">
      <c r="B5" s="1" t="s">
        <v>495</v>
      </c>
    </row>
    <row r="6" spans="2:9" ht="15.75">
      <c r="B6" s="1"/>
    </row>
    <row r="7" spans="2:9" ht="15.75">
      <c r="B7" s="1" t="s">
        <v>507</v>
      </c>
    </row>
    <row r="10" spans="2:9" ht="15.75">
      <c r="B10" s="1" t="s">
        <v>552</v>
      </c>
    </row>
    <row r="13" spans="2:9">
      <c r="B13" s="3" t="s">
        <v>418</v>
      </c>
    </row>
    <row r="15" spans="2:9">
      <c r="B15" s="142"/>
      <c r="C15" s="143" t="s">
        <v>18</v>
      </c>
      <c r="D15" s="143" t="s">
        <v>349</v>
      </c>
      <c r="E15" s="143" t="s">
        <v>515</v>
      </c>
      <c r="F15" s="143" t="s">
        <v>539</v>
      </c>
      <c r="G15" s="143" t="s">
        <v>540</v>
      </c>
      <c r="H15" s="143" t="s">
        <v>541</v>
      </c>
      <c r="I15" s="143" t="s">
        <v>19</v>
      </c>
    </row>
    <row r="16" spans="2:9">
      <c r="B16" t="s">
        <v>199</v>
      </c>
      <c r="C16" s="69">
        <f>+'Nike Income Statement'!W17/'Nike Income Statement'!W15</f>
        <v>0.42860174160008491</v>
      </c>
      <c r="D16" s="170">
        <v>0.4</v>
      </c>
      <c r="E16" s="170">
        <v>0.4</v>
      </c>
      <c r="F16" s="170">
        <v>0.4</v>
      </c>
      <c r="G16" s="170">
        <v>0.4</v>
      </c>
      <c r="H16" s="170">
        <v>0.4</v>
      </c>
      <c r="I16" s="170">
        <v>0.4</v>
      </c>
    </row>
    <row r="17" spans="2:9">
      <c r="B17" t="s">
        <v>419</v>
      </c>
      <c r="C17" s="69">
        <f>+'Nike Income Statement'!W23/'Nike Income Statement'!W15</f>
        <v>0.30822404126302727</v>
      </c>
      <c r="D17" s="170">
        <v>0.3</v>
      </c>
      <c r="E17" s="170">
        <v>0.3</v>
      </c>
      <c r="F17" s="170">
        <v>0.3</v>
      </c>
      <c r="G17" s="170">
        <v>0.3</v>
      </c>
      <c r="H17" s="170">
        <v>0.3</v>
      </c>
      <c r="I17" s="170">
        <v>0.3</v>
      </c>
    </row>
    <row r="18" spans="2:9">
      <c r="B18" t="s">
        <v>420</v>
      </c>
      <c r="C18" s="70">
        <f>+'Nike Income Statement'!W29/'Nike Income Statement'!W24</f>
        <v>0.34825423728813537</v>
      </c>
      <c r="D18" s="170">
        <v>0.35</v>
      </c>
      <c r="E18" s="170">
        <v>0.35</v>
      </c>
      <c r="F18" s="170">
        <v>0.35</v>
      </c>
      <c r="G18" s="170">
        <v>0.35</v>
      </c>
      <c r="H18" s="170">
        <v>0.35</v>
      </c>
      <c r="I18" s="170">
        <v>0.35</v>
      </c>
    </row>
    <row r="19" spans="2:9">
      <c r="B19" s="7" t="s">
        <v>421</v>
      </c>
      <c r="C19" s="171">
        <f>+'Nike Income Statement'!W15/'Nike Income Statement'!X15-1</f>
        <v>0.14547069271758439</v>
      </c>
      <c r="D19" s="171">
        <v>0.09</v>
      </c>
      <c r="E19" s="171">
        <v>0.09</v>
      </c>
      <c r="F19" s="171">
        <v>0.05</v>
      </c>
      <c r="G19" s="171">
        <v>0.05</v>
      </c>
      <c r="H19" s="171">
        <v>0.05</v>
      </c>
      <c r="I19" s="171">
        <v>0.05</v>
      </c>
    </row>
    <row r="22" spans="2:9">
      <c r="B22" s="3" t="s">
        <v>422</v>
      </c>
    </row>
    <row r="24" spans="2:9">
      <c r="B24" s="142"/>
      <c r="C24" s="143" t="str">
        <f t="shared" ref="C24:I24" si="0">+C15</f>
        <v>2004A</v>
      </c>
      <c r="D24" s="143" t="str">
        <f t="shared" si="0"/>
        <v>2005E</v>
      </c>
      <c r="E24" s="143" t="str">
        <f t="shared" si="0"/>
        <v>2006E</v>
      </c>
      <c r="F24" s="143" t="str">
        <f t="shared" si="0"/>
        <v>2007E</v>
      </c>
      <c r="G24" s="143" t="str">
        <f t="shared" si="0"/>
        <v>2008E</v>
      </c>
      <c r="H24" s="143" t="str">
        <f t="shared" si="0"/>
        <v>2009E</v>
      </c>
      <c r="I24" s="143" t="str">
        <f t="shared" si="0"/>
        <v>2010E and after</v>
      </c>
    </row>
    <row r="25" spans="2:9">
      <c r="B25" t="s">
        <v>423</v>
      </c>
      <c r="C25" s="53">
        <f>+'Nike Income Statement'!W15/(('Nike Balance Sheet'!X18+'Nike Balance Sheet'!Y18)/2)</f>
        <v>5.8291191931685731</v>
      </c>
      <c r="D25">
        <v>5.8</v>
      </c>
      <c r="E25">
        <f t="shared" ref="E25:I28" si="1">+D25</f>
        <v>5.8</v>
      </c>
      <c r="F25">
        <f t="shared" si="1"/>
        <v>5.8</v>
      </c>
      <c r="G25">
        <f t="shared" si="1"/>
        <v>5.8</v>
      </c>
      <c r="H25">
        <f t="shared" si="1"/>
        <v>5.8</v>
      </c>
      <c r="I25">
        <f t="shared" si="1"/>
        <v>5.8</v>
      </c>
    </row>
    <row r="26" spans="2:9">
      <c r="B26" t="s">
        <v>424</v>
      </c>
      <c r="C26" s="53">
        <f>+'Nike Income Statement'!W15/(('Nike Balance Sheet'!X19+'Nike Balance Sheet'!Y19)/2)</f>
        <v>7.7426305645951148</v>
      </c>
      <c r="D26">
        <v>8</v>
      </c>
      <c r="E26">
        <f t="shared" si="1"/>
        <v>8</v>
      </c>
      <c r="F26">
        <f t="shared" si="1"/>
        <v>8</v>
      </c>
      <c r="G26">
        <f t="shared" si="1"/>
        <v>8</v>
      </c>
      <c r="H26">
        <f t="shared" si="1"/>
        <v>8</v>
      </c>
      <c r="I26">
        <f t="shared" si="1"/>
        <v>8</v>
      </c>
    </row>
    <row r="27" spans="2:9">
      <c r="B27" t="s">
        <v>425</v>
      </c>
      <c r="C27" s="53">
        <f>+'Nike Income Statement'!W15/(('Nike Balance Sheet'!X21+'Nike Balance Sheet'!Y21)/2)</f>
        <v>7.5809565055992083</v>
      </c>
      <c r="D27" s="50">
        <v>7</v>
      </c>
      <c r="E27" s="50">
        <v>7</v>
      </c>
      <c r="F27" s="50">
        <v>7</v>
      </c>
      <c r="G27" s="50">
        <v>7</v>
      </c>
      <c r="H27" s="50">
        <v>7</v>
      </c>
      <c r="I27" s="50">
        <v>7</v>
      </c>
    </row>
    <row r="28" spans="2:9">
      <c r="B28" s="7" t="s">
        <v>426</v>
      </c>
      <c r="C28" s="171">
        <f>+C51/C37</f>
        <v>-6.7797904203834108E-2</v>
      </c>
      <c r="D28" s="171">
        <v>-0.06</v>
      </c>
      <c r="E28" s="171">
        <f t="shared" si="1"/>
        <v>-0.06</v>
      </c>
      <c r="F28" s="171">
        <f t="shared" si="1"/>
        <v>-0.06</v>
      </c>
      <c r="G28" s="171">
        <f t="shared" si="1"/>
        <v>-0.06</v>
      </c>
      <c r="H28" s="171">
        <f t="shared" si="1"/>
        <v>-0.06</v>
      </c>
      <c r="I28" s="171">
        <f t="shared" si="1"/>
        <v>-0.06</v>
      </c>
    </row>
    <row r="33" spans="2:9">
      <c r="B33" s="3" t="s">
        <v>427</v>
      </c>
    </row>
    <row r="35" spans="2:9">
      <c r="B35" s="142"/>
      <c r="C35" s="143" t="str">
        <f t="shared" ref="C35:I35" si="2">+C15</f>
        <v>2004A</v>
      </c>
      <c r="D35" s="143" t="str">
        <f t="shared" si="2"/>
        <v>2005E</v>
      </c>
      <c r="E35" s="143" t="str">
        <f t="shared" si="2"/>
        <v>2006E</v>
      </c>
      <c r="F35" s="143" t="str">
        <f t="shared" si="2"/>
        <v>2007E</v>
      </c>
      <c r="G35" s="143" t="str">
        <f t="shared" si="2"/>
        <v>2008E</v>
      </c>
      <c r="H35" s="143" t="str">
        <f t="shared" si="2"/>
        <v>2009E</v>
      </c>
      <c r="I35" s="143" t="str">
        <f t="shared" si="2"/>
        <v>2010E and after</v>
      </c>
    </row>
    <row r="36" spans="2:9">
      <c r="B36" s="15" t="s">
        <v>428</v>
      </c>
    </row>
    <row r="37" spans="2:9">
      <c r="B37" t="s">
        <v>429</v>
      </c>
      <c r="C37" s="65">
        <f>+'Nike Income Statement'!W15</f>
        <v>12253.1</v>
      </c>
      <c r="D37" s="65">
        <f>+C37*(1+D19)</f>
        <v>13355.879000000001</v>
      </c>
      <c r="E37" s="65">
        <f>+D37*(1+E19)</f>
        <v>14557.908110000002</v>
      </c>
      <c r="F37" s="65">
        <f>+E37*(1+F19)</f>
        <v>15285.803515500003</v>
      </c>
      <c r="G37" s="65">
        <f>+F37*(1+G19)</f>
        <v>16050.093691275004</v>
      </c>
      <c r="H37" s="65">
        <f>+G37*(1+H19)</f>
        <v>16852.598375838756</v>
      </c>
    </row>
    <row r="38" spans="2:9">
      <c r="B38" t="s">
        <v>198</v>
      </c>
      <c r="C38" s="65">
        <f>+'Nike Income Statement'!W16</f>
        <v>7001.4</v>
      </c>
      <c r="D38" s="65">
        <f>+D37*(1-D16)</f>
        <v>8013.5273999999999</v>
      </c>
      <c r="E38" s="65">
        <f>+E37*(1-E16)</f>
        <v>8734.7448660000009</v>
      </c>
      <c r="F38" s="65">
        <f>+F37*(1-F16)</f>
        <v>9171.482109300001</v>
      </c>
      <c r="G38" s="65">
        <f>+G37*(1-G16)</f>
        <v>9630.0562147650016</v>
      </c>
      <c r="H38" s="65">
        <f>+H37*(1-H16)</f>
        <v>10111.559025503253</v>
      </c>
    </row>
    <row r="39" spans="2:9">
      <c r="B39" t="s">
        <v>199</v>
      </c>
      <c r="C39" s="65">
        <f>+'Nike Income Statement'!W17</f>
        <v>5251.7000000000007</v>
      </c>
      <c r="D39" s="65">
        <f>+D37-D38</f>
        <v>5342.3516000000009</v>
      </c>
      <c r="E39" s="65">
        <f>+E37-E38</f>
        <v>5823.1632440000012</v>
      </c>
      <c r="F39" s="65">
        <f>+F37-F38</f>
        <v>6114.3214062000025</v>
      </c>
      <c r="G39" s="65">
        <f>+G37-G38</f>
        <v>6420.0374765100023</v>
      </c>
      <c r="H39" s="65">
        <f>+H37-H38</f>
        <v>6741.0393503355026</v>
      </c>
    </row>
    <row r="40" spans="2:9">
      <c r="B40" t="s">
        <v>519</v>
      </c>
      <c r="C40" s="65">
        <f>+'Nike Income Statement'!W23</f>
        <v>3776.7</v>
      </c>
      <c r="D40" s="65">
        <f>+D37*D17</f>
        <v>4006.7637</v>
      </c>
      <c r="E40" s="65">
        <f>+E37*E17</f>
        <v>4367.3724330000005</v>
      </c>
      <c r="F40" s="65">
        <f>+F37*F17</f>
        <v>4585.7410546500005</v>
      </c>
      <c r="G40" s="65">
        <f>+G37*G17</f>
        <v>4815.0281073825008</v>
      </c>
      <c r="H40" s="65">
        <f>+H37*H17</f>
        <v>5055.7795127516265</v>
      </c>
    </row>
    <row r="41" spans="2:9">
      <c r="B41" t="s">
        <v>430</v>
      </c>
      <c r="C41" s="65">
        <f>+'Nike Income Statement'!W24</f>
        <v>1475.0000000000009</v>
      </c>
      <c r="D41" s="65">
        <f>+D39-D40</f>
        <v>1335.5879000000009</v>
      </c>
      <c r="E41" s="65">
        <f>+E39-E40</f>
        <v>1455.7908110000008</v>
      </c>
      <c r="F41" s="65">
        <f>+F39-F40</f>
        <v>1528.580351550002</v>
      </c>
      <c r="G41" s="65">
        <f>+G39-G40</f>
        <v>1605.0093691275015</v>
      </c>
      <c r="H41" s="65">
        <f>+H39-H40</f>
        <v>1685.2598375838761</v>
      </c>
    </row>
    <row r="42" spans="2:9">
      <c r="B42" t="s">
        <v>431</v>
      </c>
      <c r="C42" s="65">
        <f>+'Nike Income Statement'!W29</f>
        <v>513.67499999999995</v>
      </c>
      <c r="D42" s="65">
        <f>+D41*D18</f>
        <v>467.45576500000027</v>
      </c>
      <c r="E42" s="65">
        <f>+E41*E18</f>
        <v>509.52678385000024</v>
      </c>
      <c r="F42" s="65">
        <f>+F41*F18</f>
        <v>535.00312304250065</v>
      </c>
      <c r="G42" s="65">
        <f>+G41*G18</f>
        <v>561.75327919462552</v>
      </c>
      <c r="H42" s="65">
        <f>+H41*H18</f>
        <v>589.84094315435664</v>
      </c>
    </row>
    <row r="43" spans="2:9">
      <c r="B43" t="s">
        <v>432</v>
      </c>
      <c r="C43" s="65">
        <f t="shared" ref="C43:H43" si="3">+C41-C42</f>
        <v>961.32500000000095</v>
      </c>
      <c r="D43" s="65">
        <f t="shared" si="3"/>
        <v>868.13213500000063</v>
      </c>
      <c r="E43" s="65">
        <f t="shared" si="3"/>
        <v>946.26402715000052</v>
      </c>
      <c r="F43" s="65">
        <f t="shared" si="3"/>
        <v>993.57722850750133</v>
      </c>
      <c r="G43" s="65">
        <f t="shared" si="3"/>
        <v>1043.256089932876</v>
      </c>
      <c r="H43" s="65">
        <f t="shared" si="3"/>
        <v>1095.4188944295195</v>
      </c>
    </row>
    <row r="44" spans="2:9">
      <c r="B44" t="s">
        <v>449</v>
      </c>
      <c r="C44" s="65">
        <f>+'Nike Income Statement'!W39</f>
        <v>73.376280323450132</v>
      </c>
      <c r="D44" s="65">
        <v>0</v>
      </c>
      <c r="E44" s="65">
        <v>0</v>
      </c>
      <c r="F44" s="65">
        <v>0</v>
      </c>
      <c r="G44" s="65">
        <v>0</v>
      </c>
      <c r="H44" s="65">
        <v>0</v>
      </c>
    </row>
    <row r="45" spans="2:9">
      <c r="B45" s="7" t="s">
        <v>333</v>
      </c>
      <c r="C45" s="79">
        <f t="shared" ref="C45:H45" si="4">+C43+C44</f>
        <v>1034.7012803234511</v>
      </c>
      <c r="D45" s="79">
        <f t="shared" si="4"/>
        <v>868.13213500000063</v>
      </c>
      <c r="E45" s="79">
        <f t="shared" si="4"/>
        <v>946.26402715000052</v>
      </c>
      <c r="F45" s="79">
        <f t="shared" si="4"/>
        <v>993.57722850750133</v>
      </c>
      <c r="G45" s="79">
        <f t="shared" si="4"/>
        <v>1043.256089932876</v>
      </c>
      <c r="H45" s="79">
        <f t="shared" si="4"/>
        <v>1095.4188944295195</v>
      </c>
    </row>
    <row r="46" spans="2:9">
      <c r="C46" s="65"/>
      <c r="D46" s="91"/>
      <c r="E46" s="91"/>
      <c r="F46" s="91"/>
      <c r="G46" s="91"/>
      <c r="H46" s="65"/>
    </row>
    <row r="47" spans="2:9">
      <c r="B47" s="7" t="s">
        <v>433</v>
      </c>
      <c r="C47" s="65"/>
      <c r="D47" s="65"/>
      <c r="E47" s="65"/>
      <c r="F47" s="65"/>
      <c r="G47" s="65"/>
      <c r="H47" s="65"/>
    </row>
    <row r="48" spans="2:9">
      <c r="B48" t="s">
        <v>434</v>
      </c>
      <c r="C48" s="65">
        <f>+'Nike Balance Sheet'!X18</f>
        <v>2120.1999999999998</v>
      </c>
      <c r="D48" s="65">
        <f>+D37/D25</f>
        <v>2302.7377586206899</v>
      </c>
      <c r="E48" s="65">
        <f>+E37/E25</f>
        <v>2509.9841568965521</v>
      </c>
      <c r="F48" s="65">
        <f>+F37/F25</f>
        <v>2635.4833647413798</v>
      </c>
      <c r="G48" s="65">
        <f>+G37/G25</f>
        <v>2767.257532978449</v>
      </c>
      <c r="H48" s="65">
        <f>+H37/H25</f>
        <v>2905.6204096273718</v>
      </c>
    </row>
    <row r="49" spans="2:10">
      <c r="B49" t="s">
        <v>435</v>
      </c>
      <c r="C49" s="65">
        <f>+'Nike Balance Sheet'!X19</f>
        <v>1650.2</v>
      </c>
      <c r="D49" s="65">
        <f>+D37/D26</f>
        <v>1669.4848750000001</v>
      </c>
      <c r="E49" s="65">
        <f>+E37/E26</f>
        <v>1819.7385137500003</v>
      </c>
      <c r="F49" s="65">
        <f>+F37/F26</f>
        <v>1910.7254394375004</v>
      </c>
      <c r="G49" s="65">
        <f>+G37/G26</f>
        <v>2006.2617114093755</v>
      </c>
      <c r="H49" s="65">
        <f>+H37/H26</f>
        <v>2106.5747969798445</v>
      </c>
    </row>
    <row r="50" spans="2:10">
      <c r="B50" t="s">
        <v>443</v>
      </c>
      <c r="C50" s="65">
        <f>+'Nike Balance Sheet'!X21</f>
        <v>1611.8</v>
      </c>
      <c r="D50" s="65">
        <f>+D37/D27</f>
        <v>1907.9827142857143</v>
      </c>
      <c r="E50" s="65">
        <f>+E37/E27</f>
        <v>2079.701158571429</v>
      </c>
      <c r="F50" s="65">
        <f>+F37/F27</f>
        <v>2183.6862165000007</v>
      </c>
      <c r="G50" s="65">
        <f>+G37/G27</f>
        <v>2292.8705273250007</v>
      </c>
      <c r="H50" s="65">
        <f>+H37/H27</f>
        <v>2407.5140536912509</v>
      </c>
    </row>
    <row r="51" spans="2:10">
      <c r="B51" t="s">
        <v>444</v>
      </c>
      <c r="C51" s="65">
        <f>+C52-C50-C49-C48</f>
        <v>-830.7344999999998</v>
      </c>
      <c r="D51" s="65">
        <f>+D37*D28</f>
        <v>-801.35274000000004</v>
      </c>
      <c r="E51" s="65">
        <f>+E37*E28</f>
        <v>-873.47448660000009</v>
      </c>
      <c r="F51" s="65">
        <f>+F37*F28</f>
        <v>-917.14821093000012</v>
      </c>
      <c r="G51" s="65">
        <f>+G37*G28</f>
        <v>-963.00562147650021</v>
      </c>
      <c r="H51" s="65">
        <f>+H37*H28</f>
        <v>-1011.1559025503253</v>
      </c>
    </row>
    <row r="52" spans="2:10">
      <c r="B52" s="7" t="s">
        <v>336</v>
      </c>
      <c r="C52" s="79">
        <f>+'Nike Balance Sheet'!X32</f>
        <v>4551.4655000000002</v>
      </c>
      <c r="D52" s="79">
        <f>SUM(D48:D51)</f>
        <v>5078.852607906404</v>
      </c>
      <c r="E52" s="79">
        <f>SUM(E48:E51)</f>
        <v>5535.9493426179815</v>
      </c>
      <c r="F52" s="79">
        <f>SUM(F48:F51)</f>
        <v>5812.7468097488809</v>
      </c>
      <c r="G52" s="79">
        <f>SUM(G48:G51)</f>
        <v>6103.3841502363248</v>
      </c>
      <c r="H52" s="79">
        <f>SUM(H48:H51)</f>
        <v>6408.553357748141</v>
      </c>
    </row>
    <row r="53" spans="2:10">
      <c r="B53" s="7"/>
      <c r="C53" s="79"/>
      <c r="D53" s="81"/>
      <c r="E53" s="81"/>
      <c r="F53" s="81"/>
      <c r="G53" s="81"/>
      <c r="H53" s="81"/>
    </row>
    <row r="54" spans="2:10">
      <c r="B54" t="s">
        <v>333</v>
      </c>
      <c r="C54" s="65">
        <f t="shared" ref="C54:H54" si="5">+C45</f>
        <v>1034.7012803234511</v>
      </c>
      <c r="D54" s="65">
        <f t="shared" si="5"/>
        <v>868.13213500000063</v>
      </c>
      <c r="E54" s="65">
        <f t="shared" si="5"/>
        <v>946.26402715000052</v>
      </c>
      <c r="F54" s="65">
        <f t="shared" si="5"/>
        <v>993.57722850750133</v>
      </c>
      <c r="G54" s="65">
        <f t="shared" si="5"/>
        <v>1043.256089932876</v>
      </c>
      <c r="H54" s="65">
        <f t="shared" si="5"/>
        <v>1095.4188944295195</v>
      </c>
    </row>
    <row r="55" spans="2:10">
      <c r="B55" t="s">
        <v>445</v>
      </c>
      <c r="C55" s="65">
        <f>+'Nike Balance Sheet'!X32-'Nike Balance Sheet'!Y32</f>
        <v>221.18050000000039</v>
      </c>
      <c r="D55" s="65">
        <f>+D52-C52</f>
        <v>527.3871079064038</v>
      </c>
      <c r="E55" s="65">
        <f>+E52-D52</f>
        <v>457.09673471157748</v>
      </c>
      <c r="F55" s="65">
        <f>+F52-E52</f>
        <v>276.79746713089935</v>
      </c>
      <c r="G55" s="65">
        <f>+G52-F52</f>
        <v>290.63734048744391</v>
      </c>
      <c r="H55" s="65">
        <f>+H52-G52</f>
        <v>305.16920751181624</v>
      </c>
    </row>
    <row r="56" spans="2:10">
      <c r="B56" s="7" t="s">
        <v>235</v>
      </c>
      <c r="C56" s="79">
        <f t="shared" ref="C56:H56" si="6">+C54-C55</f>
        <v>813.52078032345071</v>
      </c>
      <c r="D56" s="79">
        <f t="shared" si="6"/>
        <v>340.74502709359683</v>
      </c>
      <c r="E56" s="79">
        <f t="shared" si="6"/>
        <v>489.16729243842303</v>
      </c>
      <c r="F56" s="79">
        <f t="shared" si="6"/>
        <v>716.77976137660198</v>
      </c>
      <c r="G56" s="79">
        <f t="shared" si="6"/>
        <v>752.61874944543206</v>
      </c>
      <c r="H56" s="79">
        <f t="shared" si="6"/>
        <v>790.24968691770323</v>
      </c>
      <c r="J56" s="53"/>
    </row>
    <row r="57" spans="2:10">
      <c r="B57" s="7"/>
      <c r="C57" s="7"/>
      <c r="D57" s="7"/>
      <c r="E57" s="7"/>
      <c r="F57" s="7"/>
      <c r="G57" s="7"/>
      <c r="H57" s="7"/>
      <c r="I57" s="7"/>
      <c r="J57" s="51"/>
    </row>
    <row r="58" spans="2:10">
      <c r="B58" t="s">
        <v>215</v>
      </c>
      <c r="C58" s="68">
        <f>+'3. Financial Statement Analysis'!J33</f>
        <v>0.23299489899506884</v>
      </c>
      <c r="D58" s="68">
        <f>+D45/C52</f>
        <v>0.1907368373988555</v>
      </c>
      <c r="E58" s="68">
        <f>+E45/D52</f>
        <v>0.18631452814301455</v>
      </c>
      <c r="F58" s="68">
        <f>+F45/E52</f>
        <v>0.17947729775244531</v>
      </c>
      <c r="G58" s="68">
        <f>+G45/F52</f>
        <v>0.17947729775244523</v>
      </c>
      <c r="H58" s="68">
        <f>+H45/G52</f>
        <v>0.17947729775244517</v>
      </c>
      <c r="I58" s="68">
        <f>+H58</f>
        <v>0.17947729775244517</v>
      </c>
    </row>
    <row r="59" spans="2:10">
      <c r="B59" t="s">
        <v>620</v>
      </c>
      <c r="C59" s="65">
        <f>+(C58-C62)*('Nike Balance Sheet'!X32+'Nike Balance Sheet'!Y32)/2</f>
        <v>653.75125155996329</v>
      </c>
      <c r="D59" s="65">
        <f>+(D58-C62)*C52</f>
        <v>477.69538198807516</v>
      </c>
      <c r="E59" s="65">
        <f>+(E58-C62)*D52</f>
        <v>510.58661264315089</v>
      </c>
      <c r="F59" s="65">
        <f>+(F58-C62)*E52</f>
        <v>518.68884669503507</v>
      </c>
      <c r="G59" s="65">
        <f>+(G58-C62)*F52</f>
        <v>544.62328902978641</v>
      </c>
      <c r="H59" s="65">
        <f>+(H58-C62)*G52</f>
        <v>571.8544534812753</v>
      </c>
      <c r="I59" s="65">
        <f>+H59*(1+I60)</f>
        <v>600.44717615533909</v>
      </c>
      <c r="J59" s="53"/>
    </row>
    <row r="60" spans="2:10">
      <c r="B60" s="7" t="s">
        <v>446</v>
      </c>
      <c r="C60" s="7"/>
      <c r="D60" s="80">
        <f>+D59/C59-1</f>
        <v>-0.26930100577519123</v>
      </c>
      <c r="E60" s="80">
        <f>+E59/D59-1</f>
        <v>6.8853984977181204E-2</v>
      </c>
      <c r="F60" s="80">
        <f>+F59/E59-1</f>
        <v>1.5868481176859239E-2</v>
      </c>
      <c r="G60" s="80">
        <f>+G59/F59-1</f>
        <v>4.9999999999999156E-2</v>
      </c>
      <c r="H60" s="80">
        <f>+H59/G59-1</f>
        <v>4.9999999999999156E-2</v>
      </c>
      <c r="I60" s="80">
        <v>0.05</v>
      </c>
    </row>
    <row r="61" spans="2:10">
      <c r="B61" s="7"/>
      <c r="C61" s="7"/>
      <c r="D61" s="80"/>
      <c r="E61" s="80"/>
      <c r="F61" s="80"/>
      <c r="G61" s="80"/>
      <c r="H61" s="80"/>
      <c r="I61" s="80"/>
    </row>
    <row r="62" spans="2:10">
      <c r="B62" t="s">
        <v>355</v>
      </c>
      <c r="C62" s="51">
        <f>+'4. Valuation - Essentials'!C58</f>
        <v>8.5782645833946319E-2</v>
      </c>
    </row>
    <row r="63" spans="2:10">
      <c r="B63" t="s">
        <v>143</v>
      </c>
      <c r="C63" s="67">
        <f>+D59/(1+C62)+E59/(1+C62)^2+F59/(1+C62)^3+G59/(1+C62)^4+H59/(1+C62)^5</f>
        <v>2049.0533547353007</v>
      </c>
    </row>
    <row r="64" spans="2:10">
      <c r="B64" t="s">
        <v>523</v>
      </c>
      <c r="H64" s="67">
        <f>+I59/(C62-I60)</f>
        <v>16780.401844564167</v>
      </c>
    </row>
    <row r="65" spans="2:9">
      <c r="B65" t="s">
        <v>350</v>
      </c>
      <c r="C65" s="67">
        <f>+H64/(1+C62)^5</f>
        <v>11119.567019466649</v>
      </c>
    </row>
    <row r="66" spans="2:9">
      <c r="B66" t="s">
        <v>542</v>
      </c>
      <c r="C66" s="67">
        <f>+C52</f>
        <v>4551.4655000000002</v>
      </c>
    </row>
    <row r="67" spans="2:9">
      <c r="B67" t="s">
        <v>405</v>
      </c>
      <c r="C67" s="67">
        <f>+C63+C65+C66</f>
        <v>17720.085874201948</v>
      </c>
    </row>
    <row r="68" spans="2:9">
      <c r="B68" t="s">
        <v>529</v>
      </c>
      <c r="C68" s="71">
        <f>'Nike Balance Sheet'!X46</f>
        <v>288.33450000000005</v>
      </c>
      <c r="D68" s="53"/>
    </row>
    <row r="69" spans="2:9">
      <c r="B69" t="s">
        <v>524</v>
      </c>
      <c r="C69" s="71">
        <v>-452</v>
      </c>
      <c r="D69" s="53"/>
      <c r="E69" s="53"/>
      <c r="F69" s="53"/>
      <c r="G69" s="53"/>
    </row>
    <row r="70" spans="2:9">
      <c r="B70" t="s">
        <v>352</v>
      </c>
      <c r="C70" s="67">
        <f>+C67+C68+C69</f>
        <v>17556.420374201949</v>
      </c>
      <c r="D70" s="53"/>
      <c r="E70" s="53"/>
      <c r="F70" s="53"/>
      <c r="G70" s="53"/>
      <c r="H70" s="53"/>
    </row>
    <row r="71" spans="2:9">
      <c r="B71" t="s">
        <v>450</v>
      </c>
      <c r="C71" s="67">
        <v>263.10000000000002</v>
      </c>
      <c r="D71" s="16"/>
      <c r="E71" s="16"/>
      <c r="F71" s="16"/>
      <c r="G71" s="16"/>
      <c r="H71" s="16"/>
      <c r="I71" s="16"/>
    </row>
    <row r="72" spans="2:9">
      <c r="B72" s="35" t="s">
        <v>351</v>
      </c>
      <c r="C72" s="209">
        <f>+C70/C71</f>
        <v>66.729077819087607</v>
      </c>
      <c r="D72" s="7"/>
      <c r="E72" s="7"/>
      <c r="F72" s="7"/>
      <c r="G72" s="7"/>
      <c r="H72" s="7"/>
      <c r="I72" s="7"/>
    </row>
    <row r="74" spans="2:9">
      <c r="B74" s="16" t="s">
        <v>0</v>
      </c>
    </row>
  </sheetData>
  <phoneticPr fontId="0" type="noConversion"/>
  <pageMargins left="0.75" right="0.75" top="1" bottom="1" header="0.5" footer="0.5"/>
  <pageSetup scale="89" orientation="landscape" r:id="rId1"/>
  <headerFooter alignWithMargins="0">
    <oddFooter>&amp;C&amp;8Financial Statement Analysis and Security Valuation: Roadmap&amp;R&amp;8Stephen H. Penman 2003</oddFooter>
  </headerFooter>
  <legacyDrawing r:id="rId2"/>
</worksheet>
</file>

<file path=xl/worksheets/sheet18.xml><?xml version="1.0" encoding="utf-8"?>
<worksheet xmlns="http://schemas.openxmlformats.org/spreadsheetml/2006/main" xmlns:r="http://schemas.openxmlformats.org/officeDocument/2006/relationships">
  <sheetPr codeName="Sheet16"/>
  <dimension ref="A1:J190"/>
  <sheetViews>
    <sheetView workbookViewId="0"/>
  </sheetViews>
  <sheetFormatPr defaultRowHeight="12.75"/>
  <cols>
    <col min="1" max="1" width="2" customWidth="1"/>
    <col min="2" max="2" width="32.5703125" customWidth="1"/>
    <col min="3" max="3" width="11" customWidth="1"/>
    <col min="4" max="4" width="11.7109375" customWidth="1"/>
    <col min="5" max="5" width="12.7109375" customWidth="1"/>
    <col min="6" max="6" width="10.85546875" customWidth="1"/>
    <col min="7" max="8" width="11" customWidth="1"/>
    <col min="9" max="9" width="15.28515625" customWidth="1"/>
    <col min="10" max="10" width="3.7109375" customWidth="1"/>
  </cols>
  <sheetData>
    <row r="1" spans="2:3" ht="10.5" customHeight="1"/>
    <row r="2" spans="2:3" ht="15.75">
      <c r="B2" s="1" t="s">
        <v>290</v>
      </c>
    </row>
    <row r="3" spans="2:3" ht="15">
      <c r="B3" s="2" t="s">
        <v>709</v>
      </c>
    </row>
    <row r="5" spans="2:3" ht="15.75">
      <c r="B5" s="1" t="s">
        <v>495</v>
      </c>
    </row>
    <row r="6" spans="2:3" ht="15.75">
      <c r="B6" s="1"/>
    </row>
    <row r="7" spans="2:3" ht="15.75">
      <c r="B7" s="1" t="s">
        <v>507</v>
      </c>
    </row>
    <row r="9" spans="2:3" ht="15.75">
      <c r="B9" s="1" t="s">
        <v>86</v>
      </c>
    </row>
    <row r="10" spans="2:3" ht="15.75">
      <c r="B10" s="1"/>
    </row>
    <row r="11" spans="2:3">
      <c r="B11" s="3" t="s">
        <v>702</v>
      </c>
    </row>
    <row r="12" spans="2:3">
      <c r="B12" s="57" t="s">
        <v>754</v>
      </c>
      <c r="C12" s="15"/>
    </row>
    <row r="13" spans="2:3">
      <c r="B13" s="5" t="s">
        <v>361</v>
      </c>
      <c r="C13" s="197">
        <f>+'4. Valuation - Essentials'!C49</f>
        <v>4.4999999999999998E-2</v>
      </c>
    </row>
    <row r="14" spans="2:3">
      <c r="B14" s="5" t="s">
        <v>362</v>
      </c>
      <c r="C14" s="227">
        <f>+'4. Valuation - Essentials'!C50</f>
        <v>0.8</v>
      </c>
    </row>
    <row r="15" spans="2:3">
      <c r="B15" s="5" t="s">
        <v>364</v>
      </c>
      <c r="C15" s="197">
        <f>+'4. Valuation - Essentials'!C51</f>
        <v>0.05</v>
      </c>
    </row>
    <row r="16" spans="2:3" ht="15.75">
      <c r="B16" s="14" t="s">
        <v>357</v>
      </c>
      <c r="C16" s="51">
        <f>+(C21*C20-C19*C17)/C18</f>
        <v>8.4643900968532082E-2</v>
      </c>
    </row>
    <row r="17" spans="2:10" ht="15.75">
      <c r="B17" s="14" t="s">
        <v>358</v>
      </c>
      <c r="C17" s="48">
        <f>+'4. Valuation - Essentials'!C53</f>
        <v>3.2000000000000001E-2</v>
      </c>
    </row>
    <row r="18" spans="2:10">
      <c r="B18" t="s">
        <v>693</v>
      </c>
      <c r="C18" s="188">
        <f>+C79</f>
        <v>17692.657017401911</v>
      </c>
    </row>
    <row r="19" spans="2:10">
      <c r="B19" t="s">
        <v>365</v>
      </c>
      <c r="C19" s="62">
        <f>-'Nike Balance Sheet'!X46</f>
        <v>-288.33450000000005</v>
      </c>
    </row>
    <row r="20" spans="2:10">
      <c r="B20" t="s">
        <v>366</v>
      </c>
      <c r="C20" s="62">
        <f>+C18+C19</f>
        <v>17404.32251740191</v>
      </c>
    </row>
    <row r="21" spans="2:10" s="39" customFormat="1" ht="15.75">
      <c r="B21" s="198" t="s">
        <v>359</v>
      </c>
      <c r="C21" s="199">
        <f>+C71</f>
        <v>8.5516043670360004E-2</v>
      </c>
    </row>
    <row r="22" spans="2:10" s="39" customFormat="1">
      <c r="B22" s="3"/>
    </row>
    <row r="23" spans="2:10" s="39" customFormat="1" ht="80.25" customHeight="1">
      <c r="B23" s="389" t="s">
        <v>704</v>
      </c>
      <c r="C23" s="389"/>
      <c r="D23" s="389"/>
      <c r="E23" s="389"/>
      <c r="F23" s="389"/>
      <c r="G23" s="389"/>
      <c r="H23" s="389"/>
      <c r="I23" s="389"/>
      <c r="J23" s="389"/>
    </row>
    <row r="24" spans="2:10" s="39" customFormat="1">
      <c r="B24" s="3"/>
    </row>
    <row r="25" spans="2:10" s="39" customFormat="1" ht="13.5" thickBot="1"/>
    <row r="26" spans="2:10" ht="13.5" thickBot="1">
      <c r="B26" s="195" t="s">
        <v>705</v>
      </c>
      <c r="C26" s="200"/>
      <c r="D26" s="200"/>
      <c r="E26" s="200"/>
      <c r="F26" s="200"/>
      <c r="G26" s="200"/>
      <c r="H26" s="200"/>
      <c r="I26" s="200"/>
      <c r="J26" s="201"/>
    </row>
    <row r="27" spans="2:10">
      <c r="B27" s="178"/>
      <c r="C27" s="16"/>
      <c r="D27" s="16"/>
      <c r="E27" s="16"/>
      <c r="F27" s="16"/>
      <c r="G27" s="16"/>
      <c r="H27" s="16"/>
      <c r="I27" s="16"/>
      <c r="J27" s="173"/>
    </row>
    <row r="28" spans="2:10">
      <c r="B28" s="178" t="s">
        <v>418</v>
      </c>
      <c r="C28" s="16"/>
      <c r="D28" s="16"/>
      <c r="E28" s="16"/>
      <c r="F28" s="16"/>
      <c r="G28" s="16"/>
      <c r="H28" s="16"/>
      <c r="I28" s="16"/>
      <c r="J28" s="173"/>
    </row>
    <row r="29" spans="2:10">
      <c r="B29" s="174"/>
      <c r="C29" s="143" t="s">
        <v>18</v>
      </c>
      <c r="D29" s="143" t="s">
        <v>349</v>
      </c>
      <c r="E29" s="143" t="s">
        <v>515</v>
      </c>
      <c r="F29" s="143" t="s">
        <v>539</v>
      </c>
      <c r="G29" s="143" t="s">
        <v>540</v>
      </c>
      <c r="H29" s="143" t="s">
        <v>541</v>
      </c>
      <c r="I29" s="143" t="s">
        <v>19</v>
      </c>
      <c r="J29" s="173"/>
    </row>
    <row r="30" spans="2:10">
      <c r="B30" s="172" t="s">
        <v>199</v>
      </c>
      <c r="C30" s="175">
        <f>+'Nike Income Statement'!W17/'Nike Income Statement'!W15</f>
        <v>0.42860174160008491</v>
      </c>
      <c r="D30" s="176">
        <f>'Full Forecasting and Valuation'!D16</f>
        <v>0.4</v>
      </c>
      <c r="E30" s="176">
        <f>'Full Forecasting and Valuation'!E16</f>
        <v>0.4</v>
      </c>
      <c r="F30" s="176">
        <f>'Full Forecasting and Valuation'!F16</f>
        <v>0.4</v>
      </c>
      <c r="G30" s="176">
        <f>'Full Forecasting and Valuation'!G16</f>
        <v>0.4</v>
      </c>
      <c r="H30" s="176">
        <f>'Full Forecasting and Valuation'!H16</f>
        <v>0.4</v>
      </c>
      <c r="I30" s="176">
        <f>'Full Forecasting and Valuation'!I16</f>
        <v>0.4</v>
      </c>
      <c r="J30" s="173"/>
    </row>
    <row r="31" spans="2:10">
      <c r="B31" s="172" t="s">
        <v>419</v>
      </c>
      <c r="C31" s="175">
        <f>+'Nike Income Statement'!W23/'Nike Income Statement'!W15</f>
        <v>0.30822404126302727</v>
      </c>
      <c r="D31" s="176">
        <f>'Full Forecasting and Valuation'!D17</f>
        <v>0.3</v>
      </c>
      <c r="E31" s="176">
        <f>'Full Forecasting and Valuation'!E17</f>
        <v>0.3</v>
      </c>
      <c r="F31" s="176">
        <f>'Full Forecasting and Valuation'!F17</f>
        <v>0.3</v>
      </c>
      <c r="G31" s="176">
        <f>'Full Forecasting and Valuation'!G17</f>
        <v>0.3</v>
      </c>
      <c r="H31" s="176">
        <f>'Full Forecasting and Valuation'!H17</f>
        <v>0.3</v>
      </c>
      <c r="I31" s="176">
        <f>'Full Forecasting and Valuation'!I17</f>
        <v>0.3</v>
      </c>
      <c r="J31" s="173"/>
    </row>
    <row r="32" spans="2:10">
      <c r="B32" s="172" t="s">
        <v>420</v>
      </c>
      <c r="C32" s="70">
        <f>+'Nike Income Statement'!W29/'Nike Income Statement'!W24</f>
        <v>0.34825423728813537</v>
      </c>
      <c r="D32" s="176">
        <f>'Full Forecasting and Valuation'!D18</f>
        <v>0.35</v>
      </c>
      <c r="E32" s="176">
        <f>'Full Forecasting and Valuation'!E18</f>
        <v>0.35</v>
      </c>
      <c r="F32" s="176">
        <f>'Full Forecasting and Valuation'!F18</f>
        <v>0.35</v>
      </c>
      <c r="G32" s="176">
        <f>'Full Forecasting and Valuation'!G18</f>
        <v>0.35</v>
      </c>
      <c r="H32" s="176">
        <f>'Full Forecasting and Valuation'!H18</f>
        <v>0.35</v>
      </c>
      <c r="I32" s="176">
        <f>'Full Forecasting and Valuation'!I18</f>
        <v>0.35</v>
      </c>
      <c r="J32" s="173"/>
    </row>
    <row r="33" spans="2:10">
      <c r="B33" s="177" t="s">
        <v>421</v>
      </c>
      <c r="C33" s="171">
        <f>+'Nike Income Statement'!W15/'Nike Income Statement'!X15-1</f>
        <v>0.14547069271758439</v>
      </c>
      <c r="D33" s="171">
        <f>'Full Forecasting and Valuation'!D19</f>
        <v>0.09</v>
      </c>
      <c r="E33" s="171">
        <f>'Full Forecasting and Valuation'!E19</f>
        <v>0.09</v>
      </c>
      <c r="F33" s="171">
        <f>'Full Forecasting and Valuation'!F19</f>
        <v>0.05</v>
      </c>
      <c r="G33" s="171">
        <f>'Full Forecasting and Valuation'!G19</f>
        <v>0.05</v>
      </c>
      <c r="H33" s="171">
        <f>'Full Forecasting and Valuation'!H19</f>
        <v>0.05</v>
      </c>
      <c r="I33" s="171">
        <f>'Full Forecasting and Valuation'!I19</f>
        <v>0.05</v>
      </c>
      <c r="J33" s="173"/>
    </row>
    <row r="34" spans="2:10">
      <c r="B34" s="172"/>
      <c r="C34" s="16"/>
      <c r="D34" s="16"/>
      <c r="E34" s="16"/>
      <c r="F34" s="16"/>
      <c r="G34" s="16"/>
      <c r="H34" s="16"/>
      <c r="I34" s="16"/>
      <c r="J34" s="173"/>
    </row>
    <row r="35" spans="2:10">
      <c r="B35" s="178" t="s">
        <v>422</v>
      </c>
      <c r="C35" s="16"/>
      <c r="D35" s="16"/>
      <c r="E35" s="16"/>
      <c r="F35" s="16"/>
      <c r="G35" s="16"/>
      <c r="H35" s="16"/>
      <c r="I35" s="16"/>
      <c r="J35" s="173"/>
    </row>
    <row r="36" spans="2:10">
      <c r="B36" s="174"/>
      <c r="C36" s="143" t="str">
        <f>+C29</f>
        <v>2004A</v>
      </c>
      <c r="D36" s="143" t="str">
        <f t="shared" ref="D36:I36" si="0">+D29</f>
        <v>2005E</v>
      </c>
      <c r="E36" s="143" t="str">
        <f t="shared" si="0"/>
        <v>2006E</v>
      </c>
      <c r="F36" s="143" t="str">
        <f t="shared" si="0"/>
        <v>2007E</v>
      </c>
      <c r="G36" s="143" t="str">
        <f t="shared" si="0"/>
        <v>2008E</v>
      </c>
      <c r="H36" s="143" t="str">
        <f t="shared" si="0"/>
        <v>2009E</v>
      </c>
      <c r="I36" s="143" t="str">
        <f t="shared" si="0"/>
        <v>2010E and after</v>
      </c>
      <c r="J36" s="173"/>
    </row>
    <row r="37" spans="2:10">
      <c r="B37" s="172" t="s">
        <v>423</v>
      </c>
      <c r="C37" s="58">
        <f>+'Nike Income Statement'!W15/(('Nike Balance Sheet'!X18+'Nike Balance Sheet'!Y18)/2)</f>
        <v>5.8291191931685731</v>
      </c>
      <c r="D37" s="16">
        <f>'Full Forecasting and Valuation'!D25</f>
        <v>5.8</v>
      </c>
      <c r="E37" s="16">
        <f>'Full Forecasting and Valuation'!E25</f>
        <v>5.8</v>
      </c>
      <c r="F37" s="16">
        <f>'Full Forecasting and Valuation'!F25</f>
        <v>5.8</v>
      </c>
      <c r="G37" s="16">
        <f>'Full Forecasting and Valuation'!G25</f>
        <v>5.8</v>
      </c>
      <c r="H37" s="16">
        <f>'Full Forecasting and Valuation'!H25</f>
        <v>5.8</v>
      </c>
      <c r="I37" s="16">
        <f>'Full Forecasting and Valuation'!I25</f>
        <v>5.8</v>
      </c>
      <c r="J37" s="173"/>
    </row>
    <row r="38" spans="2:10">
      <c r="B38" s="172" t="s">
        <v>424</v>
      </c>
      <c r="C38" s="58">
        <f>+'Nike Income Statement'!W15/(('Nike Balance Sheet'!X19+'Nike Balance Sheet'!Y19)/2)</f>
        <v>7.7426305645951148</v>
      </c>
      <c r="D38" s="16">
        <f>'Full Forecasting and Valuation'!D26</f>
        <v>8</v>
      </c>
      <c r="E38" s="16">
        <f>'Full Forecasting and Valuation'!E26</f>
        <v>8</v>
      </c>
      <c r="F38" s="16">
        <f>'Full Forecasting and Valuation'!F26</f>
        <v>8</v>
      </c>
      <c r="G38" s="16">
        <f>'Full Forecasting and Valuation'!G26</f>
        <v>8</v>
      </c>
      <c r="H38" s="16">
        <f>'Full Forecasting and Valuation'!H26</f>
        <v>8</v>
      </c>
      <c r="I38" s="16">
        <f>'Full Forecasting and Valuation'!I26</f>
        <v>8</v>
      </c>
      <c r="J38" s="173"/>
    </row>
    <row r="39" spans="2:10">
      <c r="B39" s="172" t="s">
        <v>425</v>
      </c>
      <c r="C39" s="58">
        <f>+'Nike Income Statement'!W15/(('Nike Balance Sheet'!X21+'Nike Balance Sheet'!Y21)/2)</f>
        <v>7.5809565055992083</v>
      </c>
      <c r="D39" s="16">
        <f>'Full Forecasting and Valuation'!D27</f>
        <v>7</v>
      </c>
      <c r="E39" s="16">
        <f>'Full Forecasting and Valuation'!E27</f>
        <v>7</v>
      </c>
      <c r="F39" s="16">
        <f>'Full Forecasting and Valuation'!F27</f>
        <v>7</v>
      </c>
      <c r="G39" s="16">
        <f>'Full Forecasting and Valuation'!G27</f>
        <v>7</v>
      </c>
      <c r="H39" s="16">
        <f>'Full Forecasting and Valuation'!H27</f>
        <v>7</v>
      </c>
      <c r="I39" s="16">
        <f>'Full Forecasting and Valuation'!I27</f>
        <v>7</v>
      </c>
      <c r="J39" s="173"/>
    </row>
    <row r="40" spans="2:10">
      <c r="B40" s="177" t="s">
        <v>426</v>
      </c>
      <c r="C40" s="171">
        <f>+C60/C46</f>
        <v>-6.7797904203834108E-2</v>
      </c>
      <c r="D40" s="273">
        <f>'Full Forecasting and Valuation'!D28</f>
        <v>-0.06</v>
      </c>
      <c r="E40" s="273">
        <f>'Full Forecasting and Valuation'!E28</f>
        <v>-0.06</v>
      </c>
      <c r="F40" s="273">
        <f>'Full Forecasting and Valuation'!F28</f>
        <v>-0.06</v>
      </c>
      <c r="G40" s="273">
        <f>'Full Forecasting and Valuation'!G28</f>
        <v>-0.06</v>
      </c>
      <c r="H40" s="273">
        <f>'Full Forecasting and Valuation'!H28</f>
        <v>-0.06</v>
      </c>
      <c r="I40" s="273">
        <f>'Full Forecasting and Valuation'!I28</f>
        <v>-0.06</v>
      </c>
      <c r="J40" s="173"/>
    </row>
    <row r="41" spans="2:10">
      <c r="B41" s="172"/>
      <c r="C41" s="16"/>
      <c r="D41" s="16"/>
      <c r="E41" s="16"/>
      <c r="F41" s="16"/>
      <c r="G41" s="16"/>
      <c r="H41" s="16"/>
      <c r="I41" s="16"/>
      <c r="J41" s="173"/>
    </row>
    <row r="42" spans="2:10">
      <c r="B42" s="172"/>
      <c r="C42" s="16"/>
      <c r="D42" s="16"/>
      <c r="E42" s="16"/>
      <c r="F42" s="16"/>
      <c r="G42" s="16"/>
      <c r="H42" s="16"/>
      <c r="I42" s="16"/>
      <c r="J42" s="173"/>
    </row>
    <row r="43" spans="2:10">
      <c r="B43" s="178" t="s">
        <v>427</v>
      </c>
      <c r="C43" s="16"/>
      <c r="D43" s="16"/>
      <c r="E43" s="16"/>
      <c r="F43" s="16"/>
      <c r="G43" s="16"/>
      <c r="H43" s="16"/>
      <c r="I43" s="16"/>
      <c r="J43" s="173"/>
    </row>
    <row r="44" spans="2:10">
      <c r="B44" s="174"/>
      <c r="C44" s="143" t="str">
        <f t="shared" ref="C44:H44" si="1">+C29</f>
        <v>2004A</v>
      </c>
      <c r="D44" s="143" t="str">
        <f t="shared" si="1"/>
        <v>2005E</v>
      </c>
      <c r="E44" s="143" t="str">
        <f t="shared" si="1"/>
        <v>2006E</v>
      </c>
      <c r="F44" s="143" t="str">
        <f t="shared" si="1"/>
        <v>2007E</v>
      </c>
      <c r="G44" s="143" t="str">
        <f t="shared" si="1"/>
        <v>2008E</v>
      </c>
      <c r="H44" s="143" t="str">
        <f t="shared" si="1"/>
        <v>2009E</v>
      </c>
      <c r="I44" s="143" t="str">
        <f>+I29</f>
        <v>2010E and after</v>
      </c>
      <c r="J44" s="173"/>
    </row>
    <row r="45" spans="2:10">
      <c r="B45" s="179" t="s">
        <v>428</v>
      </c>
      <c r="C45" s="16"/>
      <c r="D45" s="16"/>
      <c r="E45" s="16"/>
      <c r="F45" s="16"/>
      <c r="G45" s="16"/>
      <c r="H45" s="16"/>
      <c r="I45" s="16"/>
      <c r="J45" s="173"/>
    </row>
    <row r="46" spans="2:10">
      <c r="B46" s="172" t="s">
        <v>429</v>
      </c>
      <c r="C46" s="65">
        <f>+'Nike Income Statement'!W15</f>
        <v>12253.1</v>
      </c>
      <c r="D46" s="180">
        <f t="shared" ref="D46:I46" si="2">+C46*(1+D33)</f>
        <v>13355.879000000001</v>
      </c>
      <c r="E46" s="180">
        <f t="shared" si="2"/>
        <v>14557.908110000002</v>
      </c>
      <c r="F46" s="180">
        <f t="shared" si="2"/>
        <v>15285.803515500003</v>
      </c>
      <c r="G46" s="180">
        <f t="shared" si="2"/>
        <v>16050.093691275004</v>
      </c>
      <c r="H46" s="180">
        <f t="shared" si="2"/>
        <v>16852.598375838756</v>
      </c>
      <c r="I46" s="180">
        <f t="shared" si="2"/>
        <v>17695.228294630695</v>
      </c>
      <c r="J46" s="173"/>
    </row>
    <row r="47" spans="2:10">
      <c r="B47" s="172" t="s">
        <v>198</v>
      </c>
      <c r="C47" s="65">
        <f>+'Nike Income Statement'!W16</f>
        <v>7001.4</v>
      </c>
      <c r="D47" s="180">
        <f t="shared" ref="D47:I47" si="3">+D46*(1-D30)</f>
        <v>8013.5273999999999</v>
      </c>
      <c r="E47" s="180">
        <f t="shared" si="3"/>
        <v>8734.7448660000009</v>
      </c>
      <c r="F47" s="180">
        <f t="shared" si="3"/>
        <v>9171.482109300001</v>
      </c>
      <c r="G47" s="180">
        <f t="shared" si="3"/>
        <v>9630.0562147650016</v>
      </c>
      <c r="H47" s="180">
        <f t="shared" si="3"/>
        <v>10111.559025503253</v>
      </c>
      <c r="I47" s="180">
        <f t="shared" si="3"/>
        <v>10617.136976778416</v>
      </c>
      <c r="J47" s="173"/>
    </row>
    <row r="48" spans="2:10">
      <c r="B48" s="172" t="s">
        <v>199</v>
      </c>
      <c r="C48" s="65">
        <f>+'Nike Income Statement'!W17</f>
        <v>5251.7000000000007</v>
      </c>
      <c r="D48" s="180">
        <f t="shared" ref="D48:I48" si="4">+D46-D47</f>
        <v>5342.3516000000009</v>
      </c>
      <c r="E48" s="180">
        <f t="shared" si="4"/>
        <v>5823.1632440000012</v>
      </c>
      <c r="F48" s="180">
        <f t="shared" si="4"/>
        <v>6114.3214062000025</v>
      </c>
      <c r="G48" s="180">
        <f t="shared" si="4"/>
        <v>6420.0374765100023</v>
      </c>
      <c r="H48" s="180">
        <f t="shared" si="4"/>
        <v>6741.0393503355026</v>
      </c>
      <c r="I48" s="180">
        <f t="shared" si="4"/>
        <v>7078.0913178522787</v>
      </c>
      <c r="J48" s="173"/>
    </row>
    <row r="49" spans="2:10">
      <c r="B49" s="172" t="s">
        <v>448</v>
      </c>
      <c r="C49" s="65">
        <f>+'Nike Income Statement'!W23</f>
        <v>3776.7</v>
      </c>
      <c r="D49" s="180">
        <f t="shared" ref="D49:I49" si="5">+D46*D31</f>
        <v>4006.7637</v>
      </c>
      <c r="E49" s="180">
        <f t="shared" si="5"/>
        <v>4367.3724330000005</v>
      </c>
      <c r="F49" s="180">
        <f t="shared" si="5"/>
        <v>4585.7410546500005</v>
      </c>
      <c r="G49" s="180">
        <f t="shared" si="5"/>
        <v>4815.0281073825008</v>
      </c>
      <c r="H49" s="180">
        <f t="shared" si="5"/>
        <v>5055.7795127516265</v>
      </c>
      <c r="I49" s="180">
        <f t="shared" si="5"/>
        <v>5308.5684883892081</v>
      </c>
      <c r="J49" s="173"/>
    </row>
    <row r="50" spans="2:10">
      <c r="B50" s="172" t="s">
        <v>430</v>
      </c>
      <c r="C50" s="65">
        <f>+'Nike Income Statement'!W24</f>
        <v>1475.0000000000009</v>
      </c>
      <c r="D50" s="180">
        <f t="shared" ref="D50:I50" si="6">+D48-D49</f>
        <v>1335.5879000000009</v>
      </c>
      <c r="E50" s="180">
        <f t="shared" si="6"/>
        <v>1455.7908110000008</v>
      </c>
      <c r="F50" s="180">
        <f t="shared" si="6"/>
        <v>1528.580351550002</v>
      </c>
      <c r="G50" s="180">
        <f t="shared" si="6"/>
        <v>1605.0093691275015</v>
      </c>
      <c r="H50" s="180">
        <f t="shared" si="6"/>
        <v>1685.2598375838761</v>
      </c>
      <c r="I50" s="180">
        <f t="shared" si="6"/>
        <v>1769.5228294630706</v>
      </c>
      <c r="J50" s="173"/>
    </row>
    <row r="51" spans="2:10">
      <c r="B51" s="172" t="s">
        <v>431</v>
      </c>
      <c r="C51" s="65">
        <f>+'Nike Income Statement'!W29</f>
        <v>513.67499999999995</v>
      </c>
      <c r="D51" s="180">
        <f t="shared" ref="D51:I51" si="7">+D50*D32</f>
        <v>467.45576500000027</v>
      </c>
      <c r="E51" s="180">
        <f t="shared" si="7"/>
        <v>509.52678385000024</v>
      </c>
      <c r="F51" s="180">
        <f t="shared" si="7"/>
        <v>535.00312304250065</v>
      </c>
      <c r="G51" s="180">
        <f t="shared" si="7"/>
        <v>561.75327919462552</v>
      </c>
      <c r="H51" s="180">
        <f t="shared" si="7"/>
        <v>589.84094315435664</v>
      </c>
      <c r="I51" s="180">
        <f t="shared" si="7"/>
        <v>619.33299031207468</v>
      </c>
      <c r="J51" s="173"/>
    </row>
    <row r="52" spans="2:10">
      <c r="B52" s="172" t="s">
        <v>432</v>
      </c>
      <c r="C52" s="65">
        <f>+C50-C51</f>
        <v>961.32500000000095</v>
      </c>
      <c r="D52" s="180">
        <f t="shared" ref="D52:I52" si="8">+D50-D51</f>
        <v>868.13213500000063</v>
      </c>
      <c r="E52" s="180">
        <f t="shared" si="8"/>
        <v>946.26402715000052</v>
      </c>
      <c r="F52" s="180">
        <f t="shared" si="8"/>
        <v>993.57722850750133</v>
      </c>
      <c r="G52" s="180">
        <f t="shared" si="8"/>
        <v>1043.256089932876</v>
      </c>
      <c r="H52" s="180">
        <f t="shared" si="8"/>
        <v>1095.4188944295195</v>
      </c>
      <c r="I52" s="180">
        <f t="shared" si="8"/>
        <v>1150.1898391509958</v>
      </c>
      <c r="J52" s="173"/>
    </row>
    <row r="53" spans="2:10">
      <c r="B53" s="172" t="s">
        <v>449</v>
      </c>
      <c r="C53" s="65">
        <f>+'Nike Income Statement'!W39</f>
        <v>73.376280323450132</v>
      </c>
      <c r="D53" s="180">
        <v>0</v>
      </c>
      <c r="E53" s="180">
        <v>0</v>
      </c>
      <c r="F53" s="180">
        <v>0</v>
      </c>
      <c r="G53" s="180">
        <v>0</v>
      </c>
      <c r="H53" s="180">
        <v>0</v>
      </c>
      <c r="I53" s="180">
        <v>0</v>
      </c>
      <c r="J53" s="173"/>
    </row>
    <row r="54" spans="2:10">
      <c r="B54" s="177" t="s">
        <v>333</v>
      </c>
      <c r="C54" s="79">
        <f>+C52+C53</f>
        <v>1034.7012803234511</v>
      </c>
      <c r="D54" s="79">
        <f t="shared" ref="D54:I54" si="9">+D52+D53</f>
        <v>868.13213500000063</v>
      </c>
      <c r="E54" s="79">
        <f t="shared" si="9"/>
        <v>946.26402715000052</v>
      </c>
      <c r="F54" s="79">
        <f t="shared" si="9"/>
        <v>993.57722850750133</v>
      </c>
      <c r="G54" s="79">
        <f t="shared" si="9"/>
        <v>1043.256089932876</v>
      </c>
      <c r="H54" s="79">
        <f t="shared" si="9"/>
        <v>1095.4188944295195</v>
      </c>
      <c r="I54" s="79">
        <f t="shared" si="9"/>
        <v>1150.1898391509958</v>
      </c>
      <c r="J54" s="173"/>
    </row>
    <row r="55" spans="2:10">
      <c r="B55" s="172"/>
      <c r="C55" s="180"/>
      <c r="D55" s="181"/>
      <c r="E55" s="181"/>
      <c r="F55" s="181"/>
      <c r="G55" s="181"/>
      <c r="H55" s="180"/>
      <c r="I55" s="16"/>
      <c r="J55" s="173"/>
    </row>
    <row r="56" spans="2:10">
      <c r="B56" s="177" t="s">
        <v>433</v>
      </c>
      <c r="C56" s="180"/>
      <c r="D56" s="180"/>
      <c r="E56" s="180"/>
      <c r="F56" s="180"/>
      <c r="G56" s="180"/>
      <c r="H56" s="180"/>
      <c r="I56" s="16"/>
      <c r="J56" s="173"/>
    </row>
    <row r="57" spans="2:10">
      <c r="B57" s="172" t="s">
        <v>434</v>
      </c>
      <c r="C57" s="180">
        <f>+'Nike Balance Sheet'!X18</f>
        <v>2120.1999999999998</v>
      </c>
      <c r="D57" s="180">
        <f t="shared" ref="D57:I57" si="10">+D46/D37</f>
        <v>2302.7377586206899</v>
      </c>
      <c r="E57" s="180">
        <f t="shared" si="10"/>
        <v>2509.9841568965521</v>
      </c>
      <c r="F57" s="180">
        <f t="shared" si="10"/>
        <v>2635.4833647413798</v>
      </c>
      <c r="G57" s="180">
        <f t="shared" si="10"/>
        <v>2767.257532978449</v>
      </c>
      <c r="H57" s="180">
        <f t="shared" si="10"/>
        <v>2905.6204096273718</v>
      </c>
      <c r="I57" s="180">
        <f t="shared" si="10"/>
        <v>3050.9014301087404</v>
      </c>
      <c r="J57" s="173"/>
    </row>
    <row r="58" spans="2:10">
      <c r="B58" s="172" t="s">
        <v>435</v>
      </c>
      <c r="C58" s="180">
        <f>+'Nike Balance Sheet'!X19</f>
        <v>1650.2</v>
      </c>
      <c r="D58" s="180">
        <f t="shared" ref="D58:I58" si="11">+D46/D38</f>
        <v>1669.4848750000001</v>
      </c>
      <c r="E58" s="180">
        <f t="shared" si="11"/>
        <v>1819.7385137500003</v>
      </c>
      <c r="F58" s="180">
        <f t="shared" si="11"/>
        <v>1910.7254394375004</v>
      </c>
      <c r="G58" s="180">
        <f t="shared" si="11"/>
        <v>2006.2617114093755</v>
      </c>
      <c r="H58" s="180">
        <f t="shared" si="11"/>
        <v>2106.5747969798445</v>
      </c>
      <c r="I58" s="180">
        <f t="shared" si="11"/>
        <v>2211.9035368288369</v>
      </c>
      <c r="J58" s="173"/>
    </row>
    <row r="59" spans="2:10">
      <c r="B59" s="172" t="s">
        <v>443</v>
      </c>
      <c r="C59" s="180">
        <f>+'Nike Balance Sheet'!X21</f>
        <v>1611.8</v>
      </c>
      <c r="D59" s="180">
        <f t="shared" ref="D59:I59" si="12">+D46/D39</f>
        <v>1907.9827142857143</v>
      </c>
      <c r="E59" s="180">
        <f t="shared" si="12"/>
        <v>2079.701158571429</v>
      </c>
      <c r="F59" s="180">
        <f t="shared" si="12"/>
        <v>2183.6862165000007</v>
      </c>
      <c r="G59" s="180">
        <f t="shared" si="12"/>
        <v>2292.8705273250007</v>
      </c>
      <c r="H59" s="180">
        <f t="shared" si="12"/>
        <v>2407.5140536912509</v>
      </c>
      <c r="I59" s="180">
        <f t="shared" si="12"/>
        <v>2527.8897563758137</v>
      </c>
      <c r="J59" s="173"/>
    </row>
    <row r="60" spans="2:10">
      <c r="B60" s="172" t="s">
        <v>444</v>
      </c>
      <c r="C60" s="180">
        <f>+C61-C59-C58-C57</f>
        <v>-830.7344999999998</v>
      </c>
      <c r="D60" s="180">
        <f t="shared" ref="D60:I60" si="13">+D46*D40</f>
        <v>-801.35274000000004</v>
      </c>
      <c r="E60" s="180">
        <f t="shared" si="13"/>
        <v>-873.47448660000009</v>
      </c>
      <c r="F60" s="180">
        <f t="shared" si="13"/>
        <v>-917.14821093000012</v>
      </c>
      <c r="G60" s="180">
        <f t="shared" si="13"/>
        <v>-963.00562147650021</v>
      </c>
      <c r="H60" s="180">
        <f t="shared" si="13"/>
        <v>-1011.1559025503253</v>
      </c>
      <c r="I60" s="180">
        <f t="shared" si="13"/>
        <v>-1061.7136976778418</v>
      </c>
      <c r="J60" s="173"/>
    </row>
    <row r="61" spans="2:10">
      <c r="B61" s="177" t="s">
        <v>336</v>
      </c>
      <c r="C61" s="79">
        <f>+'Nike Balance Sheet'!X32</f>
        <v>4551.4655000000002</v>
      </c>
      <c r="D61" s="79">
        <f t="shared" ref="D61:I61" si="14">SUM(D57:D60)</f>
        <v>5078.852607906404</v>
      </c>
      <c r="E61" s="79">
        <f t="shared" si="14"/>
        <v>5535.9493426179815</v>
      </c>
      <c r="F61" s="79">
        <f t="shared" si="14"/>
        <v>5812.7468097488809</v>
      </c>
      <c r="G61" s="79">
        <f t="shared" si="14"/>
        <v>6103.3841502363248</v>
      </c>
      <c r="H61" s="79">
        <f t="shared" si="14"/>
        <v>6408.553357748141</v>
      </c>
      <c r="I61" s="79">
        <f t="shared" si="14"/>
        <v>6728.9810256355495</v>
      </c>
      <c r="J61" s="173"/>
    </row>
    <row r="62" spans="2:10">
      <c r="B62" s="177"/>
      <c r="C62" s="79"/>
      <c r="D62" s="81"/>
      <c r="E62" s="81"/>
      <c r="F62" s="81"/>
      <c r="G62" s="81"/>
      <c r="H62" s="81"/>
      <c r="I62" s="16"/>
      <c r="J62" s="173"/>
    </row>
    <row r="63" spans="2:10">
      <c r="B63" s="172" t="s">
        <v>333</v>
      </c>
      <c r="C63" s="180">
        <f t="shared" ref="C63:H63" si="15">+C54</f>
        <v>1034.7012803234511</v>
      </c>
      <c r="D63" s="180">
        <f t="shared" si="15"/>
        <v>868.13213500000063</v>
      </c>
      <c r="E63" s="180">
        <f t="shared" si="15"/>
        <v>946.26402715000052</v>
      </c>
      <c r="F63" s="180">
        <f t="shared" si="15"/>
        <v>993.57722850750133</v>
      </c>
      <c r="G63" s="180">
        <f t="shared" si="15"/>
        <v>1043.256089932876</v>
      </c>
      <c r="H63" s="180">
        <f t="shared" si="15"/>
        <v>1095.4188944295195</v>
      </c>
      <c r="I63" s="180">
        <f>+I54</f>
        <v>1150.1898391509958</v>
      </c>
      <c r="J63" s="173"/>
    </row>
    <row r="64" spans="2:10">
      <c r="B64" s="172" t="s">
        <v>445</v>
      </c>
      <c r="C64" s="180">
        <f>+'Nike Balance Sheet'!X32-'Nike Balance Sheet'!Y32</f>
        <v>221.18050000000039</v>
      </c>
      <c r="D64" s="180">
        <f t="shared" ref="D64:I64" si="16">+D61-C61</f>
        <v>527.3871079064038</v>
      </c>
      <c r="E64" s="180">
        <f t="shared" si="16"/>
        <v>457.09673471157748</v>
      </c>
      <c r="F64" s="180">
        <f t="shared" si="16"/>
        <v>276.79746713089935</v>
      </c>
      <c r="G64" s="180">
        <f t="shared" si="16"/>
        <v>290.63734048744391</v>
      </c>
      <c r="H64" s="180">
        <f t="shared" si="16"/>
        <v>305.16920751181624</v>
      </c>
      <c r="I64" s="180">
        <f t="shared" si="16"/>
        <v>320.42766788740846</v>
      </c>
      <c r="J64" s="173"/>
    </row>
    <row r="65" spans="1:10">
      <c r="B65" s="177" t="s">
        <v>235</v>
      </c>
      <c r="C65" s="79">
        <f t="shared" ref="C65:I65" si="17">+C63-C64</f>
        <v>813.52078032345071</v>
      </c>
      <c r="D65" s="79">
        <f t="shared" si="17"/>
        <v>340.74502709359683</v>
      </c>
      <c r="E65" s="79">
        <f t="shared" si="17"/>
        <v>489.16729243842303</v>
      </c>
      <c r="F65" s="79">
        <f t="shared" si="17"/>
        <v>716.77976137660198</v>
      </c>
      <c r="G65" s="79">
        <f t="shared" si="17"/>
        <v>752.61874944543206</v>
      </c>
      <c r="H65" s="79">
        <f t="shared" si="17"/>
        <v>790.24968691770323</v>
      </c>
      <c r="I65" s="79">
        <f t="shared" si="17"/>
        <v>829.76217126358733</v>
      </c>
      <c r="J65" s="182"/>
    </row>
    <row r="66" spans="1:10">
      <c r="B66" s="177"/>
      <c r="C66" s="7"/>
      <c r="D66" s="7"/>
      <c r="E66" s="7"/>
      <c r="F66" s="7"/>
      <c r="G66" s="7"/>
      <c r="H66" s="7"/>
      <c r="I66" s="7"/>
      <c r="J66" s="183"/>
    </row>
    <row r="67" spans="1:10">
      <c r="B67" s="172" t="s">
        <v>215</v>
      </c>
      <c r="C67" s="176">
        <f>+'3. Financial Statement Analysis'!J33</f>
        <v>0.23299489899506884</v>
      </c>
      <c r="D67" s="176">
        <f>+D54/C61</f>
        <v>0.1907368373988555</v>
      </c>
      <c r="E67" s="176">
        <f>+E54/D61</f>
        <v>0.18631452814301455</v>
      </c>
      <c r="F67" s="176">
        <f>+F54/E61</f>
        <v>0.17947729775244531</v>
      </c>
      <c r="G67" s="176">
        <f>+G54/F61</f>
        <v>0.17947729775244523</v>
      </c>
      <c r="H67" s="176">
        <f>+H54/G61</f>
        <v>0.17947729775244517</v>
      </c>
      <c r="I67" s="176">
        <f>+H67</f>
        <v>0.17947729775244517</v>
      </c>
      <c r="J67" s="173"/>
    </row>
    <row r="68" spans="1:10">
      <c r="B68" s="172" t="s">
        <v>620</v>
      </c>
      <c r="C68" s="180">
        <f>+(C67-C71)*('Nike Balance Sheet'!X32+'Nike Balance Sheet'!Y32)/2</f>
        <v>654.93519850983023</v>
      </c>
      <c r="D68" s="180">
        <f>+(D67-C71)*C61</f>
        <v>478.90881253786364</v>
      </c>
      <c r="E68" s="180">
        <f>+(E67-C71)*D61</f>
        <v>511.94064573695471</v>
      </c>
      <c r="F68" s="180">
        <f>+(F67-C71)*E61</f>
        <v>520.16474276728127</v>
      </c>
      <c r="G68" s="180">
        <f>+(G67-C71)*F61</f>
        <v>546.17297990564487</v>
      </c>
      <c r="H68" s="180">
        <f>+(H67-C71)*G61</f>
        <v>573.48162890092681</v>
      </c>
      <c r="I68" s="180">
        <f>+H68*(1+I69)</f>
        <v>602.15571034597315</v>
      </c>
      <c r="J68" s="182"/>
    </row>
    <row r="69" spans="1:10">
      <c r="B69" s="177" t="s">
        <v>446</v>
      </c>
      <c r="C69" s="7"/>
      <c r="D69" s="171">
        <f>+D68/C68-1</f>
        <v>-0.26876916429667896</v>
      </c>
      <c r="E69" s="171">
        <f>+E68/D68-1</f>
        <v>6.8973116247426525E-2</v>
      </c>
      <c r="F69" s="171">
        <f>+F68/E68-1</f>
        <v>1.6064551816329598E-2</v>
      </c>
      <c r="G69" s="171">
        <f>+G68/F68-1</f>
        <v>4.9999999999999156E-2</v>
      </c>
      <c r="H69" s="171">
        <f>+H68/G68-1</f>
        <v>4.9999999999999378E-2</v>
      </c>
      <c r="I69" s="171">
        <v>0.05</v>
      </c>
      <c r="J69" s="173"/>
    </row>
    <row r="70" spans="1:10">
      <c r="B70" s="177"/>
      <c r="C70" s="7"/>
      <c r="D70" s="171"/>
      <c r="E70" s="171"/>
      <c r="F70" s="171"/>
      <c r="G70" s="171"/>
      <c r="H70" s="171"/>
      <c r="I70" s="171"/>
      <c r="J70" s="173"/>
    </row>
    <row r="71" spans="1:10">
      <c r="B71" s="172" t="s">
        <v>355</v>
      </c>
      <c r="C71" s="48">
        <v>8.5516043670360004E-2</v>
      </c>
      <c r="D71" s="16"/>
      <c r="E71" s="16"/>
      <c r="F71" s="16"/>
      <c r="G71" s="16"/>
      <c r="H71" s="16"/>
      <c r="I71" s="16"/>
      <c r="J71" s="173"/>
    </row>
    <row r="72" spans="1:10">
      <c r="B72" s="172" t="s">
        <v>20</v>
      </c>
      <c r="C72" s="74">
        <f>+D68/(1+C71)+E68/(1+C71)^2+F68/(1+C71)^3+G68/(1+C71)^4+H68/(1+C71)^5</f>
        <v>2056.1399115502645</v>
      </c>
      <c r="D72" s="16"/>
      <c r="E72" s="16"/>
      <c r="F72" s="16"/>
      <c r="G72" s="16"/>
      <c r="H72" s="16"/>
      <c r="I72" s="16"/>
      <c r="J72" s="173"/>
    </row>
    <row r="73" spans="1:10">
      <c r="A73" s="16"/>
      <c r="B73" s="172" t="s">
        <v>523</v>
      </c>
      <c r="C73" s="16"/>
      <c r="D73" s="16"/>
      <c r="E73" s="16"/>
      <c r="F73" s="16"/>
      <c r="G73" s="16"/>
      <c r="H73" s="74">
        <f>+I68/(C71-I69)</f>
        <v>16954.470377805726</v>
      </c>
      <c r="I73" s="16"/>
      <c r="J73" s="173"/>
    </row>
    <row r="74" spans="1:10">
      <c r="B74" s="172" t="s">
        <v>350</v>
      </c>
      <c r="C74" s="74">
        <f>+H73/(1+C71)^5</f>
        <v>11248.717105851645</v>
      </c>
      <c r="D74" s="16"/>
      <c r="E74" s="16"/>
      <c r="F74" s="16"/>
      <c r="G74" s="16"/>
      <c r="H74" s="16"/>
      <c r="I74" s="16"/>
      <c r="J74" s="173"/>
    </row>
    <row r="75" spans="1:10">
      <c r="B75" s="172" t="s">
        <v>21</v>
      </c>
      <c r="C75" s="74">
        <f>+C61</f>
        <v>4551.4655000000002</v>
      </c>
      <c r="D75" s="16"/>
      <c r="E75" s="16"/>
      <c r="F75" s="16"/>
      <c r="G75" s="16"/>
      <c r="H75" s="16"/>
      <c r="I75" s="16"/>
      <c r="J75" s="173"/>
    </row>
    <row r="76" spans="1:10">
      <c r="B76" s="172" t="s">
        <v>405</v>
      </c>
      <c r="C76" s="74">
        <f>+C72+C74+C75</f>
        <v>17856.32251740191</v>
      </c>
      <c r="D76" s="16"/>
      <c r="E76" s="16"/>
      <c r="F76" s="16"/>
      <c r="G76" s="16"/>
      <c r="H76" s="16"/>
      <c r="I76" s="16"/>
      <c r="J76" s="173"/>
    </row>
    <row r="77" spans="1:10">
      <c r="B77" s="172" t="s">
        <v>529</v>
      </c>
      <c r="C77" s="71">
        <f>'Nike Balance Sheet'!X46</f>
        <v>288.33450000000005</v>
      </c>
      <c r="D77" s="58"/>
      <c r="E77" s="16"/>
      <c r="F77" s="16"/>
      <c r="G77" s="16"/>
      <c r="H77" s="16"/>
      <c r="I77" s="16"/>
      <c r="J77" s="173"/>
    </row>
    <row r="78" spans="1:10">
      <c r="B78" s="172" t="s">
        <v>524</v>
      </c>
      <c r="C78" s="71">
        <v>-452</v>
      </c>
      <c r="D78" s="58"/>
      <c r="E78" s="16"/>
      <c r="F78" s="16"/>
      <c r="G78" s="16"/>
      <c r="H78" s="16"/>
      <c r="I78" s="16"/>
      <c r="J78" s="173"/>
    </row>
    <row r="79" spans="1:10">
      <c r="B79" s="172" t="s">
        <v>352</v>
      </c>
      <c r="C79" s="74">
        <f>+C76+C77+C78</f>
        <v>17692.657017401911</v>
      </c>
      <c r="D79" s="58"/>
      <c r="E79" s="58"/>
      <c r="F79" s="58"/>
      <c r="G79" s="58"/>
      <c r="H79" s="16"/>
      <c r="I79" s="16"/>
      <c r="J79" s="173"/>
    </row>
    <row r="80" spans="1:10">
      <c r="B80" s="172" t="s">
        <v>450</v>
      </c>
      <c r="C80" s="74">
        <v>263.10000000000002</v>
      </c>
      <c r="D80" s="58"/>
      <c r="E80" s="58"/>
      <c r="F80" s="58"/>
      <c r="G80" s="58"/>
      <c r="H80" s="58"/>
      <c r="I80" s="16"/>
      <c r="J80" s="173"/>
    </row>
    <row r="81" spans="2:10">
      <c r="B81" s="184" t="s">
        <v>351</v>
      </c>
      <c r="C81" s="209">
        <f>+C79/C80</f>
        <v>67.246890982143327</v>
      </c>
      <c r="D81" s="7"/>
      <c r="E81" s="7"/>
      <c r="F81" s="7"/>
      <c r="G81" s="7"/>
      <c r="H81" s="7"/>
      <c r="I81" s="7"/>
      <c r="J81" s="173"/>
    </row>
    <row r="82" spans="2:10">
      <c r="B82" s="172"/>
      <c r="C82" s="16"/>
      <c r="D82" s="16"/>
      <c r="E82" s="16"/>
      <c r="F82" s="16"/>
      <c r="G82" s="16"/>
      <c r="H82" s="16"/>
      <c r="I82" s="16"/>
      <c r="J82" s="173"/>
    </row>
    <row r="83" spans="2:10" ht="13.5" thickBot="1">
      <c r="B83" s="185" t="s">
        <v>0</v>
      </c>
      <c r="C83" s="18"/>
      <c r="D83" s="18"/>
      <c r="E83" s="18"/>
      <c r="F83" s="18"/>
      <c r="G83" s="18"/>
      <c r="H83" s="18"/>
      <c r="I83" s="18"/>
      <c r="J83" s="186"/>
    </row>
    <row r="84" spans="2:10" ht="13.5" thickBot="1"/>
    <row r="85" spans="2:10" ht="13.5" thickBot="1">
      <c r="B85" s="195" t="s">
        <v>85</v>
      </c>
      <c r="C85" s="200"/>
      <c r="D85" s="200"/>
      <c r="E85" s="200"/>
      <c r="F85" s="200"/>
      <c r="G85" s="200"/>
      <c r="H85" s="200"/>
      <c r="I85" s="200"/>
      <c r="J85" s="201"/>
    </row>
    <row r="86" spans="2:10">
      <c r="B86" s="172"/>
      <c r="C86" s="16"/>
      <c r="D86" s="16"/>
      <c r="E86" s="16"/>
      <c r="F86" s="16"/>
      <c r="G86" s="16"/>
      <c r="H86" s="16"/>
      <c r="I86" s="16"/>
      <c r="J86" s="173"/>
    </row>
    <row r="87" spans="2:10">
      <c r="B87" s="187"/>
      <c r="C87" s="143" t="str">
        <f>+C44</f>
        <v>2004A</v>
      </c>
      <c r="D87" s="143" t="str">
        <f t="shared" ref="D87:I87" si="18">+D44</f>
        <v>2005E</v>
      </c>
      <c r="E87" s="143" t="str">
        <f t="shared" si="18"/>
        <v>2006E</v>
      </c>
      <c r="F87" s="143" t="str">
        <f t="shared" si="18"/>
        <v>2007E</v>
      </c>
      <c r="G87" s="143" t="str">
        <f t="shared" si="18"/>
        <v>2008E</v>
      </c>
      <c r="H87" s="143" t="str">
        <f t="shared" si="18"/>
        <v>2009E</v>
      </c>
      <c r="I87" s="143" t="str">
        <f t="shared" si="18"/>
        <v>2010E and after</v>
      </c>
      <c r="J87" s="173"/>
    </row>
    <row r="88" spans="2:10">
      <c r="B88" s="172" t="s">
        <v>621</v>
      </c>
      <c r="C88" s="188">
        <f t="shared" ref="C88:H88" si="19">+C63</f>
        <v>1034.7012803234511</v>
      </c>
      <c r="D88" s="188">
        <f t="shared" si="19"/>
        <v>868.13213500000063</v>
      </c>
      <c r="E88" s="188">
        <f t="shared" si="19"/>
        <v>946.26402715000052</v>
      </c>
      <c r="F88" s="188">
        <f t="shared" si="19"/>
        <v>993.57722850750133</v>
      </c>
      <c r="G88" s="188">
        <f t="shared" si="19"/>
        <v>1043.256089932876</v>
      </c>
      <c r="H88" s="188">
        <f t="shared" si="19"/>
        <v>1095.4188944295195</v>
      </c>
      <c r="I88" s="180">
        <f>+I68+I109*H92</f>
        <v>1150.1898391509953</v>
      </c>
      <c r="J88" s="173"/>
    </row>
    <row r="89" spans="2:10">
      <c r="B89" s="172" t="s">
        <v>622</v>
      </c>
      <c r="C89" s="188">
        <f>+'Nike Income Statement'!W49</f>
        <v>15.725</v>
      </c>
      <c r="D89" s="188">
        <f t="shared" ref="D89:I89" si="20">+C93*D108</f>
        <v>-14.416725000000003</v>
      </c>
      <c r="E89" s="188">
        <f t="shared" si="20"/>
        <v>-16.087218801003647</v>
      </c>
      <c r="F89" s="188">
        <f t="shared" si="20"/>
        <v>-17.535068493093981</v>
      </c>
      <c r="G89" s="188">
        <f t="shared" si="20"/>
        <v>-18.411821917748679</v>
      </c>
      <c r="H89" s="188">
        <f t="shared" si="20"/>
        <v>-19.332413013636113</v>
      </c>
      <c r="I89" s="188">
        <f t="shared" si="20"/>
        <v>-20.299033664317921</v>
      </c>
      <c r="J89" s="173"/>
    </row>
    <row r="90" spans="2:10">
      <c r="B90" s="172" t="s">
        <v>623</v>
      </c>
      <c r="C90" s="188">
        <f t="shared" ref="C90:I90" si="21">+C88-C89</f>
        <v>1018.9762803234511</v>
      </c>
      <c r="D90" s="188">
        <f t="shared" si="21"/>
        <v>882.54886000000067</v>
      </c>
      <c r="E90" s="188">
        <f t="shared" si="21"/>
        <v>962.35124595100422</v>
      </c>
      <c r="F90" s="188">
        <f t="shared" si="21"/>
        <v>1011.1122970005953</v>
      </c>
      <c r="G90" s="188">
        <f t="shared" si="21"/>
        <v>1061.6679118506247</v>
      </c>
      <c r="H90" s="188">
        <f t="shared" si="21"/>
        <v>1114.7513074431556</v>
      </c>
      <c r="I90" s="188">
        <f t="shared" si="21"/>
        <v>1170.4888728153132</v>
      </c>
      <c r="J90" s="173"/>
    </row>
    <row r="91" spans="2:10">
      <c r="B91" s="172"/>
      <c r="C91" s="188"/>
      <c r="D91" s="188"/>
      <c r="E91" s="188"/>
      <c r="F91" s="188"/>
      <c r="G91" s="188"/>
      <c r="H91" s="188"/>
      <c r="I91" s="16"/>
      <c r="J91" s="173"/>
    </row>
    <row r="92" spans="2:10">
      <c r="B92" s="172" t="s">
        <v>455</v>
      </c>
      <c r="C92" s="188">
        <f t="shared" ref="C92:I92" si="22">+C61</f>
        <v>4551.4655000000002</v>
      </c>
      <c r="D92" s="188">
        <f t="shared" si="22"/>
        <v>5078.852607906404</v>
      </c>
      <c r="E92" s="188">
        <f t="shared" si="22"/>
        <v>5535.9493426179815</v>
      </c>
      <c r="F92" s="188">
        <f t="shared" si="22"/>
        <v>5812.7468097488809</v>
      </c>
      <c r="G92" s="188">
        <f t="shared" si="22"/>
        <v>6103.3841502363248</v>
      </c>
      <c r="H92" s="188">
        <f t="shared" si="22"/>
        <v>6408.553357748141</v>
      </c>
      <c r="I92" s="188">
        <f t="shared" si="22"/>
        <v>6728.9810256355495</v>
      </c>
      <c r="J92" s="173"/>
    </row>
    <row r="93" spans="2:10">
      <c r="B93" s="172" t="s">
        <v>447</v>
      </c>
      <c r="C93" s="188">
        <f>-'Nike Balance Sheet'!X46</f>
        <v>-288.33450000000005</v>
      </c>
      <c r="D93" s="188">
        <f t="shared" ref="D93:I93" si="23">+C93*(1+D100)</f>
        <v>-321.74437602007293</v>
      </c>
      <c r="E93" s="188">
        <f t="shared" si="23"/>
        <v>-350.70136986187958</v>
      </c>
      <c r="F93" s="188">
        <f t="shared" si="23"/>
        <v>-368.23643835497359</v>
      </c>
      <c r="G93" s="188">
        <f t="shared" si="23"/>
        <v>-386.64826027272227</v>
      </c>
      <c r="H93" s="188">
        <f t="shared" si="23"/>
        <v>-405.98067328635841</v>
      </c>
      <c r="I93" s="188">
        <f t="shared" si="23"/>
        <v>-426.27970695067643</v>
      </c>
      <c r="J93" s="173"/>
    </row>
    <row r="94" spans="2:10">
      <c r="B94" s="172" t="s">
        <v>160</v>
      </c>
      <c r="C94" s="188">
        <f>+C92-C93</f>
        <v>4839.8</v>
      </c>
      <c r="D94" s="188">
        <f t="shared" ref="D94:I94" si="24">+D92-D93</f>
        <v>5400.5969839264772</v>
      </c>
      <c r="E94" s="188">
        <f t="shared" si="24"/>
        <v>5886.6507124798609</v>
      </c>
      <c r="F94" s="188">
        <f t="shared" si="24"/>
        <v>6180.9832481038547</v>
      </c>
      <c r="G94" s="188">
        <f t="shared" si="24"/>
        <v>6490.0324105090467</v>
      </c>
      <c r="H94" s="188">
        <f t="shared" si="24"/>
        <v>6814.5340310344991</v>
      </c>
      <c r="I94" s="188">
        <f t="shared" si="24"/>
        <v>7155.2607325862264</v>
      </c>
      <c r="J94" s="173"/>
    </row>
    <row r="95" spans="2:10">
      <c r="B95" s="172"/>
      <c r="C95" s="188"/>
      <c r="D95" s="188"/>
      <c r="E95" s="188"/>
      <c r="F95" s="188"/>
      <c r="G95" s="188"/>
      <c r="H95" s="188"/>
      <c r="I95" s="188"/>
      <c r="J95" s="173"/>
    </row>
    <row r="96" spans="2:10">
      <c r="B96" s="172" t="s">
        <v>703</v>
      </c>
      <c r="C96" s="189">
        <f>+C93/C92</f>
        <v>-6.3349815570391571E-2</v>
      </c>
      <c r="D96" s="189">
        <f t="shared" ref="D96:I96" si="25">+D93/D92</f>
        <v>-6.3349815570391571E-2</v>
      </c>
      <c r="E96" s="189">
        <f t="shared" si="25"/>
        <v>-6.3349815570391571E-2</v>
      </c>
      <c r="F96" s="189">
        <f t="shared" si="25"/>
        <v>-6.3349815570391571E-2</v>
      </c>
      <c r="G96" s="189">
        <f t="shared" si="25"/>
        <v>-6.3349815570391571E-2</v>
      </c>
      <c r="H96" s="189">
        <f t="shared" si="25"/>
        <v>-6.3349815570391571E-2</v>
      </c>
      <c r="I96" s="189">
        <f t="shared" si="25"/>
        <v>-6.3349815570391585E-2</v>
      </c>
      <c r="J96" s="173"/>
    </row>
    <row r="97" spans="2:10" ht="15.75">
      <c r="B97" s="172" t="s">
        <v>525</v>
      </c>
      <c r="C97" s="274">
        <f>C93/C79</f>
        <v>-1.6296845618857799E-2</v>
      </c>
      <c r="D97" s="274">
        <f t="shared" ref="D97:I98" si="26">C97</f>
        <v>-1.6296845618857799E-2</v>
      </c>
      <c r="E97" s="274">
        <f t="shared" si="26"/>
        <v>-1.6296845618857799E-2</v>
      </c>
      <c r="F97" s="274">
        <f t="shared" si="26"/>
        <v>-1.6296845618857799E-2</v>
      </c>
      <c r="G97" s="274">
        <f t="shared" si="26"/>
        <v>-1.6296845618857799E-2</v>
      </c>
      <c r="H97" s="274">
        <f t="shared" si="26"/>
        <v>-1.6296845618857799E-2</v>
      </c>
      <c r="I97" s="274">
        <f t="shared" si="26"/>
        <v>-1.6296845618857799E-2</v>
      </c>
      <c r="J97" s="173"/>
    </row>
    <row r="98" spans="2:10" ht="15.75">
      <c r="B98" s="172" t="s">
        <v>526</v>
      </c>
      <c r="C98" s="84">
        <f>+C93/C76</f>
        <v>-1.6147473799210513E-2</v>
      </c>
      <c r="D98" s="84">
        <f t="shared" si="26"/>
        <v>-1.6147473799210513E-2</v>
      </c>
      <c r="E98" s="84">
        <f t="shared" si="26"/>
        <v>-1.6147473799210513E-2</v>
      </c>
      <c r="F98" s="84">
        <f t="shared" si="26"/>
        <v>-1.6147473799210513E-2</v>
      </c>
      <c r="G98" s="84">
        <f t="shared" si="26"/>
        <v>-1.6147473799210513E-2</v>
      </c>
      <c r="H98" s="84">
        <f t="shared" si="26"/>
        <v>-1.6147473799210513E-2</v>
      </c>
      <c r="I98" s="84">
        <f t="shared" si="26"/>
        <v>-1.6147473799210513E-2</v>
      </c>
      <c r="J98" s="173"/>
    </row>
    <row r="99" spans="2:10">
      <c r="B99" s="172"/>
      <c r="C99" s="188"/>
      <c r="D99" s="188"/>
      <c r="E99" s="188"/>
      <c r="F99" s="188"/>
      <c r="G99" s="188"/>
      <c r="H99" s="188"/>
      <c r="I99" s="188"/>
      <c r="J99" s="173"/>
    </row>
    <row r="100" spans="2:10">
      <c r="B100" s="172" t="s">
        <v>650</v>
      </c>
      <c r="C100" s="188"/>
      <c r="D100" s="84">
        <f t="shared" ref="D100:I100" si="27">+D92/C92-1</f>
        <v>0.11587193353578185</v>
      </c>
      <c r="E100" s="84">
        <f t="shared" si="27"/>
        <v>9.0000000000000302E-2</v>
      </c>
      <c r="F100" s="84">
        <f t="shared" si="27"/>
        <v>5.0000000000000044E-2</v>
      </c>
      <c r="G100" s="84">
        <f t="shared" si="27"/>
        <v>5.0000000000000044E-2</v>
      </c>
      <c r="H100" s="84">
        <f t="shared" si="27"/>
        <v>5.0000000000000044E-2</v>
      </c>
      <c r="I100" s="84">
        <f t="shared" si="27"/>
        <v>5.0000000000000266E-2</v>
      </c>
      <c r="J100" s="173"/>
    </row>
    <row r="101" spans="2:10">
      <c r="B101" s="172" t="s">
        <v>651</v>
      </c>
      <c r="C101" s="188"/>
      <c r="D101" s="84">
        <f t="shared" ref="D101:I101" si="28">+D93/C93-1</f>
        <v>0.11587193353578185</v>
      </c>
      <c r="E101" s="84">
        <f t="shared" si="28"/>
        <v>9.0000000000000302E-2</v>
      </c>
      <c r="F101" s="84">
        <f t="shared" si="28"/>
        <v>5.0000000000000044E-2</v>
      </c>
      <c r="G101" s="84">
        <f t="shared" si="28"/>
        <v>5.0000000000000044E-2</v>
      </c>
      <c r="H101" s="84">
        <f t="shared" si="28"/>
        <v>5.0000000000000044E-2</v>
      </c>
      <c r="I101" s="84">
        <f t="shared" si="28"/>
        <v>5.0000000000000266E-2</v>
      </c>
      <c r="J101" s="173"/>
    </row>
    <row r="102" spans="2:10">
      <c r="B102" s="172" t="s">
        <v>652</v>
      </c>
      <c r="C102" s="188"/>
      <c r="D102" s="84">
        <f t="shared" ref="D102:I102" si="29">+D94/C94-1</f>
        <v>0.11587193353578185</v>
      </c>
      <c r="E102" s="84">
        <f t="shared" si="29"/>
        <v>9.000000000000008E-2</v>
      </c>
      <c r="F102" s="84">
        <f t="shared" si="29"/>
        <v>5.0000000000000044E-2</v>
      </c>
      <c r="G102" s="84">
        <f t="shared" si="29"/>
        <v>4.9999999999999822E-2</v>
      </c>
      <c r="H102" s="84">
        <f t="shared" si="29"/>
        <v>5.0000000000000044E-2</v>
      </c>
      <c r="I102" s="84">
        <f t="shared" si="29"/>
        <v>5.0000000000000266E-2</v>
      </c>
      <c r="J102" s="173"/>
    </row>
    <row r="103" spans="2:10">
      <c r="B103" s="172"/>
      <c r="C103" s="188"/>
      <c r="D103" s="188"/>
      <c r="E103" s="188"/>
      <c r="F103" s="188"/>
      <c r="G103" s="188"/>
      <c r="H103" s="188"/>
      <c r="I103" s="188"/>
      <c r="J103" s="173"/>
    </row>
    <row r="104" spans="2:10">
      <c r="B104" s="172" t="s">
        <v>215</v>
      </c>
      <c r="C104" s="188"/>
      <c r="D104" s="84">
        <f t="shared" ref="D104:I104" si="30">+D88/C92</f>
        <v>0.1907368373988555</v>
      </c>
      <c r="E104" s="84">
        <f t="shared" si="30"/>
        <v>0.18631452814301455</v>
      </c>
      <c r="F104" s="84">
        <f t="shared" si="30"/>
        <v>0.17947729775244531</v>
      </c>
      <c r="G104" s="84">
        <f t="shared" si="30"/>
        <v>0.17947729775244523</v>
      </c>
      <c r="H104" s="84">
        <f t="shared" si="30"/>
        <v>0.17947729775244517</v>
      </c>
      <c r="I104" s="84">
        <f t="shared" si="30"/>
        <v>0.17947729775244517</v>
      </c>
      <c r="J104" s="173"/>
    </row>
    <row r="105" spans="2:10">
      <c r="B105" s="172" t="s">
        <v>151</v>
      </c>
      <c r="C105" s="188"/>
      <c r="D105" s="84">
        <f t="shared" ref="D105:I105" si="31">+D90/C94</f>
        <v>0.18235234100582681</v>
      </c>
      <c r="E105" s="84">
        <f t="shared" si="31"/>
        <v>0.17819349394431791</v>
      </c>
      <c r="F105" s="84">
        <f t="shared" si="31"/>
        <v>0.17176359637866903</v>
      </c>
      <c r="G105" s="84">
        <f t="shared" si="31"/>
        <v>0.17176359637866895</v>
      </c>
      <c r="H105" s="84">
        <f t="shared" si="31"/>
        <v>0.17176359637866892</v>
      </c>
      <c r="I105" s="84">
        <f t="shared" si="31"/>
        <v>0.17176359637866889</v>
      </c>
      <c r="J105" s="173"/>
    </row>
    <row r="106" spans="2:10">
      <c r="B106" s="172"/>
      <c r="C106" s="188"/>
      <c r="D106" s="84"/>
      <c r="E106" s="84"/>
      <c r="F106" s="84"/>
      <c r="G106" s="84"/>
      <c r="H106" s="84"/>
      <c r="I106" s="84"/>
      <c r="J106" s="173"/>
    </row>
    <row r="107" spans="2:10">
      <c r="B107" s="172"/>
      <c r="C107" s="16"/>
      <c r="D107" s="58"/>
      <c r="E107" s="58"/>
      <c r="F107" s="58"/>
      <c r="G107" s="58"/>
      <c r="H107" s="58"/>
      <c r="I107" s="16"/>
      <c r="J107" s="173"/>
    </row>
    <row r="108" spans="2:10">
      <c r="B108" s="172" t="s">
        <v>217</v>
      </c>
      <c r="C108" s="168">
        <f>+C17</f>
        <v>3.2000000000000001E-2</v>
      </c>
      <c r="D108" s="168">
        <v>0.05</v>
      </c>
      <c r="E108" s="168">
        <f>D108</f>
        <v>0.05</v>
      </c>
      <c r="F108" s="168">
        <f>E108</f>
        <v>0.05</v>
      </c>
      <c r="G108" s="168">
        <f>F108</f>
        <v>0.05</v>
      </c>
      <c r="H108" s="168">
        <f>G108</f>
        <v>0.05</v>
      </c>
      <c r="I108" s="168">
        <f>H108</f>
        <v>0.05</v>
      </c>
      <c r="J108" s="173"/>
    </row>
    <row r="109" spans="2:10">
      <c r="B109" s="172" t="s">
        <v>626</v>
      </c>
      <c r="C109" s="168">
        <f>+C71</f>
        <v>8.5516043670360004E-2</v>
      </c>
      <c r="D109" s="168">
        <f t="shared" ref="D109:I110" si="32">+C109</f>
        <v>8.5516043670360004E-2</v>
      </c>
      <c r="E109" s="168">
        <f t="shared" si="32"/>
        <v>8.5516043670360004E-2</v>
      </c>
      <c r="F109" s="168">
        <f t="shared" si="32"/>
        <v>8.5516043670360004E-2</v>
      </c>
      <c r="G109" s="168">
        <f t="shared" si="32"/>
        <v>8.5516043670360004E-2</v>
      </c>
      <c r="H109" s="168">
        <f t="shared" si="32"/>
        <v>8.5516043670360004E-2</v>
      </c>
      <c r="I109" s="168">
        <f t="shared" si="32"/>
        <v>8.5516043670360004E-2</v>
      </c>
      <c r="J109" s="173"/>
    </row>
    <row r="110" spans="2:10">
      <c r="B110" s="172" t="s">
        <v>627</v>
      </c>
      <c r="C110" s="168">
        <f>+C16</f>
        <v>8.4643900968532082E-2</v>
      </c>
      <c r="D110" s="168">
        <f t="shared" si="32"/>
        <v>8.4643900968532082E-2</v>
      </c>
      <c r="E110" s="168">
        <f t="shared" si="32"/>
        <v>8.4643900968532082E-2</v>
      </c>
      <c r="F110" s="168">
        <f t="shared" si="32"/>
        <v>8.4643900968532082E-2</v>
      </c>
      <c r="G110" s="168">
        <f t="shared" si="32"/>
        <v>8.4643900968532082E-2</v>
      </c>
      <c r="H110" s="168">
        <f t="shared" si="32"/>
        <v>8.4643900968532082E-2</v>
      </c>
      <c r="I110" s="168">
        <f t="shared" si="32"/>
        <v>8.4643900968532082E-2</v>
      </c>
      <c r="J110" s="173"/>
    </row>
    <row r="111" spans="2:10">
      <c r="B111" s="172"/>
      <c r="C111" s="16"/>
      <c r="D111" s="16"/>
      <c r="E111" s="16"/>
      <c r="F111" s="16"/>
      <c r="G111" s="16"/>
      <c r="H111" s="16"/>
      <c r="I111" s="16"/>
      <c r="J111" s="173"/>
    </row>
    <row r="112" spans="2:10">
      <c r="B112" s="172" t="s">
        <v>624</v>
      </c>
      <c r="C112" s="188">
        <f>+'Nike Statement of Cash Flows'!T35</f>
        <v>207.37628032345017</v>
      </c>
      <c r="D112" s="188">
        <f t="shared" ref="D112:I112" si="33">+C94+D90-D94</f>
        <v>321.75187607352382</v>
      </c>
      <c r="E112" s="188">
        <f t="shared" si="33"/>
        <v>476.29751739762014</v>
      </c>
      <c r="F112" s="188">
        <f t="shared" si="33"/>
        <v>716.77976137660153</v>
      </c>
      <c r="G112" s="188">
        <f t="shared" si="33"/>
        <v>752.61874944543251</v>
      </c>
      <c r="H112" s="188">
        <f t="shared" si="33"/>
        <v>790.249686917703</v>
      </c>
      <c r="I112" s="188">
        <f t="shared" si="33"/>
        <v>829.76217126358642</v>
      </c>
      <c r="J112" s="173"/>
    </row>
    <row r="113" spans="2:10">
      <c r="B113" s="172" t="s">
        <v>625</v>
      </c>
      <c r="C113" s="189">
        <f t="shared" ref="C113:I113" si="34">+C112/C90</f>
        <v>0.20351433524794438</v>
      </c>
      <c r="D113" s="175">
        <f t="shared" si="34"/>
        <v>0.36457117634656916</v>
      </c>
      <c r="E113" s="175">
        <f t="shared" si="34"/>
        <v>0.49493105495690259</v>
      </c>
      <c r="F113" s="175">
        <f t="shared" si="34"/>
        <v>0.70890222926067281</v>
      </c>
      <c r="G113" s="175">
        <f t="shared" si="34"/>
        <v>0.70890222926067392</v>
      </c>
      <c r="H113" s="175">
        <f t="shared" si="34"/>
        <v>0.70890222926067314</v>
      </c>
      <c r="I113" s="175">
        <f t="shared" si="34"/>
        <v>0.7089022292606717</v>
      </c>
      <c r="J113" s="173"/>
    </row>
    <row r="114" spans="2:10">
      <c r="B114" s="172"/>
      <c r="C114" s="189"/>
      <c r="D114" s="175"/>
      <c r="E114" s="175"/>
      <c r="F114" s="175"/>
      <c r="G114" s="175"/>
      <c r="H114" s="175"/>
      <c r="I114" s="16"/>
      <c r="J114" s="173"/>
    </row>
    <row r="115" spans="2:10">
      <c r="B115" s="172" t="s">
        <v>637</v>
      </c>
      <c r="C115" s="189"/>
      <c r="D115" s="188">
        <f t="shared" ref="D115:I115" si="35">+D88-(D92-C92)</f>
        <v>340.74502709359683</v>
      </c>
      <c r="E115" s="188">
        <f t="shared" si="35"/>
        <v>489.16729243842303</v>
      </c>
      <c r="F115" s="188">
        <f t="shared" si="35"/>
        <v>716.77976137660198</v>
      </c>
      <c r="G115" s="188">
        <f t="shared" si="35"/>
        <v>752.61874944543206</v>
      </c>
      <c r="H115" s="188">
        <f t="shared" si="35"/>
        <v>790.24968691770323</v>
      </c>
      <c r="I115" s="188">
        <f t="shared" si="35"/>
        <v>829.76217126358688</v>
      </c>
      <c r="J115" s="173"/>
    </row>
    <row r="116" spans="2:10">
      <c r="B116" s="172" t="s">
        <v>641</v>
      </c>
      <c r="C116" s="189"/>
      <c r="D116" s="188">
        <f t="shared" ref="D116:I116" si="36">+D112+D89+C93-D93</f>
        <v>340.74502709359672</v>
      </c>
      <c r="E116" s="188">
        <f t="shared" si="36"/>
        <v>489.16729243842315</v>
      </c>
      <c r="F116" s="188">
        <f t="shared" si="36"/>
        <v>716.77976137660153</v>
      </c>
      <c r="G116" s="188">
        <f t="shared" si="36"/>
        <v>752.61874944543251</v>
      </c>
      <c r="H116" s="188">
        <f t="shared" si="36"/>
        <v>790.249686917703</v>
      </c>
      <c r="I116" s="188">
        <f t="shared" si="36"/>
        <v>829.76217126358654</v>
      </c>
      <c r="J116" s="173"/>
    </row>
    <row r="117" spans="2:10">
      <c r="B117" s="172"/>
      <c r="C117" s="16"/>
      <c r="D117" s="74"/>
      <c r="E117" s="16"/>
      <c r="F117" s="16"/>
      <c r="G117" s="16"/>
      <c r="H117" s="16"/>
      <c r="I117" s="16"/>
      <c r="J117" s="173"/>
    </row>
    <row r="118" spans="2:10">
      <c r="B118" s="172" t="s">
        <v>628</v>
      </c>
      <c r="C118" s="16"/>
      <c r="D118" s="180">
        <f>+D90-C94*D110</f>
        <v>472.88930809249911</v>
      </c>
      <c r="E118" s="180">
        <f>+E90-D94*E110</f>
        <v>505.22364967257846</v>
      </c>
      <c r="F118" s="180">
        <f>+F90-E94*F110</f>
        <v>512.84321705711113</v>
      </c>
      <c r="G118" s="180">
        <f>+G90-F94*G110</f>
        <v>538.48537790996625</v>
      </c>
      <c r="H118" s="180">
        <f>+H90-G94*H110</f>
        <v>565.40964680546426</v>
      </c>
      <c r="I118" s="180">
        <f>+H118*(1+H119)/(C110-H119)</f>
        <v>17136.6420220685</v>
      </c>
      <c r="J118" s="173"/>
    </row>
    <row r="119" spans="2:10">
      <c r="B119" s="172" t="s">
        <v>629</v>
      </c>
      <c r="C119" s="16"/>
      <c r="D119" s="16"/>
      <c r="E119" s="189">
        <f>+E118/D118-1</f>
        <v>6.8376131637458482E-2</v>
      </c>
      <c r="F119" s="189">
        <f>+F118/E118-1</f>
        <v>1.5081573060704345E-2</v>
      </c>
      <c r="G119" s="189">
        <f>+G118/F118-1</f>
        <v>4.9999999999999156E-2</v>
      </c>
      <c r="H119" s="189">
        <f>+H118/G118-1</f>
        <v>4.9999999999999378E-2</v>
      </c>
      <c r="I119" s="189">
        <f>H119</f>
        <v>4.9999999999999378E-2</v>
      </c>
      <c r="J119" s="173"/>
    </row>
    <row r="120" spans="2:10">
      <c r="B120" s="172"/>
      <c r="C120" s="16"/>
      <c r="D120" s="16"/>
      <c r="E120" s="189"/>
      <c r="F120" s="189"/>
      <c r="G120" s="189"/>
      <c r="H120" s="189"/>
      <c r="I120" s="175"/>
      <c r="J120" s="173"/>
    </row>
    <row r="121" spans="2:10">
      <c r="B121" s="172"/>
      <c r="C121" s="16"/>
      <c r="D121" s="16"/>
      <c r="E121" s="189"/>
      <c r="F121" s="189"/>
      <c r="G121" s="189"/>
      <c r="H121" s="189"/>
      <c r="I121" s="175"/>
      <c r="J121" s="173"/>
    </row>
    <row r="122" spans="2:10">
      <c r="B122" s="172"/>
      <c r="C122" s="16"/>
      <c r="D122" s="16"/>
      <c r="E122" s="189"/>
      <c r="F122" s="189"/>
      <c r="G122" s="189"/>
      <c r="H122" s="189"/>
      <c r="I122" s="175"/>
      <c r="J122" s="173"/>
    </row>
    <row r="123" spans="2:10">
      <c r="B123" s="172"/>
      <c r="C123" s="16"/>
      <c r="D123" s="16"/>
      <c r="E123" s="189"/>
      <c r="F123" s="189"/>
      <c r="G123" s="189"/>
      <c r="H123" s="189"/>
      <c r="I123" s="175"/>
      <c r="J123" s="173"/>
    </row>
    <row r="124" spans="2:10">
      <c r="B124" s="204" t="s">
        <v>543</v>
      </c>
      <c r="C124" s="205"/>
      <c r="D124" s="206">
        <v>1</v>
      </c>
      <c r="E124" s="206">
        <v>2</v>
      </c>
      <c r="F124" s="206">
        <v>3</v>
      </c>
      <c r="G124" s="206">
        <v>4</v>
      </c>
      <c r="H124" s="206">
        <v>5</v>
      </c>
      <c r="I124" s="206">
        <v>5</v>
      </c>
      <c r="J124" s="173"/>
    </row>
    <row r="125" spans="2:10">
      <c r="B125" s="172"/>
      <c r="C125" s="16"/>
      <c r="D125" s="16"/>
      <c r="E125" s="189"/>
      <c r="F125" s="189"/>
      <c r="G125" s="189"/>
      <c r="H125" s="189"/>
      <c r="I125" s="175"/>
      <c r="J125" s="173"/>
    </row>
    <row r="126" spans="2:10" ht="13.5" thickBot="1">
      <c r="B126" s="191" t="s">
        <v>645</v>
      </c>
      <c r="C126" s="192"/>
      <c r="D126" s="192"/>
      <c r="E126" s="207"/>
      <c r="F126" s="207"/>
      <c r="G126" s="207"/>
      <c r="H126" s="207"/>
      <c r="I126" s="192"/>
      <c r="J126" s="173"/>
    </row>
    <row r="127" spans="2:10">
      <c r="B127" s="172" t="s">
        <v>642</v>
      </c>
      <c r="C127" s="180">
        <f>+SUM(D127:I127)</f>
        <v>13448.411472990307</v>
      </c>
      <c r="D127" s="188">
        <f t="shared" ref="D127:I127" si="37">+D118/(1+D110)^D124</f>
        <v>435.98577161613406</v>
      </c>
      <c r="E127" s="188">
        <f t="shared" si="37"/>
        <v>429.44674442209532</v>
      </c>
      <c r="F127" s="188">
        <f t="shared" si="37"/>
        <v>401.90469561901489</v>
      </c>
      <c r="G127" s="188">
        <f t="shared" si="37"/>
        <v>389.06772077281835</v>
      </c>
      <c r="H127" s="188">
        <f t="shared" si="37"/>
        <v>376.64076333870537</v>
      </c>
      <c r="I127" s="188">
        <f t="shared" si="37"/>
        <v>11415.365777221539</v>
      </c>
      <c r="J127" s="173"/>
    </row>
    <row r="128" spans="2:10">
      <c r="B128" s="172" t="s">
        <v>639</v>
      </c>
      <c r="C128" s="180">
        <f>+C127+C94</f>
        <v>18288.211472990308</v>
      </c>
      <c r="D128" s="16"/>
      <c r="E128" s="189"/>
      <c r="F128" s="189"/>
      <c r="G128" s="189"/>
      <c r="H128" s="189"/>
      <c r="I128" s="16"/>
      <c r="J128" s="173"/>
    </row>
    <row r="129" spans="2:10">
      <c r="B129" s="172" t="s">
        <v>524</v>
      </c>
      <c r="C129" s="71">
        <v>-452</v>
      </c>
      <c r="D129" s="16"/>
      <c r="E129" s="189"/>
      <c r="F129" s="189"/>
      <c r="G129" s="189"/>
      <c r="H129" s="189"/>
      <c r="I129" s="16"/>
      <c r="J129" s="173"/>
    </row>
    <row r="130" spans="2:10">
      <c r="B130" s="172" t="s">
        <v>527</v>
      </c>
      <c r="C130" s="71">
        <f>SUM(C128:C129)</f>
        <v>17836.211472990308</v>
      </c>
      <c r="D130" s="16"/>
      <c r="E130" s="189"/>
      <c r="F130" s="189"/>
      <c r="G130" s="189"/>
      <c r="H130" s="189"/>
      <c r="I130" s="16"/>
      <c r="J130" s="173"/>
    </row>
    <row r="131" spans="2:10">
      <c r="B131" s="172" t="s">
        <v>647</v>
      </c>
      <c r="C131" s="180">
        <f>+C80</f>
        <v>263.10000000000002</v>
      </c>
      <c r="D131" s="16"/>
      <c r="E131" s="189"/>
      <c r="F131" s="189"/>
      <c r="G131" s="189"/>
      <c r="H131" s="189"/>
      <c r="I131" s="16"/>
      <c r="J131" s="173"/>
    </row>
    <row r="132" spans="2:10">
      <c r="B132" s="172" t="s">
        <v>648</v>
      </c>
      <c r="C132" s="202">
        <f>+C130/C131</f>
        <v>67.792517951312448</v>
      </c>
      <c r="D132" s="16"/>
      <c r="E132" s="189"/>
      <c r="F132" s="189"/>
      <c r="G132" s="189"/>
      <c r="H132" s="189"/>
      <c r="I132" s="16"/>
      <c r="J132" s="173"/>
    </row>
    <row r="133" spans="2:10">
      <c r="B133" s="172"/>
      <c r="C133" s="180"/>
      <c r="D133" s="16"/>
      <c r="E133" s="189"/>
      <c r="F133" s="189"/>
      <c r="G133" s="189"/>
      <c r="H133" s="189"/>
      <c r="I133" s="16"/>
      <c r="J133" s="173"/>
    </row>
    <row r="134" spans="2:10" ht="13.5" thickBot="1">
      <c r="B134" s="191" t="s">
        <v>646</v>
      </c>
      <c r="C134" s="208"/>
      <c r="D134" s="192"/>
      <c r="E134" s="207"/>
      <c r="F134" s="207"/>
      <c r="G134" s="207"/>
      <c r="H134" s="207"/>
      <c r="I134" s="192"/>
      <c r="J134" s="173"/>
    </row>
    <row r="135" spans="2:10">
      <c r="B135" s="172" t="s">
        <v>643</v>
      </c>
      <c r="C135" s="180">
        <f>+SUM(D135:I135)</f>
        <v>13304.85701740191</v>
      </c>
      <c r="D135" s="188">
        <f>+D68/(1+D109)^D124</f>
        <v>441.18077787092983</v>
      </c>
      <c r="E135" s="188">
        <f>+E68/(1+E109)^E124</f>
        <v>434.45731981494885</v>
      </c>
      <c r="F135" s="188">
        <f>+F68/(1+F109)^F124</f>
        <v>406.66067030065142</v>
      </c>
      <c r="G135" s="188">
        <f>+G68/(1+G109)^G124</f>
        <v>393.35549788092248</v>
      </c>
      <c r="H135" s="188">
        <f>+H68/(1+H109)^H124</f>
        <v>380.48564568281199</v>
      </c>
      <c r="I135" s="188">
        <f>+I68/(((1+I109)^I124)*(I109-I69))</f>
        <v>11248.717105851645</v>
      </c>
      <c r="J135" s="173"/>
    </row>
    <row r="136" spans="2:10">
      <c r="B136" s="172" t="s">
        <v>644</v>
      </c>
      <c r="C136" s="188">
        <f>+C135+C92</f>
        <v>17856.32251740191</v>
      </c>
      <c r="D136" s="16"/>
      <c r="E136" s="189"/>
      <c r="F136" s="189"/>
      <c r="G136" s="189"/>
      <c r="H136" s="189"/>
      <c r="I136" s="16"/>
      <c r="J136" s="173"/>
    </row>
    <row r="137" spans="2:10">
      <c r="B137" s="172" t="s">
        <v>529</v>
      </c>
      <c r="C137" s="71">
        <f>'Nike Balance Sheet'!X46</f>
        <v>288.33450000000005</v>
      </c>
      <c r="D137" s="58"/>
      <c r="E137" s="16"/>
      <c r="F137" s="16"/>
      <c r="G137" s="16"/>
      <c r="H137" s="16"/>
      <c r="I137" s="16"/>
      <c r="J137" s="173"/>
    </row>
    <row r="138" spans="2:10">
      <c r="B138" s="172" t="s">
        <v>524</v>
      </c>
      <c r="C138" s="71">
        <v>-452</v>
      </c>
      <c r="D138" s="16"/>
      <c r="E138" s="189"/>
      <c r="F138" s="189"/>
      <c r="G138" s="189"/>
      <c r="H138" s="189"/>
      <c r="I138" s="16"/>
      <c r="J138" s="173"/>
    </row>
    <row r="139" spans="2:10">
      <c r="B139" s="172" t="s">
        <v>639</v>
      </c>
      <c r="C139" s="180">
        <f>+C136+C137+C138</f>
        <v>17692.657017401911</v>
      </c>
      <c r="D139" s="16"/>
      <c r="E139" s="16"/>
      <c r="F139" s="16"/>
      <c r="G139" s="16"/>
      <c r="H139" s="16"/>
      <c r="I139" s="16"/>
      <c r="J139" s="173"/>
    </row>
    <row r="140" spans="2:10">
      <c r="B140" s="172" t="s">
        <v>647</v>
      </c>
      <c r="C140" s="180">
        <f>+C131</f>
        <v>263.10000000000002</v>
      </c>
      <c r="D140" s="16"/>
      <c r="E140" s="16"/>
      <c r="F140" s="16"/>
      <c r="G140" s="16"/>
      <c r="H140" s="16"/>
      <c r="I140" s="16"/>
      <c r="J140" s="173"/>
    </row>
    <row r="141" spans="2:10">
      <c r="B141" s="172" t="s">
        <v>648</v>
      </c>
      <c r="C141" s="202">
        <f>+C139/C140</f>
        <v>67.246890982143327</v>
      </c>
      <c r="D141" s="16"/>
      <c r="E141" s="16"/>
      <c r="F141" s="16"/>
      <c r="G141" s="16"/>
      <c r="H141" s="16"/>
      <c r="I141" s="16"/>
      <c r="J141" s="173"/>
    </row>
    <row r="142" spans="2:10">
      <c r="B142" s="172"/>
      <c r="C142" s="58"/>
      <c r="D142" s="16"/>
      <c r="E142" s="16"/>
      <c r="F142" s="16"/>
      <c r="G142" s="16"/>
      <c r="H142" s="16"/>
      <c r="I142" s="16"/>
      <c r="J142" s="173"/>
    </row>
    <row r="143" spans="2:10" ht="13.5" thickBot="1">
      <c r="B143" s="191" t="s">
        <v>649</v>
      </c>
      <c r="C143" s="192"/>
      <c r="D143" s="192"/>
      <c r="E143" s="192"/>
      <c r="F143" s="192"/>
      <c r="G143" s="192"/>
      <c r="H143" s="192"/>
      <c r="I143" s="192"/>
      <c r="J143" s="173"/>
    </row>
    <row r="144" spans="2:10">
      <c r="B144" s="172" t="s">
        <v>630</v>
      </c>
      <c r="C144" s="16"/>
      <c r="D144" s="180">
        <f t="shared" ref="D144:I144" si="38">+D90+C112*D110</f>
        <v>900.10199733492129</v>
      </c>
      <c r="E144" s="180">
        <f t="shared" si="38"/>
        <v>989.58557988581094</v>
      </c>
      <c r="F144" s="180">
        <f t="shared" si="38"/>
        <v>1051.4279768947572</v>
      </c>
      <c r="G144" s="180">
        <f t="shared" si="38"/>
        <v>1122.3389469888339</v>
      </c>
      <c r="H144" s="180">
        <f t="shared" si="38"/>
        <v>1178.4558943382754</v>
      </c>
      <c r="I144" s="180">
        <f t="shared" si="38"/>
        <v>1237.3786890551887</v>
      </c>
      <c r="J144" s="173"/>
    </row>
    <row r="145" spans="2:10">
      <c r="B145" s="172" t="s">
        <v>632</v>
      </c>
      <c r="C145" s="16"/>
      <c r="D145" s="189">
        <f t="shared" ref="D145:I145" si="39">+D90/C90-1</f>
        <v>-0.13388674786438071</v>
      </c>
      <c r="E145" s="189">
        <f t="shared" si="39"/>
        <v>9.0422626517248528E-2</v>
      </c>
      <c r="F145" s="189">
        <f t="shared" si="39"/>
        <v>5.0668663084033172E-2</v>
      </c>
      <c r="G145" s="189">
        <f t="shared" si="39"/>
        <v>4.99999999999996E-2</v>
      </c>
      <c r="H145" s="189">
        <f t="shared" si="39"/>
        <v>4.99999999999996E-2</v>
      </c>
      <c r="I145" s="189">
        <f t="shared" si="39"/>
        <v>4.9999999999999822E-2</v>
      </c>
      <c r="J145" s="173"/>
    </row>
    <row r="146" spans="2:10">
      <c r="B146" s="172" t="s">
        <v>633</v>
      </c>
      <c r="C146" s="16"/>
      <c r="D146" s="189">
        <f t="shared" ref="D146:I146" si="40">+D144/C90-1</f>
        <v>-0.1166605006259771</v>
      </c>
      <c r="E146" s="189">
        <f t="shared" si="40"/>
        <v>0.12128135306390875</v>
      </c>
      <c r="F146" s="189">
        <f t="shared" si="40"/>
        <v>9.2561558286056611E-2</v>
      </c>
      <c r="G146" s="189">
        <f t="shared" si="40"/>
        <v>0.11000425008991166</v>
      </c>
      <c r="H146" s="189">
        <f t="shared" si="40"/>
        <v>0.11000425008991188</v>
      </c>
      <c r="I146" s="189">
        <f t="shared" si="40"/>
        <v>0.11000425008991188</v>
      </c>
      <c r="J146" s="173"/>
    </row>
    <row r="147" spans="2:10">
      <c r="B147" s="172"/>
      <c r="C147" s="16"/>
      <c r="D147" s="16"/>
      <c r="E147" s="16"/>
      <c r="F147" s="16"/>
      <c r="G147" s="16"/>
      <c r="H147" s="16"/>
      <c r="I147" s="16"/>
      <c r="J147" s="173"/>
    </row>
    <row r="148" spans="2:10">
      <c r="B148" s="172" t="s">
        <v>634</v>
      </c>
      <c r="C148" s="16"/>
      <c r="D148" s="188">
        <f t="shared" ref="D148:I148" si="41">+C90*(1+D110)</f>
        <v>1105.2264076844324</v>
      </c>
      <c r="E148" s="188">
        <f t="shared" si="41"/>
        <v>957.25123830573159</v>
      </c>
      <c r="F148" s="188">
        <f t="shared" si="41"/>
        <v>1043.8084095102245</v>
      </c>
      <c r="G148" s="188">
        <f t="shared" si="41"/>
        <v>1096.6967861359785</v>
      </c>
      <c r="H148" s="188">
        <f t="shared" si="41"/>
        <v>1151.5316254427771</v>
      </c>
      <c r="I148" s="188">
        <f t="shared" si="41"/>
        <v>1209.1082067149157</v>
      </c>
      <c r="J148" s="173"/>
    </row>
    <row r="149" spans="2:10">
      <c r="B149" s="172" t="s">
        <v>635</v>
      </c>
      <c r="C149" s="16"/>
      <c r="D149" s="180"/>
      <c r="E149" s="180">
        <f>+E144-E148</f>
        <v>32.334341580079354</v>
      </c>
      <c r="F149" s="180">
        <f>+F144-F148</f>
        <v>7.6195673845327292</v>
      </c>
      <c r="G149" s="180">
        <f>+G144-G148</f>
        <v>25.642160852855341</v>
      </c>
      <c r="H149" s="180">
        <f>+H144-H148</f>
        <v>26.924268895498244</v>
      </c>
      <c r="I149" s="180">
        <f>+I144-I148</f>
        <v>28.27048234027302</v>
      </c>
      <c r="J149" s="173"/>
    </row>
    <row r="150" spans="2:10">
      <c r="B150" s="172" t="s">
        <v>636</v>
      </c>
      <c r="C150" s="16"/>
      <c r="D150" s="16"/>
      <c r="E150" s="189"/>
      <c r="F150" s="189">
        <f>+F149/E149-1</f>
        <v>-0.76435062499534501</v>
      </c>
      <c r="G150" s="189">
        <f>+G149/F149-1</f>
        <v>2.3653040335213005</v>
      </c>
      <c r="H150" s="189">
        <f>+H149/G149-1</f>
        <v>5.0000000000005373E-2</v>
      </c>
      <c r="I150" s="189">
        <f>+I149/H149-1</f>
        <v>4.9999999999994937E-2</v>
      </c>
      <c r="J150" s="173"/>
    </row>
    <row r="151" spans="2:10">
      <c r="B151" s="172"/>
      <c r="C151" s="16"/>
      <c r="D151" s="16"/>
      <c r="E151" s="189"/>
      <c r="F151" s="189"/>
      <c r="G151" s="189"/>
      <c r="H151" s="189"/>
      <c r="I151" s="16"/>
      <c r="J151" s="173"/>
    </row>
    <row r="152" spans="2:10">
      <c r="B152" s="172" t="s">
        <v>638</v>
      </c>
      <c r="C152" s="180">
        <f>SUM(D152:I152)</f>
        <v>665.43670081129119</v>
      </c>
      <c r="D152" s="180">
        <f>+D149/((1+D110)^D124)</f>
        <v>0</v>
      </c>
      <c r="E152" s="180">
        <f>+E149/((1+E110)^(E124-1))</f>
        <v>29.811020512083665</v>
      </c>
      <c r="F152" s="180">
        <f>+F149/((1+F110)^(F124-1))</f>
        <v>6.4767324516834917</v>
      </c>
      <c r="G152" s="180">
        <f>+G149/((1+G110)^(G124-1))</f>
        <v>20.095234780950577</v>
      </c>
      <c r="H152" s="180">
        <f>+H149/((1+H110)^(H124-1))</f>
        <v>19.453386038640868</v>
      </c>
      <c r="I152" s="180">
        <f>+I149/((I110-I150)*(1+I110)^(I124-1))</f>
        <v>589.60032702793262</v>
      </c>
      <c r="J152" s="173"/>
    </row>
    <row r="153" spans="2:10">
      <c r="B153" s="172" t="s">
        <v>639</v>
      </c>
      <c r="C153" s="188">
        <f>D90/C110+C152/C110</f>
        <v>18288.211472989457</v>
      </c>
      <c r="D153" s="16"/>
      <c r="E153" s="16"/>
      <c r="F153" s="16"/>
      <c r="G153" s="16"/>
      <c r="H153" s="16"/>
      <c r="I153" s="16"/>
      <c r="J153" s="173"/>
    </row>
    <row r="154" spans="2:10">
      <c r="B154" s="172" t="s">
        <v>524</v>
      </c>
      <c r="C154" s="71">
        <v>-452</v>
      </c>
      <c r="D154" s="16"/>
      <c r="E154" s="189"/>
      <c r="F154" s="189"/>
      <c r="G154" s="189"/>
      <c r="H154" s="189"/>
      <c r="I154" s="16"/>
      <c r="J154" s="173"/>
    </row>
    <row r="155" spans="2:10">
      <c r="B155" s="172" t="s">
        <v>527</v>
      </c>
      <c r="C155" s="71">
        <f>SUM(C153:C154)</f>
        <v>17836.211472989457</v>
      </c>
      <c r="D155" s="16"/>
      <c r="E155" s="189"/>
      <c r="F155" s="189"/>
      <c r="G155" s="189"/>
      <c r="H155" s="189"/>
      <c r="I155" s="16"/>
      <c r="J155" s="173"/>
    </row>
    <row r="156" spans="2:10">
      <c r="B156" s="172" t="s">
        <v>450</v>
      </c>
      <c r="C156" s="188">
        <f>+C80</f>
        <v>263.10000000000002</v>
      </c>
      <c r="D156" s="16"/>
      <c r="E156" s="16"/>
      <c r="F156" s="16"/>
      <c r="G156" s="16"/>
      <c r="H156" s="16"/>
      <c r="I156" s="16"/>
      <c r="J156" s="173"/>
    </row>
    <row r="157" spans="2:10" ht="13.5" thickBot="1">
      <c r="B157" s="190" t="s">
        <v>351</v>
      </c>
      <c r="C157" s="203">
        <f>+C155/C156</f>
        <v>67.792517951309222</v>
      </c>
      <c r="D157" s="18"/>
      <c r="E157" s="18"/>
      <c r="F157" s="18"/>
      <c r="G157" s="18"/>
      <c r="H157" s="18"/>
      <c r="I157" s="18"/>
      <c r="J157" s="186"/>
    </row>
    <row r="159" spans="2:10" ht="120.75" customHeight="1">
      <c r="B159" s="368" t="s">
        <v>84</v>
      </c>
      <c r="C159" s="368"/>
      <c r="D159" s="368"/>
      <c r="E159" s="368"/>
      <c r="F159" s="368"/>
      <c r="G159" s="368"/>
      <c r="H159" s="368"/>
      <c r="I159" s="368"/>
      <c r="J159" s="368"/>
    </row>
    <row r="161" spans="2:10">
      <c r="B161" s="196"/>
      <c r="C161" s="16"/>
      <c r="D161" s="16"/>
      <c r="E161" s="16"/>
    </row>
    <row r="162" spans="2:10" ht="13.5" thickBot="1">
      <c r="C162" s="16"/>
      <c r="D162" s="16"/>
      <c r="E162" s="16"/>
    </row>
    <row r="163" spans="2:10" ht="13.5" thickBot="1">
      <c r="B163" s="195" t="s">
        <v>528</v>
      </c>
      <c r="C163" s="200"/>
      <c r="D163" s="200"/>
      <c r="E163" s="200"/>
      <c r="F163" s="200"/>
      <c r="G163" s="200"/>
      <c r="H163" s="200"/>
      <c r="I163" s="200"/>
      <c r="J163" s="201"/>
    </row>
    <row r="164" spans="2:10">
      <c r="B164" s="178"/>
      <c r="C164" s="16"/>
      <c r="D164" s="16"/>
      <c r="E164" s="16"/>
      <c r="F164" s="16"/>
      <c r="G164" s="16"/>
      <c r="H164" s="16"/>
      <c r="I164" s="16"/>
      <c r="J164" s="173"/>
    </row>
    <row r="165" spans="2:10">
      <c r="B165" s="187"/>
      <c r="C165" s="143" t="str">
        <f>+C87</f>
        <v>2004A</v>
      </c>
      <c r="D165" s="143" t="str">
        <f t="shared" ref="D165:I165" si="42">+D87</f>
        <v>2005E</v>
      </c>
      <c r="E165" s="143" t="str">
        <f t="shared" si="42"/>
        <v>2006E</v>
      </c>
      <c r="F165" s="143" t="str">
        <f t="shared" si="42"/>
        <v>2007E</v>
      </c>
      <c r="G165" s="143" t="str">
        <f t="shared" si="42"/>
        <v>2008E</v>
      </c>
      <c r="H165" s="143" t="str">
        <f t="shared" si="42"/>
        <v>2009E</v>
      </c>
      <c r="I165" s="143" t="str">
        <f t="shared" si="42"/>
        <v>2010E and after</v>
      </c>
      <c r="J165" s="173"/>
    </row>
    <row r="166" spans="2:10">
      <c r="B166" s="172" t="s">
        <v>455</v>
      </c>
      <c r="C166" s="180">
        <f t="shared" ref="C166:I166" si="43">+C92</f>
        <v>4551.4655000000002</v>
      </c>
      <c r="D166" s="180">
        <f t="shared" si="43"/>
        <v>5078.852607906404</v>
      </c>
      <c r="E166" s="180">
        <f t="shared" si="43"/>
        <v>5535.9493426179815</v>
      </c>
      <c r="F166" s="180">
        <f t="shared" si="43"/>
        <v>5812.7468097488809</v>
      </c>
      <c r="G166" s="180">
        <f t="shared" si="43"/>
        <v>6103.3841502363248</v>
      </c>
      <c r="H166" s="180">
        <f t="shared" si="43"/>
        <v>6408.553357748141</v>
      </c>
      <c r="I166" s="180">
        <f t="shared" si="43"/>
        <v>6728.9810256355495</v>
      </c>
      <c r="J166" s="173"/>
    </row>
    <row r="167" spans="2:10">
      <c r="B167" s="172" t="s">
        <v>621</v>
      </c>
      <c r="C167" s="180">
        <f t="shared" ref="C167:I167" si="44">+C88</f>
        <v>1034.7012803234511</v>
      </c>
      <c r="D167" s="180">
        <f t="shared" si="44"/>
        <v>868.13213500000063</v>
      </c>
      <c r="E167" s="180">
        <f t="shared" si="44"/>
        <v>946.26402715000052</v>
      </c>
      <c r="F167" s="180">
        <f t="shared" si="44"/>
        <v>993.57722850750133</v>
      </c>
      <c r="G167" s="180">
        <f t="shared" si="44"/>
        <v>1043.256089932876</v>
      </c>
      <c r="H167" s="180">
        <f t="shared" si="44"/>
        <v>1095.4188944295195</v>
      </c>
      <c r="I167" s="180">
        <f t="shared" si="44"/>
        <v>1150.1898391509953</v>
      </c>
      <c r="J167" s="173"/>
    </row>
    <row r="168" spans="2:10">
      <c r="B168" s="172"/>
      <c r="C168" s="16"/>
      <c r="D168" s="16"/>
      <c r="E168" s="16"/>
      <c r="F168" s="16"/>
      <c r="G168" s="16"/>
      <c r="H168" s="16"/>
      <c r="I168" s="16"/>
      <c r="J168" s="173"/>
    </row>
    <row r="169" spans="2:10">
      <c r="B169" s="172" t="s">
        <v>626</v>
      </c>
      <c r="C169" s="168">
        <f t="shared" ref="C169:I169" si="45">+C109</f>
        <v>8.5516043670360004E-2</v>
      </c>
      <c r="D169" s="168">
        <f t="shared" si="45"/>
        <v>8.5516043670360004E-2</v>
      </c>
      <c r="E169" s="168">
        <f t="shared" si="45"/>
        <v>8.5516043670360004E-2</v>
      </c>
      <c r="F169" s="168">
        <f t="shared" si="45"/>
        <v>8.5516043670360004E-2</v>
      </c>
      <c r="G169" s="168">
        <f t="shared" si="45"/>
        <v>8.5516043670360004E-2</v>
      </c>
      <c r="H169" s="168">
        <f t="shared" si="45"/>
        <v>8.5516043670360004E-2</v>
      </c>
      <c r="I169" s="168">
        <f t="shared" si="45"/>
        <v>8.5516043670360004E-2</v>
      </c>
      <c r="J169" s="173"/>
    </row>
    <row r="170" spans="2:10">
      <c r="B170" s="172"/>
      <c r="C170" s="168"/>
      <c r="D170" s="168"/>
      <c r="E170" s="168"/>
      <c r="F170" s="168"/>
      <c r="G170" s="168"/>
      <c r="H170" s="168"/>
      <c r="I170" s="168"/>
      <c r="J170" s="173"/>
    </row>
    <row r="171" spans="2:10">
      <c r="B171" s="172" t="s">
        <v>637</v>
      </c>
      <c r="C171" s="16"/>
      <c r="D171" s="180">
        <f t="shared" ref="D171:I171" si="46">+D167-D166+C166</f>
        <v>340.74502709359695</v>
      </c>
      <c r="E171" s="180">
        <f t="shared" si="46"/>
        <v>489.16729243842292</v>
      </c>
      <c r="F171" s="180">
        <f t="shared" si="46"/>
        <v>716.77976137660153</v>
      </c>
      <c r="G171" s="180">
        <f t="shared" si="46"/>
        <v>752.61874944543251</v>
      </c>
      <c r="H171" s="180">
        <f t="shared" si="46"/>
        <v>790.249686917703</v>
      </c>
      <c r="I171" s="180">
        <f t="shared" si="46"/>
        <v>829.76217126358733</v>
      </c>
      <c r="J171" s="173"/>
    </row>
    <row r="172" spans="2:10">
      <c r="B172" s="172" t="s">
        <v>696</v>
      </c>
      <c r="C172" s="16"/>
      <c r="D172" s="180"/>
      <c r="E172" s="180">
        <f>+E167+D171*E169</f>
        <v>975.40319376739455</v>
      </c>
      <c r="F172" s="180">
        <f>+F167+E171*F169</f>
        <v>1035.4088800497773</v>
      </c>
      <c r="G172" s="180">
        <f>+G167+F171*G169</f>
        <v>1104.5522593087876</v>
      </c>
      <c r="H172" s="180">
        <f>+H167+G171*H169</f>
        <v>1159.7798722742268</v>
      </c>
      <c r="I172" s="180">
        <f>+I167+H171*I169</f>
        <v>1217.7688658879379</v>
      </c>
      <c r="J172" s="173"/>
    </row>
    <row r="173" spans="2:10">
      <c r="B173" s="172" t="s">
        <v>694</v>
      </c>
      <c r="C173" s="16"/>
      <c r="D173" s="188"/>
      <c r="E173" s="188">
        <f>+D167*(1+E169)</f>
        <v>942.37136056830343</v>
      </c>
      <c r="F173" s="188">
        <f>+E167*(1+F169)</f>
        <v>1027.1847830194506</v>
      </c>
      <c r="G173" s="188">
        <f>+F167*(1+G169)</f>
        <v>1078.5440221704239</v>
      </c>
      <c r="H173" s="188">
        <f>+G167*(1+H169)</f>
        <v>1132.4712232789448</v>
      </c>
      <c r="I173" s="188">
        <f>+H167*(1+I169)</f>
        <v>1189.0947844428918</v>
      </c>
      <c r="J173" s="173"/>
    </row>
    <row r="174" spans="2:10">
      <c r="B174" s="172"/>
      <c r="C174" s="16"/>
      <c r="D174" s="188"/>
      <c r="E174" s="188"/>
      <c r="F174" s="188"/>
      <c r="G174" s="188"/>
      <c r="H174" s="188"/>
      <c r="I174" s="188"/>
      <c r="J174" s="173"/>
    </row>
    <row r="175" spans="2:10">
      <c r="B175" s="172" t="s">
        <v>695</v>
      </c>
      <c r="C175" s="16"/>
      <c r="D175" s="188"/>
      <c r="E175" s="188">
        <f>+E172-E173</f>
        <v>33.031833199091125</v>
      </c>
      <c r="F175" s="188">
        <f>+F172-F173</f>
        <v>8.2240970303266749</v>
      </c>
      <c r="G175" s="188">
        <f>+G172-G173</f>
        <v>26.008237138363711</v>
      </c>
      <c r="H175" s="188">
        <f>+H172-H173</f>
        <v>27.308648995282056</v>
      </c>
      <c r="I175" s="188">
        <f>+I172-I173</f>
        <v>28.674081445046113</v>
      </c>
      <c r="J175" s="173"/>
    </row>
    <row r="176" spans="2:10">
      <c r="B176" s="172" t="s">
        <v>697</v>
      </c>
      <c r="C176" s="16"/>
      <c r="D176" s="16"/>
      <c r="E176" s="16"/>
      <c r="F176" s="16"/>
      <c r="G176" s="16"/>
      <c r="H176" s="189">
        <f>+H175/G175-1</f>
        <v>5.000000000000604E-2</v>
      </c>
      <c r="I176" s="189">
        <f>+I175/H175-1</f>
        <v>4.9999999999998268E-2</v>
      </c>
      <c r="J176" s="173"/>
    </row>
    <row r="177" spans="2:10">
      <c r="B177" s="172"/>
      <c r="C177" s="16"/>
      <c r="D177" s="16"/>
      <c r="E177" s="16"/>
      <c r="F177" s="16"/>
      <c r="G177" s="16"/>
      <c r="H177" s="189"/>
      <c r="I177" s="16"/>
      <c r="J177" s="173"/>
    </row>
    <row r="178" spans="2:10">
      <c r="B178" s="193" t="s">
        <v>640</v>
      </c>
      <c r="C178" s="194"/>
      <c r="D178" s="194">
        <v>1</v>
      </c>
      <c r="E178" s="194">
        <v>2</v>
      </c>
      <c r="F178" s="194">
        <v>3</v>
      </c>
      <c r="G178" s="194">
        <v>4</v>
      </c>
      <c r="H178" s="194">
        <v>5</v>
      </c>
      <c r="I178" s="194">
        <v>5</v>
      </c>
      <c r="J178" s="173"/>
    </row>
    <row r="179" spans="2:10">
      <c r="B179" s="172" t="s">
        <v>698</v>
      </c>
      <c r="C179" s="16"/>
      <c r="D179" s="16"/>
      <c r="E179" s="188">
        <f>+E175/(1+E169)^(E178-1)</f>
        <v>30.429613078221756</v>
      </c>
      <c r="F179" s="188">
        <f>+F175/(1+F169)^(F178-1)</f>
        <v>6.9793621261510372</v>
      </c>
      <c r="G179" s="188">
        <f>+G175/(1+G169)^(G178-1)</f>
        <v>20.333033515032298</v>
      </c>
      <c r="H179" s="188">
        <f>+H175/(1+H169)^(H178-1)</f>
        <v>19.667774894045991</v>
      </c>
      <c r="I179" s="16"/>
      <c r="J179" s="173"/>
    </row>
    <row r="180" spans="2:10">
      <c r="B180" s="172" t="s">
        <v>699</v>
      </c>
      <c r="C180" s="16"/>
      <c r="D180" s="16"/>
      <c r="E180" s="16"/>
      <c r="F180" s="16"/>
      <c r="G180" s="16"/>
      <c r="H180" s="16"/>
      <c r="I180" s="188">
        <f>+I175/((I169-I176)*(1+I169)^(I178-1))</f>
        <v>581.46013757668982</v>
      </c>
      <c r="J180" s="173"/>
    </row>
    <row r="181" spans="2:10">
      <c r="B181" s="172" t="s">
        <v>700</v>
      </c>
      <c r="C181" s="180">
        <f>SUM(E179:H179)+I180</f>
        <v>658.86992119014087</v>
      </c>
      <c r="D181" s="16"/>
      <c r="E181" s="16"/>
      <c r="F181" s="16"/>
      <c r="G181" s="16"/>
      <c r="H181" s="16"/>
      <c r="I181" s="16"/>
      <c r="J181" s="173"/>
    </row>
    <row r="182" spans="2:10">
      <c r="B182" s="172" t="s">
        <v>644</v>
      </c>
      <c r="C182" s="180">
        <f>+D167/C169+C181/C169</f>
        <v>17856.322517401524</v>
      </c>
      <c r="D182" s="16"/>
      <c r="E182" s="16"/>
      <c r="F182" s="16"/>
      <c r="G182" s="16"/>
      <c r="H182" s="16"/>
      <c r="I182" s="16"/>
      <c r="J182" s="173"/>
    </row>
    <row r="183" spans="2:10">
      <c r="B183" s="172" t="s">
        <v>529</v>
      </c>
      <c r="C183" s="71">
        <f>'Nike Balance Sheet'!X46</f>
        <v>288.33450000000005</v>
      </c>
      <c r="D183" s="58"/>
      <c r="E183" s="16"/>
      <c r="F183" s="16"/>
      <c r="G183" s="16"/>
      <c r="H183" s="16"/>
      <c r="I183" s="16"/>
      <c r="J183" s="173"/>
    </row>
    <row r="184" spans="2:10">
      <c r="B184" s="172" t="s">
        <v>524</v>
      </c>
      <c r="C184" s="71">
        <v>-452</v>
      </c>
      <c r="D184" s="16"/>
      <c r="E184" s="189"/>
      <c r="F184" s="189"/>
      <c r="G184" s="189"/>
      <c r="H184" s="189"/>
      <c r="I184" s="16"/>
      <c r="J184" s="173"/>
    </row>
    <row r="185" spans="2:10">
      <c r="B185" s="172" t="s">
        <v>639</v>
      </c>
      <c r="C185" s="180">
        <f>SUM(C182:C184)</f>
        <v>17692.657017401525</v>
      </c>
      <c r="D185" s="16"/>
      <c r="E185" s="16"/>
      <c r="F185" s="16"/>
      <c r="G185" s="16"/>
      <c r="H185" s="16"/>
      <c r="I185" s="16"/>
      <c r="J185" s="173"/>
    </row>
    <row r="186" spans="2:10">
      <c r="B186" s="172" t="s">
        <v>647</v>
      </c>
      <c r="C186" s="74">
        <f>+C80</f>
        <v>263.10000000000002</v>
      </c>
      <c r="D186" s="16"/>
      <c r="E186" s="16"/>
      <c r="F186" s="16"/>
      <c r="G186" s="16"/>
      <c r="H186" s="16"/>
      <c r="I186" s="16"/>
      <c r="J186" s="173"/>
    </row>
    <row r="187" spans="2:10">
      <c r="B187" s="172" t="s">
        <v>701</v>
      </c>
      <c r="C187" s="202">
        <f>+C185/C186</f>
        <v>67.246890982141863</v>
      </c>
      <c r="D187" s="16"/>
      <c r="E187" s="16"/>
      <c r="F187" s="16"/>
      <c r="G187" s="16"/>
      <c r="H187" s="16"/>
      <c r="I187" s="16"/>
      <c r="J187" s="173"/>
    </row>
    <row r="188" spans="2:10" ht="13.5" thickBot="1">
      <c r="B188" s="185"/>
      <c r="C188" s="18"/>
      <c r="D188" s="18"/>
      <c r="E188" s="18"/>
      <c r="F188" s="18"/>
      <c r="G188" s="18"/>
      <c r="H188" s="18"/>
      <c r="I188" s="18"/>
      <c r="J188" s="186"/>
    </row>
    <row r="190" spans="2:10" ht="45.75" customHeight="1">
      <c r="B190" s="368" t="s">
        <v>530</v>
      </c>
      <c r="C190" s="368"/>
      <c r="D190" s="368"/>
      <c r="E190" s="368"/>
      <c r="F190" s="368"/>
      <c r="G190" s="368"/>
      <c r="H190" s="368"/>
      <c r="I190" s="368"/>
      <c r="J190" s="368"/>
    </row>
  </sheetData>
  <mergeCells count="3">
    <mergeCell ref="B23:J23"/>
    <mergeCell ref="B190:J190"/>
    <mergeCell ref="B159:J159"/>
  </mergeCells>
  <phoneticPr fontId="0" type="noConversion"/>
  <pageMargins left="0.75" right="0.75" top="1" bottom="1" header="0.5" footer="0.5"/>
  <pageSetup orientation="landscape" r:id="rId1"/>
  <headerFooter alignWithMargins="0">
    <oddFooter>&amp;C&amp;8Financial Statement Analysis and Security Valuation: Roadmap&amp;R&amp;8Stephen H. Penman 2003</oddFooter>
  </headerFooter>
  <legacyDrawing r:id="rId2"/>
</worksheet>
</file>

<file path=xl/worksheets/sheet19.xml><?xml version="1.0" encoding="utf-8"?>
<worksheet xmlns="http://schemas.openxmlformats.org/spreadsheetml/2006/main" xmlns:r="http://schemas.openxmlformats.org/officeDocument/2006/relationships">
  <sheetPr codeName="Sheet17"/>
  <dimension ref="B1:B21"/>
  <sheetViews>
    <sheetView showGridLines="0" workbookViewId="0"/>
  </sheetViews>
  <sheetFormatPr defaultRowHeight="12.75"/>
  <cols>
    <col min="1" max="1" width="2" customWidth="1"/>
  </cols>
  <sheetData>
    <row r="1" spans="2:2" ht="10.5" customHeight="1"/>
    <row r="2" spans="2:2" ht="15.75">
      <c r="B2" s="1" t="s">
        <v>290</v>
      </c>
    </row>
    <row r="3" spans="2:2" ht="15">
      <c r="B3" s="2" t="s">
        <v>709</v>
      </c>
    </row>
    <row r="4" spans="2:2" ht="15">
      <c r="B4" s="2"/>
    </row>
    <row r="5" spans="2:2" ht="15.75">
      <c r="B5" s="1" t="s">
        <v>495</v>
      </c>
    </row>
    <row r="6" spans="2:2" ht="15">
      <c r="B6" s="2"/>
    </row>
    <row r="7" spans="2:2" ht="15">
      <c r="B7" s="2"/>
    </row>
    <row r="8" spans="2:2" ht="15.75">
      <c r="B8" s="1" t="s">
        <v>508</v>
      </c>
    </row>
    <row r="11" spans="2:2" s="2" customFormat="1" ht="20.100000000000001" customHeight="1">
      <c r="B11" s="2" t="s">
        <v>586</v>
      </c>
    </row>
    <row r="12" spans="2:2" s="2" customFormat="1" ht="20.100000000000001" customHeight="1"/>
    <row r="13" spans="2:2" s="2" customFormat="1" ht="20.100000000000001" customHeight="1">
      <c r="B13" s="232" t="s">
        <v>736</v>
      </c>
    </row>
    <row r="14" spans="2:2" s="2" customFormat="1" ht="20.100000000000001" customHeight="1">
      <c r="B14" s="232" t="s">
        <v>737</v>
      </c>
    </row>
    <row r="15" spans="2:2" s="2" customFormat="1" ht="20.100000000000001" customHeight="1">
      <c r="B15" s="232" t="s">
        <v>738</v>
      </c>
    </row>
    <row r="16" spans="2:2" s="2" customFormat="1" ht="20.100000000000001" customHeight="1">
      <c r="B16" s="232" t="s">
        <v>739</v>
      </c>
    </row>
    <row r="17" spans="2:2" s="2" customFormat="1" ht="20.100000000000001" customHeight="1">
      <c r="B17" s="96"/>
    </row>
    <row r="18" spans="2:2" s="2" customFormat="1" ht="20.100000000000001" customHeight="1">
      <c r="B18" s="145"/>
    </row>
    <row r="19" spans="2:2" s="2" customFormat="1" ht="20.100000000000001" customHeight="1">
      <c r="B19" s="96"/>
    </row>
    <row r="20" spans="2:2" s="2" customFormat="1" ht="20.100000000000001" customHeight="1"/>
    <row r="21" spans="2:2" s="2" customFormat="1" ht="20.100000000000001" customHeight="1"/>
  </sheetData>
  <phoneticPr fontId="0" type="noConversion"/>
  <pageMargins left="0.75" right="0.75" top="1" bottom="1" header="0.5" footer="0.5"/>
  <pageSetup orientation="landscape" r:id="rId1"/>
  <headerFooter alignWithMargins="0">
    <oddFooter>&amp;C&amp;8Financial Statement Analysis and Security Valuation: Roadmap&amp;R&amp;8Stephen H. Penman 2003</oddFooter>
  </headerFooter>
</worksheet>
</file>

<file path=xl/worksheets/sheet2.xml><?xml version="1.0" encoding="utf-8"?>
<worksheet xmlns="http://schemas.openxmlformats.org/spreadsheetml/2006/main" xmlns:r="http://schemas.openxmlformats.org/officeDocument/2006/relationships">
  <sheetPr codeName="Sheet2"/>
  <dimension ref="B1:L39"/>
  <sheetViews>
    <sheetView showGridLines="0" tabSelected="1" zoomScaleNormal="100" workbookViewId="0"/>
  </sheetViews>
  <sheetFormatPr defaultRowHeight="15"/>
  <cols>
    <col min="1" max="1" width="2" style="2" customWidth="1"/>
    <col min="2" max="16384" width="9.140625" style="2"/>
  </cols>
  <sheetData>
    <row r="1" spans="2:12" ht="10.5" customHeight="1"/>
    <row r="2" spans="2:12" ht="18.75" customHeight="1">
      <c r="B2" s="1" t="s">
        <v>654</v>
      </c>
      <c r="H2" s="1" t="s">
        <v>707</v>
      </c>
    </row>
    <row r="3" spans="2:12">
      <c r="B3" s="2" t="s">
        <v>709</v>
      </c>
    </row>
    <row r="5" spans="2:12" ht="15.75">
      <c r="B5" s="1" t="s">
        <v>495</v>
      </c>
    </row>
    <row r="6" spans="2:12" ht="15.75">
      <c r="B6" s="1"/>
    </row>
    <row r="7" spans="2:12" ht="15.75">
      <c r="B7" s="1"/>
    </row>
    <row r="8" spans="2:12" ht="15.75">
      <c r="B8" s="1" t="s">
        <v>496</v>
      </c>
    </row>
    <row r="9" spans="2:12" ht="15.75">
      <c r="B9" s="1"/>
    </row>
    <row r="10" spans="2:12" ht="32.25" customHeight="1">
      <c r="B10" s="367" t="s">
        <v>502</v>
      </c>
      <c r="C10" s="367"/>
      <c r="D10" s="367"/>
      <c r="E10" s="367"/>
      <c r="F10" s="367"/>
      <c r="G10" s="367"/>
      <c r="H10" s="367"/>
      <c r="I10" s="367"/>
      <c r="J10" s="367"/>
      <c r="K10" s="368"/>
      <c r="L10" s="368"/>
    </row>
    <row r="12" spans="2:12" ht="48" customHeight="1">
      <c r="B12" s="367" t="s">
        <v>562</v>
      </c>
      <c r="C12" s="367"/>
      <c r="D12" s="367"/>
      <c r="E12" s="367"/>
      <c r="F12" s="367"/>
      <c r="G12" s="367"/>
      <c r="H12" s="367"/>
      <c r="I12" s="367"/>
      <c r="J12" s="367"/>
      <c r="K12" s="368"/>
      <c r="L12" s="368"/>
    </row>
    <row r="14" spans="2:12" ht="64.5" customHeight="1">
      <c r="B14" s="367" t="s">
        <v>710</v>
      </c>
      <c r="C14" s="367"/>
      <c r="D14" s="367"/>
      <c r="E14" s="367"/>
      <c r="F14" s="367"/>
      <c r="G14" s="367"/>
      <c r="H14" s="367"/>
      <c r="I14" s="367"/>
      <c r="J14" s="367"/>
      <c r="K14" s="368"/>
      <c r="L14" s="368"/>
    </row>
    <row r="16" spans="2:12">
      <c r="B16" s="2" t="s">
        <v>493</v>
      </c>
    </row>
    <row r="18" spans="2:2" ht="18" customHeight="1">
      <c r="B18" s="2" t="s">
        <v>479</v>
      </c>
    </row>
    <row r="19" spans="2:2" ht="15" customHeight="1"/>
    <row r="20" spans="2:2" ht="18" customHeight="1">
      <c r="B20" s="2" t="s">
        <v>480</v>
      </c>
    </row>
    <row r="21" spans="2:2" ht="18" customHeight="1">
      <c r="B21" s="94" t="s">
        <v>534</v>
      </c>
    </row>
    <row r="22" spans="2:2" ht="18" customHeight="1">
      <c r="B22" s="94" t="s">
        <v>481</v>
      </c>
    </row>
    <row r="23" spans="2:2" ht="18" customHeight="1">
      <c r="B23" s="94" t="s">
        <v>482</v>
      </c>
    </row>
    <row r="24" spans="2:2" ht="18" customHeight="1">
      <c r="B24" s="94" t="s">
        <v>563</v>
      </c>
    </row>
    <row r="25" spans="2:2" ht="15" customHeight="1">
      <c r="B25" s="94"/>
    </row>
    <row r="26" spans="2:2" ht="18" customHeight="1">
      <c r="B26" s="2" t="s">
        <v>478</v>
      </c>
    </row>
    <row r="27" spans="2:2" ht="18" customHeight="1">
      <c r="B27" s="94" t="s">
        <v>491</v>
      </c>
    </row>
    <row r="28" spans="2:2" ht="18" customHeight="1">
      <c r="B28" s="94" t="s">
        <v>483</v>
      </c>
    </row>
    <row r="29" spans="2:2" ht="18" customHeight="1">
      <c r="B29" s="94" t="s">
        <v>484</v>
      </c>
    </row>
    <row r="30" spans="2:2" ht="18" customHeight="1">
      <c r="B30" s="94" t="s">
        <v>417</v>
      </c>
    </row>
    <row r="31" spans="2:2" ht="15" customHeight="1">
      <c r="B31" s="94"/>
    </row>
    <row r="32" spans="2:2" ht="18" customHeight="1">
      <c r="B32" s="2" t="s">
        <v>532</v>
      </c>
    </row>
    <row r="33" spans="2:2" ht="18" customHeight="1">
      <c r="B33" s="94" t="s">
        <v>506</v>
      </c>
    </row>
    <row r="34" spans="2:2" ht="18" customHeight="1">
      <c r="B34" s="94" t="s">
        <v>533</v>
      </c>
    </row>
    <row r="35" spans="2:2" ht="18" customHeight="1">
      <c r="B35" s="94" t="s">
        <v>485</v>
      </c>
    </row>
    <row r="36" spans="2:2" ht="15" customHeight="1">
      <c r="B36" s="94"/>
    </row>
    <row r="37" spans="2:2" ht="18" customHeight="1">
      <c r="B37" s="2" t="s">
        <v>477</v>
      </c>
    </row>
    <row r="39" spans="2:2">
      <c r="B39" s="2" t="s">
        <v>494</v>
      </c>
    </row>
  </sheetData>
  <mergeCells count="3">
    <mergeCell ref="B10:L10"/>
    <mergeCell ref="B12:L12"/>
    <mergeCell ref="B14:L14"/>
  </mergeCells>
  <phoneticPr fontId="0" type="noConversion"/>
  <pageMargins left="0.75" right="0.75" top="1" bottom="1" header="0.5" footer="0.5"/>
  <pageSetup orientation="landscape" r:id="rId1"/>
  <headerFooter alignWithMargins="0">
    <oddFooter>&amp;C&amp;8Financial Statement Analysis and Security Valuation: Roadmap&amp;R&amp;8Stephen H. Penman 2003</oddFooter>
  </headerFooter>
</worksheet>
</file>

<file path=xl/worksheets/sheet3.xml><?xml version="1.0" encoding="utf-8"?>
<worksheet xmlns="http://schemas.openxmlformats.org/spreadsheetml/2006/main" xmlns:r="http://schemas.openxmlformats.org/officeDocument/2006/relationships">
  <sheetPr codeName="Sheet3"/>
  <dimension ref="B1:K16"/>
  <sheetViews>
    <sheetView showGridLines="0" workbookViewId="0"/>
  </sheetViews>
  <sheetFormatPr defaultRowHeight="15"/>
  <cols>
    <col min="1" max="1" width="2" style="2" customWidth="1"/>
    <col min="2" max="10" width="9.140625" style="2"/>
    <col min="11" max="11" width="22.5703125" style="2" customWidth="1"/>
    <col min="12" max="16384" width="9.140625" style="2"/>
  </cols>
  <sheetData>
    <row r="1" spans="2:11" ht="10.5" customHeight="1"/>
    <row r="2" spans="2:11" ht="15.75">
      <c r="B2" s="1" t="s">
        <v>654</v>
      </c>
      <c r="H2" s="1" t="s">
        <v>707</v>
      </c>
    </row>
    <row r="3" spans="2:11">
      <c r="B3" s="2" t="s">
        <v>709</v>
      </c>
    </row>
    <row r="5" spans="2:11" ht="15.75">
      <c r="B5" s="1" t="s">
        <v>495</v>
      </c>
    </row>
    <row r="7" spans="2:11" ht="15.75">
      <c r="B7" s="1" t="s">
        <v>503</v>
      </c>
    </row>
    <row r="9" spans="2:11" ht="80.25" customHeight="1">
      <c r="B9" s="367" t="s">
        <v>659</v>
      </c>
      <c r="C9" s="367"/>
      <c r="D9" s="367"/>
      <c r="E9" s="367"/>
      <c r="F9" s="367"/>
      <c r="G9" s="367"/>
      <c r="H9" s="367"/>
      <c r="I9" s="367"/>
      <c r="J9" s="367"/>
      <c r="K9" s="367"/>
    </row>
    <row r="11" spans="2:11" ht="20.100000000000001" customHeight="1">
      <c r="B11" s="96" t="s">
        <v>706</v>
      </c>
    </row>
    <row r="12" spans="2:11" ht="20.100000000000001" customHeight="1">
      <c r="B12" s="96" t="s">
        <v>377</v>
      </c>
    </row>
    <row r="13" spans="2:11" ht="20.100000000000001" customHeight="1">
      <c r="B13" s="96" t="s">
        <v>378</v>
      </c>
    </row>
    <row r="14" spans="2:11" ht="20.100000000000001" customHeight="1">
      <c r="B14" s="96" t="s">
        <v>711</v>
      </c>
    </row>
    <row r="15" spans="2:11">
      <c r="B15" s="2" t="s">
        <v>660</v>
      </c>
    </row>
    <row r="16" spans="2:11" ht="112.5" customHeight="1">
      <c r="B16" s="367" t="s">
        <v>399</v>
      </c>
      <c r="C16" s="367"/>
      <c r="D16" s="367"/>
      <c r="E16" s="367"/>
      <c r="F16" s="367"/>
      <c r="G16" s="367"/>
      <c r="H16" s="367"/>
      <c r="I16" s="367"/>
      <c r="J16" s="367"/>
      <c r="K16" s="367"/>
    </row>
  </sheetData>
  <mergeCells count="2">
    <mergeCell ref="B9:K9"/>
    <mergeCell ref="B16:K16"/>
  </mergeCells>
  <phoneticPr fontId="0" type="noConversion"/>
  <pageMargins left="0.75" right="0.75" top="1" bottom="1" header="0.5" footer="0.5"/>
  <pageSetup orientation="landscape" r:id="rId1"/>
  <headerFooter alignWithMargins="0">
    <oddFooter>&amp;C&amp;8Financial Statement Analysis and Security Valuation: Roadmap&amp;R&amp;8Stephen H. Penman 2003</oddFooter>
  </headerFooter>
</worksheet>
</file>

<file path=xl/worksheets/sheet4.xml><?xml version="1.0" encoding="utf-8"?>
<worksheet xmlns="http://schemas.openxmlformats.org/spreadsheetml/2006/main" xmlns:r="http://schemas.openxmlformats.org/officeDocument/2006/relationships">
  <sheetPr codeName="Sheet4"/>
  <dimension ref="B1:J48"/>
  <sheetViews>
    <sheetView showGridLines="0" workbookViewId="0"/>
  </sheetViews>
  <sheetFormatPr defaultRowHeight="15"/>
  <cols>
    <col min="1" max="1" width="2" style="2" customWidth="1"/>
    <col min="2" max="2" width="9.140625" style="2"/>
    <col min="3" max="3" width="10.42578125" style="2" bestFit="1" customWidth="1"/>
    <col min="4" max="8" width="9.140625" style="2"/>
    <col min="9" max="9" width="20" style="2" customWidth="1"/>
    <col min="10" max="10" width="20.5703125" style="2" customWidth="1"/>
    <col min="11" max="16384" width="9.140625" style="2"/>
  </cols>
  <sheetData>
    <row r="1" spans="2:10" ht="10.5" customHeight="1"/>
    <row r="2" spans="2:10" ht="15.75">
      <c r="B2" s="1" t="s">
        <v>654</v>
      </c>
      <c r="H2" s="1" t="s">
        <v>557</v>
      </c>
    </row>
    <row r="3" spans="2:10">
      <c r="B3" s="2" t="s">
        <v>709</v>
      </c>
    </row>
    <row r="5" spans="2:10" ht="15.75">
      <c r="B5" s="1" t="s">
        <v>495</v>
      </c>
    </row>
    <row r="6" spans="2:10" ht="15.75">
      <c r="B6" s="1"/>
    </row>
    <row r="7" spans="2:10" ht="15.75">
      <c r="B7" s="1" t="s">
        <v>504</v>
      </c>
    </row>
    <row r="9" spans="2:10" ht="34.5" customHeight="1">
      <c r="B9" s="370" t="s">
        <v>538</v>
      </c>
      <c r="C9" s="370"/>
      <c r="D9" s="370"/>
      <c r="E9" s="370"/>
      <c r="F9" s="370"/>
      <c r="G9" s="370"/>
      <c r="H9" s="370"/>
      <c r="I9" s="370"/>
      <c r="J9" s="370"/>
    </row>
    <row r="11" spans="2:10" ht="16.5" customHeight="1">
      <c r="B11" s="372" t="s">
        <v>589</v>
      </c>
      <c r="C11" s="372"/>
      <c r="D11" s="372"/>
      <c r="E11" s="372"/>
      <c r="F11" s="372"/>
      <c r="G11" s="372"/>
      <c r="H11" s="372"/>
      <c r="I11" s="372"/>
      <c r="J11" s="372"/>
    </row>
    <row r="12" spans="2:10" ht="57" customHeight="1">
      <c r="B12" s="372" t="s">
        <v>564</v>
      </c>
      <c r="C12" s="372"/>
      <c r="D12" s="372"/>
      <c r="E12" s="372"/>
      <c r="F12" s="372"/>
      <c r="G12" s="372"/>
      <c r="H12" s="372"/>
      <c r="I12" s="372"/>
      <c r="J12" s="372"/>
    </row>
    <row r="13" spans="2:10" ht="29.25" customHeight="1">
      <c r="B13" s="372" t="s">
        <v>486</v>
      </c>
      <c r="C13" s="372"/>
      <c r="D13" s="372"/>
      <c r="E13" s="372"/>
      <c r="F13" s="372"/>
      <c r="G13" s="372"/>
      <c r="H13" s="372"/>
      <c r="I13" s="372"/>
      <c r="J13" s="372"/>
    </row>
    <row r="14" spans="2:10" ht="44.25" customHeight="1">
      <c r="B14" s="372" t="s">
        <v>565</v>
      </c>
      <c r="C14" s="372"/>
      <c r="D14" s="372"/>
      <c r="E14" s="372"/>
      <c r="F14" s="372"/>
      <c r="G14" s="372"/>
      <c r="H14" s="372"/>
      <c r="I14" s="372"/>
      <c r="J14" s="372"/>
    </row>
    <row r="15" spans="2:10" ht="12" customHeight="1"/>
    <row r="16" spans="2:10" ht="32.25" customHeight="1">
      <c r="B16" s="370" t="s">
        <v>560</v>
      </c>
      <c r="C16" s="370"/>
      <c r="D16" s="370"/>
      <c r="E16" s="370"/>
      <c r="F16" s="370"/>
      <c r="G16" s="370"/>
      <c r="H16" s="370"/>
      <c r="I16" s="370"/>
      <c r="J16" s="370"/>
    </row>
    <row r="17" spans="2:10" ht="14.25" customHeight="1"/>
    <row r="18" spans="2:10" ht="32.25" customHeight="1">
      <c r="B18" s="373" t="s">
        <v>570</v>
      </c>
      <c r="C18" s="373"/>
      <c r="D18" s="373"/>
      <c r="E18" s="373"/>
      <c r="F18" s="373"/>
      <c r="G18" s="373"/>
      <c r="H18" s="373"/>
      <c r="I18" s="373"/>
      <c r="J18" s="373"/>
    </row>
    <row r="20" spans="2:10" ht="48" customHeight="1">
      <c r="B20" s="373" t="s">
        <v>558</v>
      </c>
      <c r="C20" s="373"/>
      <c r="D20" s="373"/>
      <c r="E20" s="373"/>
      <c r="F20" s="373"/>
      <c r="G20" s="373"/>
      <c r="H20" s="373"/>
      <c r="I20" s="373"/>
      <c r="J20" s="373"/>
    </row>
    <row r="22" spans="2:10" ht="48" customHeight="1">
      <c r="B22" s="367" t="s">
        <v>8</v>
      </c>
      <c r="C22" s="367"/>
      <c r="D22" s="367"/>
      <c r="E22" s="367"/>
      <c r="F22" s="367"/>
      <c r="G22" s="367"/>
      <c r="H22" s="367"/>
      <c r="I22" s="367"/>
      <c r="J22" s="367"/>
    </row>
    <row r="23" spans="2:10">
      <c r="B23" s="144"/>
      <c r="C23" s="144"/>
      <c r="D23" s="144"/>
      <c r="E23" s="144"/>
      <c r="F23" s="144"/>
      <c r="G23" s="144"/>
      <c r="H23" s="144"/>
      <c r="I23" s="144"/>
      <c r="J23" s="144"/>
    </row>
    <row r="24" spans="2:10" ht="32.25" customHeight="1">
      <c r="B24" s="367" t="s">
        <v>590</v>
      </c>
      <c r="C24" s="367"/>
      <c r="D24" s="367"/>
      <c r="E24" s="367"/>
      <c r="F24" s="367"/>
      <c r="G24" s="367"/>
      <c r="H24" s="367"/>
      <c r="I24" s="367"/>
      <c r="J24" s="367"/>
    </row>
    <row r="25" spans="2:10">
      <c r="B25" s="144"/>
      <c r="C25" s="144"/>
      <c r="D25" s="144"/>
      <c r="E25" s="144"/>
      <c r="F25" s="144"/>
      <c r="G25" s="144"/>
      <c r="H25" s="144"/>
      <c r="I25" s="144"/>
      <c r="J25" s="144"/>
    </row>
    <row r="26" spans="2:10" ht="16.5" customHeight="1">
      <c r="B26" s="367" t="s">
        <v>571</v>
      </c>
      <c r="C26" s="367"/>
      <c r="D26" s="367"/>
      <c r="E26" s="367"/>
      <c r="F26" s="367"/>
      <c r="G26" s="367"/>
      <c r="H26" s="367"/>
      <c r="I26" s="367"/>
      <c r="J26" s="367"/>
    </row>
    <row r="27" spans="2:10">
      <c r="B27" s="144"/>
      <c r="C27" s="144"/>
      <c r="D27" s="144"/>
      <c r="E27" s="144"/>
      <c r="F27" s="144"/>
      <c r="G27" s="144"/>
      <c r="H27" s="144"/>
      <c r="I27" s="144"/>
      <c r="J27" s="144"/>
    </row>
    <row r="28" spans="2:10" ht="16.5" customHeight="1">
      <c r="B28" s="367" t="s">
        <v>572</v>
      </c>
      <c r="C28" s="367"/>
      <c r="D28" s="367"/>
      <c r="E28" s="367"/>
      <c r="F28" s="367"/>
      <c r="G28" s="367"/>
      <c r="H28" s="367"/>
      <c r="I28" s="367"/>
      <c r="J28" s="367"/>
    </row>
    <row r="29" spans="2:10">
      <c r="B29" s="144"/>
      <c r="C29" s="144"/>
      <c r="D29" s="144"/>
      <c r="E29" s="144"/>
      <c r="F29" s="144"/>
      <c r="G29" s="144"/>
      <c r="H29" s="144"/>
      <c r="I29" s="144"/>
      <c r="J29" s="144"/>
    </row>
    <row r="30" spans="2:10" ht="48" customHeight="1">
      <c r="B30" s="367" t="s">
        <v>573</v>
      </c>
      <c r="C30" s="367"/>
      <c r="D30" s="367"/>
      <c r="E30" s="367"/>
      <c r="F30" s="367"/>
      <c r="G30" s="367"/>
      <c r="H30" s="367"/>
      <c r="I30" s="367"/>
      <c r="J30" s="367"/>
    </row>
    <row r="31" spans="2:10">
      <c r="B31" s="144"/>
      <c r="C31" s="144"/>
      <c r="D31" s="144"/>
      <c r="E31" s="144"/>
      <c r="F31" s="144"/>
      <c r="G31" s="144"/>
      <c r="H31" s="144"/>
      <c r="I31" s="144"/>
      <c r="J31" s="144"/>
    </row>
    <row r="32" spans="2:10" ht="48" customHeight="1">
      <c r="B32" s="371"/>
      <c r="C32" s="371"/>
      <c r="D32" s="371"/>
      <c r="E32" s="371"/>
      <c r="F32" s="371"/>
      <c r="G32" s="371"/>
      <c r="H32" s="371"/>
      <c r="I32" s="371"/>
      <c r="J32" s="371"/>
    </row>
    <row r="33" spans="2:10">
      <c r="B33" s="256"/>
      <c r="C33" s="256"/>
      <c r="D33" s="256"/>
      <c r="E33" s="256"/>
      <c r="F33" s="256"/>
      <c r="G33" s="256"/>
      <c r="H33" s="256"/>
      <c r="I33" s="256"/>
      <c r="J33" s="256"/>
    </row>
    <row r="34" spans="2:10">
      <c r="B34" s="256"/>
      <c r="C34" s="256"/>
      <c r="D34" s="256"/>
      <c r="E34" s="256"/>
      <c r="F34" s="256"/>
      <c r="G34" s="256"/>
      <c r="H34" s="256"/>
      <c r="I34" s="256"/>
      <c r="J34" s="256"/>
    </row>
    <row r="35" spans="2:10">
      <c r="B35" s="256"/>
      <c r="C35" s="257"/>
      <c r="D35" s="256"/>
      <c r="E35" s="256"/>
      <c r="F35" s="256"/>
      <c r="G35" s="256"/>
      <c r="H35" s="256"/>
      <c r="I35" s="258"/>
      <c r="J35" s="256"/>
    </row>
    <row r="36" spans="2:10">
      <c r="B36" s="256"/>
      <c r="C36" s="259"/>
      <c r="D36" s="256"/>
      <c r="E36" s="256"/>
      <c r="F36" s="256"/>
      <c r="G36" s="256"/>
      <c r="H36" s="256"/>
      <c r="I36" s="169"/>
      <c r="J36" s="256"/>
    </row>
    <row r="37" spans="2:10">
      <c r="B37" s="256"/>
      <c r="C37" s="256"/>
      <c r="D37" s="256"/>
      <c r="E37" s="256"/>
      <c r="F37" s="256"/>
      <c r="G37" s="256"/>
      <c r="H37" s="256"/>
      <c r="I37" s="169"/>
      <c r="J37" s="256"/>
    </row>
    <row r="38" spans="2:10">
      <c r="B38" s="256"/>
      <c r="C38" s="259"/>
      <c r="D38" s="256"/>
      <c r="E38" s="256"/>
      <c r="F38" s="256"/>
      <c r="G38" s="256"/>
      <c r="H38" s="256"/>
      <c r="I38" s="169"/>
      <c r="J38" s="256"/>
    </row>
    <row r="39" spans="2:10">
      <c r="B39" s="256"/>
      <c r="C39" s="256"/>
      <c r="D39" s="256"/>
      <c r="E39" s="256"/>
      <c r="F39" s="256"/>
      <c r="G39" s="256"/>
      <c r="H39" s="256"/>
      <c r="I39" s="169"/>
      <c r="J39" s="256"/>
    </row>
    <row r="40" spans="2:10">
      <c r="B40" s="256"/>
      <c r="C40" s="259"/>
      <c r="D40" s="256"/>
      <c r="E40" s="256"/>
      <c r="F40" s="256"/>
      <c r="G40" s="256"/>
      <c r="H40" s="256"/>
      <c r="I40" s="169"/>
      <c r="J40" s="256"/>
    </row>
    <row r="41" spans="2:10">
      <c r="B41" s="256"/>
      <c r="C41" s="259"/>
      <c r="D41" s="256"/>
      <c r="E41" s="256"/>
      <c r="F41" s="256"/>
      <c r="G41" s="256"/>
      <c r="H41" s="256"/>
      <c r="I41" s="169"/>
      <c r="J41" s="256"/>
    </row>
    <row r="42" spans="2:10">
      <c r="B42" s="256"/>
      <c r="C42" s="259"/>
      <c r="D42" s="256"/>
      <c r="E42" s="256"/>
      <c r="F42" s="256"/>
      <c r="G42" s="256"/>
      <c r="H42" s="256"/>
      <c r="I42" s="169"/>
      <c r="J42" s="256"/>
    </row>
    <row r="43" spans="2:10">
      <c r="B43" s="256"/>
      <c r="C43" s="259"/>
      <c r="D43" s="256"/>
      <c r="E43" s="256"/>
      <c r="F43" s="256"/>
      <c r="G43" s="256"/>
      <c r="H43" s="256"/>
      <c r="I43" s="169"/>
      <c r="J43" s="256"/>
    </row>
    <row r="44" spans="2:10">
      <c r="B44" s="256"/>
      <c r="C44" s="256"/>
      <c r="D44" s="256"/>
      <c r="E44" s="256"/>
      <c r="F44" s="256"/>
      <c r="G44" s="256"/>
      <c r="H44" s="256"/>
      <c r="I44" s="258"/>
      <c r="J44" s="256"/>
    </row>
    <row r="45" spans="2:10">
      <c r="B45" s="256"/>
      <c r="C45" s="256"/>
      <c r="D45" s="256"/>
      <c r="E45" s="256"/>
      <c r="F45" s="256"/>
      <c r="G45" s="256"/>
      <c r="H45" s="256"/>
      <c r="I45" s="256"/>
      <c r="J45" s="256"/>
    </row>
    <row r="46" spans="2:10" ht="48" customHeight="1">
      <c r="B46" s="369"/>
      <c r="C46" s="369"/>
      <c r="D46" s="369"/>
      <c r="E46" s="369"/>
      <c r="F46" s="369"/>
      <c r="G46" s="369"/>
      <c r="H46" s="369"/>
      <c r="I46" s="369"/>
      <c r="J46" s="369"/>
    </row>
    <row r="48" spans="2:10" ht="32.25" customHeight="1">
      <c r="B48" s="370"/>
      <c r="C48" s="370"/>
      <c r="D48" s="370"/>
      <c r="E48" s="370"/>
      <c r="F48" s="370"/>
      <c r="G48" s="370"/>
      <c r="H48" s="370"/>
      <c r="I48" s="370"/>
      <c r="J48" s="370"/>
    </row>
  </sheetData>
  <mergeCells count="16">
    <mergeCell ref="B9:J9"/>
    <mergeCell ref="B11:J11"/>
    <mergeCell ref="B12:J12"/>
    <mergeCell ref="B20:J20"/>
    <mergeCell ref="B18:J18"/>
    <mergeCell ref="B13:J13"/>
    <mergeCell ref="B14:J14"/>
    <mergeCell ref="B16:J16"/>
    <mergeCell ref="B46:J46"/>
    <mergeCell ref="B48:J48"/>
    <mergeCell ref="B30:J30"/>
    <mergeCell ref="B32:J32"/>
    <mergeCell ref="B22:J22"/>
    <mergeCell ref="B24:J24"/>
    <mergeCell ref="B26:J26"/>
    <mergeCell ref="B28:J28"/>
  </mergeCells>
  <phoneticPr fontId="0" type="noConversion"/>
  <pageMargins left="0.75" right="0.75" top="1" bottom="1" header="0.5" footer="0.5"/>
  <pageSetup orientation="landscape" r:id="rId1"/>
  <headerFooter alignWithMargins="0">
    <oddFooter>&amp;C&amp;8Financial Statement Analysis and Security Valuation: Roadmap&amp;R&amp;8Stephen H. Penman 2003</oddFooter>
  </headerFooter>
</worksheet>
</file>

<file path=xl/worksheets/sheet5.xml><?xml version="1.0" encoding="utf-8"?>
<worksheet xmlns="http://schemas.openxmlformats.org/spreadsheetml/2006/main" xmlns:r="http://schemas.openxmlformats.org/officeDocument/2006/relationships">
  <dimension ref="A1:K53"/>
  <sheetViews>
    <sheetView showGridLines="0" workbookViewId="0"/>
  </sheetViews>
  <sheetFormatPr defaultRowHeight="15"/>
  <cols>
    <col min="1" max="1" width="2" style="2" customWidth="1"/>
    <col min="2" max="2" width="9.140625" style="2"/>
    <col min="3" max="3" width="10.42578125" style="2" bestFit="1" customWidth="1"/>
    <col min="4" max="8" width="9.140625" style="2"/>
    <col min="9" max="9" width="20" style="2" customWidth="1"/>
    <col min="10" max="10" width="20.5703125" style="2" customWidth="1"/>
    <col min="11" max="16384" width="9.140625" style="2"/>
  </cols>
  <sheetData>
    <row r="1" spans="2:10" ht="10.5" customHeight="1"/>
    <row r="2" spans="2:10" ht="15.75">
      <c r="B2" s="1" t="s">
        <v>654</v>
      </c>
      <c r="H2" s="1" t="s">
        <v>557</v>
      </c>
    </row>
    <row r="3" spans="2:10">
      <c r="B3" s="2" t="s">
        <v>709</v>
      </c>
    </row>
    <row r="5" spans="2:10" ht="15.75">
      <c r="B5" s="1" t="s">
        <v>495</v>
      </c>
    </row>
    <row r="6" spans="2:10" ht="15.75">
      <c r="B6" s="1"/>
    </row>
    <row r="7" spans="2:10" ht="15.75">
      <c r="B7" s="1" t="s">
        <v>497</v>
      </c>
    </row>
    <row r="9" spans="2:10">
      <c r="B9" s="370" t="s">
        <v>498</v>
      </c>
      <c r="C9" s="370"/>
      <c r="D9" s="370"/>
      <c r="E9" s="370"/>
      <c r="F9" s="370"/>
      <c r="G9" s="370"/>
      <c r="H9" s="370"/>
      <c r="I9" s="370"/>
      <c r="J9" s="370"/>
    </row>
    <row r="11" spans="2:10" ht="33.75" customHeight="1">
      <c r="B11" s="372" t="s">
        <v>383</v>
      </c>
      <c r="C11" s="372"/>
      <c r="D11" s="372"/>
      <c r="E11" s="372"/>
      <c r="F11" s="372"/>
      <c r="G11" s="372"/>
      <c r="H11" s="372"/>
      <c r="I11" s="372"/>
      <c r="J11" s="372"/>
    </row>
    <row r="12" spans="2:10">
      <c r="B12" s="374" t="s">
        <v>437</v>
      </c>
      <c r="C12" s="372"/>
      <c r="D12" s="372"/>
      <c r="E12" s="372"/>
      <c r="F12" s="372"/>
      <c r="G12" s="372"/>
      <c r="H12" s="372"/>
      <c r="I12" s="372"/>
      <c r="J12" s="372"/>
    </row>
    <row r="13" spans="2:10">
      <c r="B13" s="374" t="s">
        <v>393</v>
      </c>
      <c r="C13" s="372"/>
      <c r="D13" s="372"/>
      <c r="E13" s="372"/>
      <c r="F13" s="372"/>
      <c r="G13" s="372"/>
      <c r="H13" s="372"/>
      <c r="I13" s="372"/>
      <c r="J13" s="372"/>
    </row>
    <row r="14" spans="2:10" ht="31.5" customHeight="1">
      <c r="B14" s="374" t="s">
        <v>394</v>
      </c>
      <c r="C14" s="372"/>
      <c r="D14" s="372"/>
      <c r="E14" s="372"/>
      <c r="F14" s="372"/>
      <c r="G14" s="372"/>
      <c r="H14" s="372"/>
      <c r="I14" s="372"/>
      <c r="J14" s="372"/>
    </row>
    <row r="15" spans="2:10">
      <c r="B15" s="372" t="s">
        <v>384</v>
      </c>
      <c r="C15" s="372"/>
      <c r="D15" s="372"/>
      <c r="E15" s="372"/>
      <c r="F15" s="372"/>
      <c r="G15" s="372"/>
      <c r="H15" s="372"/>
      <c r="I15" s="372"/>
      <c r="J15" s="372"/>
    </row>
    <row r="16" spans="2:10" ht="12.75" customHeight="1">
      <c r="B16" s="372" t="s">
        <v>385</v>
      </c>
      <c r="C16" s="372"/>
      <c r="D16" s="372"/>
      <c r="E16" s="372"/>
      <c r="F16" s="372"/>
      <c r="G16" s="372"/>
      <c r="H16" s="372"/>
      <c r="I16" s="372"/>
      <c r="J16" s="372"/>
    </row>
    <row r="17" spans="1:11" ht="33.75" customHeight="1">
      <c r="B17" s="372" t="s">
        <v>386</v>
      </c>
      <c r="C17" s="372"/>
      <c r="D17" s="372"/>
      <c r="E17" s="372"/>
      <c r="F17" s="372"/>
      <c r="G17" s="372"/>
      <c r="H17" s="372"/>
      <c r="I17" s="372"/>
      <c r="J17" s="372"/>
    </row>
    <row r="18" spans="1:11">
      <c r="B18" s="374" t="s">
        <v>395</v>
      </c>
      <c r="C18" s="372"/>
      <c r="D18" s="372"/>
      <c r="E18" s="372"/>
      <c r="F18" s="372"/>
      <c r="G18" s="372"/>
      <c r="H18" s="372"/>
      <c r="I18" s="372"/>
      <c r="J18" s="372"/>
    </row>
    <row r="19" spans="1:11">
      <c r="B19" s="372" t="s">
        <v>387</v>
      </c>
      <c r="C19" s="372"/>
      <c r="D19" s="372"/>
      <c r="E19" s="372"/>
      <c r="F19" s="372"/>
      <c r="G19" s="372"/>
      <c r="H19" s="372"/>
      <c r="I19" s="372"/>
      <c r="J19" s="372"/>
    </row>
    <row r="20" spans="1:11">
      <c r="B20" s="374"/>
      <c r="C20" s="372"/>
      <c r="D20" s="372"/>
      <c r="E20" s="372"/>
      <c r="F20" s="372"/>
      <c r="G20" s="372"/>
      <c r="H20" s="372"/>
      <c r="I20" s="372"/>
      <c r="J20" s="372"/>
    </row>
    <row r="21" spans="1:11">
      <c r="B21" s="372" t="s">
        <v>388</v>
      </c>
      <c r="C21" s="372"/>
      <c r="D21" s="372"/>
      <c r="E21" s="372"/>
      <c r="F21" s="372"/>
      <c r="G21" s="372"/>
      <c r="H21" s="372"/>
      <c r="I21" s="372"/>
      <c r="J21" s="372"/>
    </row>
    <row r="22" spans="1:11">
      <c r="B22" s="374" t="s">
        <v>389</v>
      </c>
      <c r="C22" s="372"/>
      <c r="D22" s="372"/>
      <c r="E22" s="372"/>
      <c r="F22" s="372"/>
      <c r="G22" s="372"/>
      <c r="H22" s="372"/>
      <c r="I22" s="372"/>
      <c r="J22" s="372"/>
    </row>
    <row r="23" spans="1:11">
      <c r="B23" s="365"/>
      <c r="C23" s="374" t="s">
        <v>391</v>
      </c>
      <c r="D23" s="372"/>
      <c r="E23" s="372"/>
      <c r="F23" s="372"/>
      <c r="G23" s="372"/>
      <c r="H23" s="372"/>
      <c r="I23" s="372"/>
      <c r="J23" s="372"/>
      <c r="K23" s="372"/>
    </row>
    <row r="24" spans="1:11">
      <c r="B24" s="365"/>
      <c r="C24" s="374" t="s">
        <v>390</v>
      </c>
      <c r="D24" s="372"/>
      <c r="E24" s="372"/>
      <c r="F24" s="372"/>
      <c r="G24" s="372"/>
      <c r="H24" s="372"/>
      <c r="I24" s="372"/>
      <c r="J24" s="372"/>
      <c r="K24" s="372"/>
    </row>
    <row r="25" spans="1:11">
      <c r="B25" s="365"/>
      <c r="C25" s="374" t="s">
        <v>392</v>
      </c>
      <c r="D25" s="372"/>
      <c r="E25" s="372"/>
      <c r="F25" s="372"/>
      <c r="G25" s="372"/>
      <c r="H25" s="372"/>
      <c r="I25" s="372"/>
      <c r="J25" s="372"/>
      <c r="K25" s="372"/>
    </row>
    <row r="26" spans="1:11">
      <c r="A26" s="2" t="s">
        <v>436</v>
      </c>
      <c r="B26" s="365"/>
      <c r="C26" s="365"/>
      <c r="D26" s="365"/>
      <c r="E26" s="365"/>
      <c r="F26" s="365"/>
      <c r="G26" s="365"/>
      <c r="H26" s="365"/>
      <c r="I26" s="365"/>
      <c r="J26" s="365"/>
    </row>
    <row r="27" spans="1:11">
      <c r="B27" s="370" t="s">
        <v>499</v>
      </c>
      <c r="C27" s="370"/>
      <c r="D27" s="370"/>
      <c r="E27" s="370"/>
      <c r="F27" s="370"/>
      <c r="G27" s="370"/>
      <c r="H27" s="370"/>
      <c r="I27" s="370"/>
      <c r="J27" s="370"/>
    </row>
    <row r="28" spans="1:11">
      <c r="B28" s="144"/>
      <c r="C28" s="144"/>
      <c r="D28" s="144"/>
      <c r="E28" s="144"/>
      <c r="F28" s="144"/>
      <c r="G28" s="144"/>
      <c r="H28" s="144"/>
      <c r="I28" s="144"/>
      <c r="J28" s="144"/>
    </row>
    <row r="29" spans="1:11">
      <c r="B29" s="372" t="s">
        <v>251</v>
      </c>
      <c r="C29" s="372"/>
      <c r="D29" s="372"/>
      <c r="E29" s="372"/>
      <c r="F29" s="372"/>
      <c r="G29" s="372"/>
      <c r="H29" s="372"/>
      <c r="I29" s="372"/>
      <c r="J29" s="372"/>
    </row>
    <row r="30" spans="1:11">
      <c r="B30" s="372" t="s">
        <v>252</v>
      </c>
      <c r="C30" s="372"/>
      <c r="D30" s="372"/>
      <c r="E30" s="372"/>
      <c r="F30" s="372"/>
      <c r="G30" s="372"/>
      <c r="H30" s="372"/>
      <c r="I30" s="372"/>
      <c r="J30" s="372"/>
    </row>
    <row r="31" spans="1:11">
      <c r="B31" s="372" t="s">
        <v>253</v>
      </c>
      <c r="C31" s="372"/>
      <c r="D31" s="372"/>
      <c r="E31" s="372"/>
      <c r="F31" s="372"/>
      <c r="G31" s="372"/>
      <c r="H31" s="372"/>
      <c r="I31" s="372"/>
      <c r="J31" s="372"/>
    </row>
    <row r="32" spans="1:11">
      <c r="B32" s="365"/>
      <c r="C32" s="365"/>
      <c r="D32" s="365"/>
      <c r="E32" s="365"/>
      <c r="F32" s="365"/>
      <c r="G32" s="365"/>
      <c r="H32" s="365"/>
      <c r="I32" s="365"/>
      <c r="J32" s="365"/>
    </row>
    <row r="33" spans="2:10">
      <c r="B33" s="370" t="s">
        <v>500</v>
      </c>
      <c r="C33" s="370"/>
      <c r="D33" s="370"/>
      <c r="E33" s="370"/>
      <c r="F33" s="370"/>
      <c r="G33" s="370"/>
      <c r="H33" s="370"/>
      <c r="I33" s="370"/>
      <c r="J33" s="370"/>
    </row>
    <row r="34" spans="2:10">
      <c r="B34" s="144"/>
      <c r="C34" s="144"/>
      <c r="D34" s="144"/>
      <c r="E34" s="144"/>
      <c r="F34" s="144"/>
      <c r="G34" s="144"/>
      <c r="H34" s="144"/>
      <c r="I34" s="144"/>
      <c r="J34" s="144"/>
    </row>
    <row r="35" spans="2:10" ht="30.6" customHeight="1">
      <c r="B35" s="372" t="s">
        <v>256</v>
      </c>
      <c r="C35" s="372"/>
      <c r="D35" s="372"/>
      <c r="E35" s="372"/>
      <c r="F35" s="372"/>
      <c r="G35" s="372"/>
      <c r="H35" s="372"/>
      <c r="I35" s="372"/>
      <c r="J35" s="372"/>
    </row>
    <row r="36" spans="2:10" ht="32.450000000000003" customHeight="1">
      <c r="B36" s="372" t="s">
        <v>255</v>
      </c>
      <c r="C36" s="372"/>
      <c r="D36" s="372"/>
      <c r="E36" s="372"/>
      <c r="F36" s="372"/>
      <c r="G36" s="372"/>
      <c r="H36" s="372"/>
      <c r="I36" s="372"/>
      <c r="J36" s="372"/>
    </row>
    <row r="37" spans="2:10" ht="30.6" customHeight="1">
      <c r="B37" s="372" t="s">
        <v>257</v>
      </c>
      <c r="C37" s="372"/>
      <c r="D37" s="372"/>
      <c r="E37" s="372"/>
      <c r="F37" s="372"/>
      <c r="G37" s="372"/>
      <c r="H37" s="372"/>
      <c r="I37" s="372"/>
      <c r="J37" s="372"/>
    </row>
    <row r="38" spans="2:10" ht="32.25" customHeight="1">
      <c r="B38" s="372" t="s">
        <v>254</v>
      </c>
      <c r="C38" s="372"/>
      <c r="D38" s="372"/>
      <c r="E38" s="372"/>
      <c r="F38" s="372"/>
      <c r="G38" s="372"/>
      <c r="H38" s="372"/>
      <c r="I38" s="372"/>
      <c r="J38" s="372"/>
    </row>
    <row r="39" spans="2:10">
      <c r="B39" s="372"/>
      <c r="C39" s="372"/>
      <c r="D39" s="372"/>
      <c r="E39" s="372"/>
      <c r="F39" s="372"/>
      <c r="G39" s="372"/>
      <c r="H39" s="372"/>
      <c r="I39" s="372"/>
      <c r="J39" s="372"/>
    </row>
    <row r="40" spans="2:10">
      <c r="B40" s="371" t="s">
        <v>501</v>
      </c>
      <c r="C40" s="371"/>
      <c r="D40" s="371"/>
      <c r="E40" s="371"/>
      <c r="F40" s="371"/>
      <c r="G40" s="371"/>
      <c r="H40" s="371"/>
      <c r="I40" s="371"/>
      <c r="J40" s="371"/>
    </row>
    <row r="41" spans="2:10">
      <c r="B41" s="372" t="s">
        <v>259</v>
      </c>
      <c r="C41" s="372"/>
      <c r="D41" s="372"/>
      <c r="E41" s="372"/>
      <c r="F41" s="372"/>
      <c r="G41" s="372"/>
      <c r="H41" s="372"/>
      <c r="I41" s="372"/>
      <c r="J41" s="372"/>
    </row>
    <row r="42" spans="2:10">
      <c r="B42" s="372"/>
      <c r="C42" s="372"/>
      <c r="D42" s="372"/>
      <c r="E42" s="372"/>
      <c r="F42" s="372"/>
      <c r="G42" s="372"/>
      <c r="H42" s="372"/>
      <c r="I42" s="372"/>
      <c r="J42" s="372"/>
    </row>
    <row r="43" spans="2:10">
      <c r="B43" s="371" t="s">
        <v>258</v>
      </c>
      <c r="C43" s="371"/>
      <c r="D43" s="371"/>
      <c r="E43" s="371"/>
      <c r="F43" s="371"/>
      <c r="G43" s="371"/>
      <c r="H43" s="371"/>
      <c r="I43" s="371"/>
      <c r="J43" s="371"/>
    </row>
    <row r="44" spans="2:10">
      <c r="B44" s="372" t="s">
        <v>441</v>
      </c>
      <c r="C44" s="372"/>
      <c r="D44" s="372"/>
      <c r="E44" s="372"/>
      <c r="F44" s="372"/>
      <c r="G44" s="372"/>
      <c r="H44" s="372"/>
      <c r="I44" s="372"/>
      <c r="J44" s="372"/>
    </row>
    <row r="45" spans="2:10">
      <c r="B45" s="372" t="s">
        <v>442</v>
      </c>
      <c r="C45" s="372"/>
      <c r="D45" s="372"/>
      <c r="E45" s="372"/>
      <c r="F45" s="372"/>
      <c r="G45" s="372"/>
      <c r="H45" s="372"/>
      <c r="I45" s="372"/>
      <c r="J45" s="372"/>
    </row>
    <row r="46" spans="2:10">
      <c r="B46" s="372"/>
      <c r="C46" s="372"/>
      <c r="D46" s="372"/>
      <c r="E46" s="372"/>
      <c r="F46" s="372"/>
      <c r="G46" s="372"/>
      <c r="H46" s="372"/>
      <c r="I46" s="372"/>
      <c r="J46" s="372"/>
    </row>
    <row r="47" spans="2:10">
      <c r="B47" s="372" t="s">
        <v>438</v>
      </c>
      <c r="C47" s="372"/>
      <c r="D47" s="372"/>
      <c r="E47" s="372"/>
      <c r="F47" s="372"/>
      <c r="G47" s="372"/>
      <c r="H47" s="372"/>
      <c r="I47" s="372"/>
      <c r="J47" s="372"/>
    </row>
    <row r="48" spans="2:10">
      <c r="B48" s="372" t="s">
        <v>439</v>
      </c>
      <c r="C48" s="372"/>
      <c r="D48" s="372"/>
      <c r="E48" s="372"/>
      <c r="F48" s="372"/>
      <c r="G48" s="372"/>
      <c r="H48" s="372"/>
      <c r="I48" s="372"/>
      <c r="J48" s="372"/>
    </row>
    <row r="49" spans="2:10">
      <c r="B49" s="372" t="s">
        <v>440</v>
      </c>
      <c r="C49" s="372"/>
      <c r="D49" s="372"/>
      <c r="E49" s="372"/>
      <c r="F49" s="372"/>
      <c r="G49" s="372"/>
      <c r="H49" s="372"/>
      <c r="I49" s="372"/>
      <c r="J49" s="372"/>
    </row>
    <row r="50" spans="2:10">
      <c r="B50" s="256"/>
      <c r="C50" s="256"/>
      <c r="D50" s="256"/>
      <c r="E50" s="256"/>
      <c r="F50" s="256"/>
      <c r="G50" s="256"/>
      <c r="H50" s="256"/>
      <c r="I50" s="256"/>
      <c r="J50" s="256"/>
    </row>
    <row r="51" spans="2:10">
      <c r="B51" s="371"/>
      <c r="C51" s="371"/>
      <c r="D51" s="371"/>
      <c r="E51" s="371"/>
      <c r="F51" s="371"/>
      <c r="G51" s="371"/>
      <c r="H51" s="371"/>
      <c r="I51" s="371"/>
      <c r="J51" s="371"/>
    </row>
    <row r="53" spans="2:10" ht="32.25" customHeight="1">
      <c r="B53" s="370"/>
      <c r="C53" s="370"/>
      <c r="D53" s="370"/>
      <c r="E53" s="370"/>
      <c r="F53" s="370"/>
      <c r="G53" s="370"/>
      <c r="H53" s="370"/>
      <c r="I53" s="370"/>
      <c r="J53" s="370"/>
    </row>
  </sheetData>
  <mergeCells count="38">
    <mergeCell ref="B49:J49"/>
    <mergeCell ref="B29:J29"/>
    <mergeCell ref="B41:J41"/>
    <mergeCell ref="B35:J35"/>
    <mergeCell ref="B37:J37"/>
    <mergeCell ref="B36:J36"/>
    <mergeCell ref="B38:J38"/>
    <mergeCell ref="B39:J39"/>
    <mergeCell ref="B51:J51"/>
    <mergeCell ref="B53:J53"/>
    <mergeCell ref="B40:J40"/>
    <mergeCell ref="B42:J42"/>
    <mergeCell ref="B43:J43"/>
    <mergeCell ref="B44:J44"/>
    <mergeCell ref="B47:J47"/>
    <mergeCell ref="B48:J48"/>
    <mergeCell ref="B45:J45"/>
    <mergeCell ref="B46:J46"/>
    <mergeCell ref="B33:J33"/>
    <mergeCell ref="B30:J30"/>
    <mergeCell ref="B13:J13"/>
    <mergeCell ref="B14:J14"/>
    <mergeCell ref="B27:J27"/>
    <mergeCell ref="B31:J31"/>
    <mergeCell ref="B15:J15"/>
    <mergeCell ref="B16:J16"/>
    <mergeCell ref="B17:J17"/>
    <mergeCell ref="B18:J18"/>
    <mergeCell ref="B19:J19"/>
    <mergeCell ref="B9:J9"/>
    <mergeCell ref="B11:J11"/>
    <mergeCell ref="B12:J12"/>
    <mergeCell ref="C24:K24"/>
    <mergeCell ref="C25:K25"/>
    <mergeCell ref="B20:J20"/>
    <mergeCell ref="B21:J21"/>
    <mergeCell ref="B22:J22"/>
    <mergeCell ref="C23:K23"/>
  </mergeCells>
  <phoneticPr fontId="0" type="noConversion"/>
  <pageMargins left="0.75" right="0.75" top="1" bottom="1" header="0.5" footer="0.5"/>
  <pageSetup orientation="landscape" r:id="rId1"/>
  <headerFooter alignWithMargins="0">
    <oddFooter>&amp;C&amp;8Financial Statement Analysis and Security Valuation: Roadmap&amp;R&amp;8Stephen H. Penman 2003</oddFooter>
  </headerFooter>
</worksheet>
</file>

<file path=xl/worksheets/sheet6.xml><?xml version="1.0" encoding="utf-8"?>
<worksheet xmlns="http://schemas.openxmlformats.org/spreadsheetml/2006/main" xmlns:r="http://schemas.openxmlformats.org/officeDocument/2006/relationships">
  <sheetPr codeName="Sheet5">
    <pageSetUpPr fitToPage="1"/>
  </sheetPr>
  <dimension ref="B1:AA196"/>
  <sheetViews>
    <sheetView zoomScaleNormal="100" workbookViewId="0">
      <pane xSplit="2" ySplit="16" topLeftCell="C90" activePane="bottomRight" state="frozen"/>
      <selection pane="topRight" activeCell="C1" sqref="C1"/>
      <selection pane="bottomLeft" activeCell="A17" sqref="A17"/>
      <selection pane="bottomRight"/>
    </sheetView>
  </sheetViews>
  <sheetFormatPr defaultColWidth="9.140625" defaultRowHeight="12.75"/>
  <cols>
    <col min="1" max="1" width="2" customWidth="1"/>
    <col min="2" max="2" width="49.42578125" customWidth="1"/>
    <col min="3" max="3" width="9" customWidth="1"/>
    <col min="4" max="5" width="9.85546875" customWidth="1"/>
    <col min="6" max="6" width="9.28515625" customWidth="1"/>
    <col min="7" max="7" width="11.7109375" customWidth="1"/>
    <col min="8" max="8" width="15.85546875" customWidth="1"/>
    <col min="9" max="9" width="18.28515625" customWidth="1"/>
    <col min="10" max="10" width="11.140625" customWidth="1"/>
    <col min="11" max="11" width="9.140625" style="24" bestFit="1" customWidth="1"/>
    <col min="12" max="12" width="10" customWidth="1"/>
    <col min="13" max="13" width="7.7109375" customWidth="1"/>
    <col min="14" max="14" width="34.5703125" customWidth="1"/>
    <col min="15" max="15" width="14.140625" style="219" customWidth="1"/>
    <col min="16" max="17" width="14.140625" style="66" customWidth="1"/>
    <col min="18" max="18" width="12.7109375" style="66" customWidth="1"/>
    <col min="19" max="19" width="12.85546875" style="66" customWidth="1"/>
    <col min="20" max="20" width="12.7109375" style="66" customWidth="1"/>
    <col min="21" max="21" width="10.140625" customWidth="1"/>
  </cols>
  <sheetData>
    <row r="1" spans="2:20" ht="10.5" customHeight="1"/>
    <row r="2" spans="2:20" ht="15.75">
      <c r="B2" s="1" t="s">
        <v>290</v>
      </c>
    </row>
    <row r="3" spans="2:20" ht="15">
      <c r="B3" s="2" t="s">
        <v>709</v>
      </c>
    </row>
    <row r="4" spans="2:20" ht="15">
      <c r="B4" s="2"/>
    </row>
    <row r="5" spans="2:20" ht="15.75">
      <c r="B5" s="1" t="s">
        <v>495</v>
      </c>
    </row>
    <row r="6" spans="2:20" ht="15.75">
      <c r="B6" s="1"/>
    </row>
    <row r="7" spans="2:20" ht="15.75">
      <c r="B7" s="1" t="s">
        <v>504</v>
      </c>
    </row>
    <row r="8" spans="2:20">
      <c r="B8" s="3" t="s">
        <v>553</v>
      </c>
    </row>
    <row r="9" spans="2:20" ht="15">
      <c r="B9" s="2"/>
    </row>
    <row r="11" spans="2:20">
      <c r="B11" s="3" t="s">
        <v>97</v>
      </c>
      <c r="N11" s="3" t="s">
        <v>681</v>
      </c>
      <c r="O11" s="354"/>
    </row>
    <row r="12" spans="2:20">
      <c r="B12" t="s">
        <v>716</v>
      </c>
      <c r="N12" t="s">
        <v>716</v>
      </c>
    </row>
    <row r="13" spans="2:20" ht="13.5" thickBot="1">
      <c r="B13" s="18"/>
      <c r="C13" t="s">
        <v>98</v>
      </c>
      <c r="D13" t="s">
        <v>98</v>
      </c>
      <c r="E13" t="s">
        <v>98</v>
      </c>
      <c r="F13" t="s">
        <v>98</v>
      </c>
      <c r="G13" t="s">
        <v>98</v>
      </c>
      <c r="H13" t="s">
        <v>98</v>
      </c>
      <c r="I13" t="s">
        <v>98</v>
      </c>
      <c r="J13" s="18"/>
      <c r="K13" s="25"/>
      <c r="P13" s="66" t="s">
        <v>682</v>
      </c>
    </row>
    <row r="14" spans="2:20" ht="13.5" thickBot="1">
      <c r="B14" s="19" t="s">
        <v>98</v>
      </c>
      <c r="C14" s="20" t="s">
        <v>98</v>
      </c>
      <c r="D14" s="20" t="s">
        <v>99</v>
      </c>
      <c r="E14" s="20" t="s">
        <v>100</v>
      </c>
      <c r="F14" s="20" t="s">
        <v>98</v>
      </c>
      <c r="G14" s="377" t="s">
        <v>101</v>
      </c>
      <c r="H14" s="377" t="s">
        <v>102</v>
      </c>
      <c r="I14" s="377" t="s">
        <v>116</v>
      </c>
      <c r="J14" s="377" t="s">
        <v>117</v>
      </c>
      <c r="K14" s="377" t="s">
        <v>118</v>
      </c>
      <c r="R14" s="346"/>
      <c r="S14" s="346"/>
      <c r="T14" s="346"/>
    </row>
    <row r="15" spans="2:20" ht="13.5" thickBot="1">
      <c r="B15" s="16" t="s">
        <v>98</v>
      </c>
      <c r="C15" s="380" t="s">
        <v>119</v>
      </c>
      <c r="D15" s="381"/>
      <c r="E15" s="382" t="s">
        <v>120</v>
      </c>
      <c r="F15" s="382"/>
      <c r="G15" s="378"/>
      <c r="H15" s="378"/>
      <c r="I15" s="378"/>
      <c r="J15" s="378"/>
      <c r="K15" s="378"/>
      <c r="R15" s="375" t="s">
        <v>657</v>
      </c>
      <c r="S15" s="375"/>
      <c r="T15" s="376"/>
    </row>
    <row r="16" spans="2:20" ht="26.25" customHeight="1" thickBot="1">
      <c r="B16" s="18" t="s">
        <v>30</v>
      </c>
      <c r="C16" s="21" t="s">
        <v>121</v>
      </c>
      <c r="D16" s="22" t="s">
        <v>122</v>
      </c>
      <c r="E16" s="21" t="s">
        <v>121</v>
      </c>
      <c r="F16" s="21" t="s">
        <v>122</v>
      </c>
      <c r="G16" s="379"/>
      <c r="H16" s="379"/>
      <c r="I16" s="379"/>
      <c r="J16" s="379"/>
      <c r="K16" s="379"/>
      <c r="N16" s="18"/>
      <c r="O16" s="355"/>
      <c r="P16" s="346"/>
      <c r="Q16" s="346"/>
      <c r="R16" s="356" t="s">
        <v>655</v>
      </c>
      <c r="S16" s="357" t="s">
        <v>679</v>
      </c>
      <c r="T16" s="358" t="s">
        <v>658</v>
      </c>
    </row>
    <row r="17" spans="2:21">
      <c r="B17" t="s">
        <v>592</v>
      </c>
      <c r="C17" s="10">
        <v>25.9</v>
      </c>
      <c r="D17" s="9">
        <v>0.2</v>
      </c>
      <c r="E17" s="10">
        <v>45.6</v>
      </c>
      <c r="F17" s="9">
        <v>2.7</v>
      </c>
      <c r="G17" s="9">
        <v>122.4</v>
      </c>
      <c r="H17" s="9">
        <v>0</v>
      </c>
      <c r="I17" s="9">
        <v>1.6</v>
      </c>
      <c r="J17" s="9">
        <v>1837.8</v>
      </c>
      <c r="K17" s="264">
        <v>1964.7</v>
      </c>
      <c r="N17" t="s">
        <v>604</v>
      </c>
      <c r="O17" s="66"/>
      <c r="Q17" s="349">
        <f>+K17</f>
        <v>1964.7</v>
      </c>
      <c r="R17" s="307">
        <v>0</v>
      </c>
      <c r="S17" s="359">
        <f>H17</f>
        <v>0</v>
      </c>
      <c r="T17" s="360">
        <f>K17+R17+S17</f>
        <v>1964.7</v>
      </c>
      <c r="U17" s="268"/>
    </row>
    <row r="18" spans="2:21">
      <c r="B18" t="s">
        <v>123</v>
      </c>
      <c r="C18" s="67" t="s">
        <v>98</v>
      </c>
      <c r="D18" s="67" t="s">
        <v>98</v>
      </c>
      <c r="E18" s="67">
        <v>0.7</v>
      </c>
      <c r="F18" s="67" t="s">
        <v>98</v>
      </c>
      <c r="G18" s="67">
        <v>32.799999999999997</v>
      </c>
      <c r="H18" s="67"/>
      <c r="I18" s="67" t="s">
        <v>98</v>
      </c>
      <c r="J18" s="67" t="s">
        <v>98</v>
      </c>
      <c r="K18" s="165">
        <v>32.799999999999997</v>
      </c>
      <c r="N18" s="3" t="s">
        <v>133</v>
      </c>
      <c r="O18" s="361"/>
      <c r="P18" s="219"/>
      <c r="Q18" s="219"/>
      <c r="R18" s="307"/>
      <c r="S18" s="359"/>
      <c r="T18" s="362"/>
      <c r="U18" s="268"/>
    </row>
    <row r="19" spans="2:21">
      <c r="B19" t="s">
        <v>127</v>
      </c>
      <c r="C19" s="67">
        <v>-0.7</v>
      </c>
      <c r="D19" s="67" t="s">
        <v>98</v>
      </c>
      <c r="E19" s="67">
        <v>0.7</v>
      </c>
      <c r="F19" s="67" t="s">
        <v>98</v>
      </c>
      <c r="G19" s="67" t="s">
        <v>98</v>
      </c>
      <c r="H19" s="67"/>
      <c r="I19" s="67" t="s">
        <v>98</v>
      </c>
      <c r="J19" s="67" t="s">
        <v>98</v>
      </c>
      <c r="K19" s="165">
        <v>0</v>
      </c>
      <c r="N19" s="23" t="s">
        <v>134</v>
      </c>
      <c r="O19" s="302"/>
      <c r="P19" s="219">
        <f>+K18</f>
        <v>32.799999999999997</v>
      </c>
      <c r="Q19" s="219"/>
      <c r="R19" s="307"/>
      <c r="S19" s="359"/>
      <c r="T19" s="362"/>
      <c r="U19" s="268"/>
    </row>
    <row r="20" spans="2:21">
      <c r="B20" t="s">
        <v>128</v>
      </c>
      <c r="C20" s="67" t="s">
        <v>98</v>
      </c>
      <c r="D20" s="67" t="s">
        <v>98</v>
      </c>
      <c r="E20" s="67">
        <v>-0.2</v>
      </c>
      <c r="F20" s="67" t="s">
        <v>98</v>
      </c>
      <c r="G20" s="67">
        <v>-0.4</v>
      </c>
      <c r="H20" s="67"/>
      <c r="I20" s="67" t="s">
        <v>98</v>
      </c>
      <c r="J20" s="67">
        <v>-18.3</v>
      </c>
      <c r="K20" s="165">
        <v>-18.7</v>
      </c>
      <c r="N20" s="23" t="s">
        <v>135</v>
      </c>
      <c r="O20" s="302"/>
      <c r="P20" s="219">
        <f>+K20</f>
        <v>-18.7</v>
      </c>
      <c r="Q20" s="219"/>
      <c r="R20" s="307"/>
      <c r="S20" s="359"/>
      <c r="T20" s="362"/>
      <c r="U20" s="268"/>
    </row>
    <row r="21" spans="2:21">
      <c r="B21" t="s">
        <v>593</v>
      </c>
      <c r="C21" s="67">
        <v>25.9</v>
      </c>
      <c r="D21" s="67" t="s">
        <v>98</v>
      </c>
      <c r="E21" s="67">
        <v>45.7</v>
      </c>
      <c r="F21" s="67" t="s">
        <v>98</v>
      </c>
      <c r="G21" s="67" t="s">
        <v>98</v>
      </c>
      <c r="H21" s="67"/>
      <c r="I21" s="67" t="s">
        <v>98</v>
      </c>
      <c r="J21" s="67" t="s">
        <v>98</v>
      </c>
      <c r="K21" s="165" t="s">
        <v>98</v>
      </c>
      <c r="N21" s="23" t="s">
        <v>136</v>
      </c>
      <c r="O21" s="302"/>
      <c r="P21" s="215">
        <f>+K22</f>
        <v>-82.5</v>
      </c>
      <c r="Q21" s="215">
        <f>SUM(P19:P21)</f>
        <v>-68.400000000000006</v>
      </c>
      <c r="R21" s="307"/>
      <c r="S21" s="359"/>
      <c r="T21" s="362"/>
      <c r="U21" s="268"/>
    </row>
    <row r="22" spans="2:21">
      <c r="B22" t="s">
        <v>124</v>
      </c>
      <c r="C22" s="67" t="s">
        <v>98</v>
      </c>
      <c r="D22" s="67" t="s">
        <v>98</v>
      </c>
      <c r="E22" s="67" t="s">
        <v>98</v>
      </c>
      <c r="F22" s="67" t="s">
        <v>98</v>
      </c>
      <c r="G22" s="67" t="s">
        <v>98</v>
      </c>
      <c r="H22" s="67"/>
      <c r="I22" s="67" t="s">
        <v>98</v>
      </c>
      <c r="J22" s="67">
        <v>-82.5</v>
      </c>
      <c r="K22" s="165">
        <v>-82.5</v>
      </c>
      <c r="N22" s="3" t="s">
        <v>125</v>
      </c>
      <c r="O22" s="361"/>
      <c r="P22" s="219"/>
      <c r="Q22" s="219"/>
      <c r="R22" s="307"/>
      <c r="S22" s="359"/>
      <c r="T22" s="362"/>
      <c r="U22" s="268"/>
    </row>
    <row r="23" spans="2:21">
      <c r="B23" t="s">
        <v>594</v>
      </c>
      <c r="C23" s="67"/>
      <c r="D23" s="67"/>
      <c r="E23" s="67"/>
      <c r="F23" s="67"/>
      <c r="G23" s="67"/>
      <c r="H23" s="67"/>
      <c r="I23" s="67"/>
      <c r="J23" s="67"/>
      <c r="K23" s="165"/>
      <c r="L23" s="9"/>
      <c r="N23" s="23" t="s">
        <v>26</v>
      </c>
      <c r="O23" s="302"/>
      <c r="P23" s="219">
        <f>+K24</f>
        <v>553.20000000000005</v>
      </c>
      <c r="Q23" s="219"/>
      <c r="R23" s="307"/>
      <c r="S23" s="359"/>
      <c r="T23" s="362"/>
      <c r="U23" s="268"/>
    </row>
    <row r="24" spans="2:21">
      <c r="B24" s="23" t="s">
        <v>26</v>
      </c>
      <c r="C24" s="67" t="s">
        <v>98</v>
      </c>
      <c r="D24" s="67" t="s">
        <v>98</v>
      </c>
      <c r="E24" s="67" t="s">
        <v>98</v>
      </c>
      <c r="F24" s="67" t="s">
        <v>98</v>
      </c>
      <c r="G24" s="67" t="s">
        <v>98</v>
      </c>
      <c r="H24" s="67"/>
      <c r="I24" s="67" t="s">
        <v>98</v>
      </c>
      <c r="J24" s="67">
        <v>553.20000000000005</v>
      </c>
      <c r="K24" s="165">
        <v>553.20000000000005</v>
      </c>
      <c r="N24" s="23" t="s">
        <v>137</v>
      </c>
      <c r="O24" s="302"/>
      <c r="P24" s="219">
        <f>+K25</f>
        <v>-18.100000000000001</v>
      </c>
      <c r="Q24" s="219"/>
      <c r="R24" s="307"/>
      <c r="S24" s="359"/>
      <c r="T24" s="362"/>
      <c r="U24" s="268"/>
    </row>
    <row r="25" spans="2:21">
      <c r="B25" s="23" t="s">
        <v>595</v>
      </c>
      <c r="C25" s="67"/>
      <c r="D25" s="67"/>
      <c r="E25" s="67"/>
      <c r="F25" s="67"/>
      <c r="G25" s="67"/>
      <c r="H25" s="67"/>
      <c r="I25" s="72">
        <v>-18.100000000000001</v>
      </c>
      <c r="J25" s="72"/>
      <c r="K25" s="265">
        <v>-18.100000000000001</v>
      </c>
      <c r="L25" s="9"/>
      <c r="N25" s="23" t="s">
        <v>683</v>
      </c>
      <c r="O25" s="363">
        <v>0</v>
      </c>
      <c r="P25" s="219"/>
      <c r="Q25" s="219"/>
      <c r="R25" s="219"/>
      <c r="S25" s="219"/>
      <c r="U25" s="268"/>
    </row>
    <row r="26" spans="2:21">
      <c r="B26" s="15" t="s">
        <v>132</v>
      </c>
      <c r="C26" s="75"/>
      <c r="D26" s="75"/>
      <c r="E26" s="75"/>
      <c r="F26" s="75"/>
      <c r="G26" s="75"/>
      <c r="H26" s="75"/>
      <c r="I26" s="67">
        <v>-18.100000000000001</v>
      </c>
      <c r="J26" s="67">
        <f>+J24+I25</f>
        <v>535.1</v>
      </c>
      <c r="K26" s="165">
        <f>+J26</f>
        <v>535.1</v>
      </c>
      <c r="L26" s="9"/>
      <c r="N26" s="23" t="s">
        <v>685</v>
      </c>
      <c r="O26" s="304">
        <v>0</v>
      </c>
      <c r="P26" s="219">
        <f>-(O25+O26)</f>
        <v>0</v>
      </c>
      <c r="Q26" s="219"/>
      <c r="R26" s="219"/>
      <c r="S26" s="219"/>
      <c r="U26" s="268"/>
    </row>
    <row r="27" spans="2:21" ht="13.5" thickBot="1">
      <c r="B27" s="213" t="s">
        <v>596</v>
      </c>
      <c r="C27" s="78">
        <v>51.1</v>
      </c>
      <c r="D27" s="78">
        <v>0.2</v>
      </c>
      <c r="E27" s="78">
        <v>92.5</v>
      </c>
      <c r="F27" s="78">
        <v>2.7</v>
      </c>
      <c r="G27" s="78">
        <v>154.80000000000001</v>
      </c>
      <c r="H27" s="78">
        <v>0</v>
      </c>
      <c r="I27" s="78">
        <v>-16.5</v>
      </c>
      <c r="J27" s="78">
        <v>2290.1999999999998</v>
      </c>
      <c r="K27" s="266">
        <v>2431.4</v>
      </c>
      <c r="N27" s="23" t="s">
        <v>138</v>
      </c>
      <c r="O27" s="302"/>
      <c r="P27" s="307">
        <v>0</v>
      </c>
      <c r="Q27" s="307">
        <f>SUM(P23:P27)</f>
        <v>535.1</v>
      </c>
      <c r="R27" s="307"/>
      <c r="S27" s="359"/>
      <c r="T27" s="362"/>
      <c r="U27" s="268"/>
    </row>
    <row r="28" spans="2:21" ht="14.25" thickTop="1" thickBot="1">
      <c r="B28" t="s">
        <v>123</v>
      </c>
      <c r="C28" s="67" t="s">
        <v>98</v>
      </c>
      <c r="D28" s="67" t="s">
        <v>98</v>
      </c>
      <c r="E28" s="67">
        <v>1.5</v>
      </c>
      <c r="F28" s="67" t="s">
        <v>98</v>
      </c>
      <c r="G28" s="67">
        <v>55.8</v>
      </c>
      <c r="H28" s="67"/>
      <c r="I28" s="67" t="s">
        <v>98</v>
      </c>
      <c r="J28" s="67" t="s">
        <v>98</v>
      </c>
      <c r="K28" s="165">
        <v>55.8</v>
      </c>
      <c r="N28" s="213" t="s">
        <v>605</v>
      </c>
      <c r="O28" s="297"/>
      <c r="P28" s="347"/>
      <c r="Q28" s="347">
        <f>+Q17+Q21+Q27</f>
        <v>2431.4</v>
      </c>
      <c r="R28" s="299">
        <v>0</v>
      </c>
      <c r="S28" s="299">
        <v>0</v>
      </c>
      <c r="T28" s="299">
        <f>K27+R28+S28</f>
        <v>2431.4</v>
      </c>
      <c r="U28" s="268"/>
    </row>
    <row r="29" spans="2:21" ht="13.5" thickTop="1">
      <c r="B29" t="s">
        <v>127</v>
      </c>
      <c r="C29" s="67">
        <v>-0.3</v>
      </c>
      <c r="D29" s="67" t="s">
        <v>98</v>
      </c>
      <c r="E29" s="67">
        <v>0.3</v>
      </c>
      <c r="F29" s="67" t="s">
        <v>98</v>
      </c>
      <c r="G29" s="67" t="s">
        <v>98</v>
      </c>
      <c r="H29" s="67"/>
      <c r="I29" s="67" t="s">
        <v>98</v>
      </c>
      <c r="J29" s="67" t="s">
        <v>98</v>
      </c>
      <c r="K29" s="165">
        <v>0</v>
      </c>
      <c r="N29" s="3" t="s">
        <v>133</v>
      </c>
      <c r="O29" s="361"/>
      <c r="P29" s="219"/>
      <c r="Q29" s="219"/>
      <c r="R29" s="307"/>
      <c r="S29" s="359"/>
      <c r="T29" s="362"/>
      <c r="U29" s="268"/>
    </row>
    <row r="30" spans="2:21">
      <c r="B30" t="s">
        <v>597</v>
      </c>
      <c r="C30" s="67">
        <v>50.9</v>
      </c>
      <c r="D30" s="67" t="s">
        <v>98</v>
      </c>
      <c r="E30" s="67">
        <v>93.3</v>
      </c>
      <c r="F30" s="67" t="s">
        <v>98</v>
      </c>
      <c r="G30" s="67" t="s">
        <v>98</v>
      </c>
      <c r="H30" s="67"/>
      <c r="I30" s="67" t="s">
        <v>98</v>
      </c>
      <c r="J30" s="67" t="s">
        <v>98</v>
      </c>
      <c r="K30" s="165" t="s">
        <v>98</v>
      </c>
      <c r="N30" s="23" t="s">
        <v>134</v>
      </c>
      <c r="O30" s="302"/>
      <c r="P30" s="219">
        <f>+K28</f>
        <v>55.8</v>
      </c>
      <c r="Q30" s="219"/>
      <c r="R30" s="307"/>
      <c r="S30" s="359"/>
      <c r="T30" s="362"/>
      <c r="U30" s="268"/>
    </row>
    <row r="31" spans="2:21">
      <c r="B31" t="s">
        <v>124</v>
      </c>
      <c r="C31" s="67" t="s">
        <v>98</v>
      </c>
      <c r="D31" s="67" t="s">
        <v>98</v>
      </c>
      <c r="E31" s="67" t="s">
        <v>98</v>
      </c>
      <c r="F31" s="67" t="s">
        <v>98</v>
      </c>
      <c r="G31" s="67" t="s">
        <v>98</v>
      </c>
      <c r="H31" s="67"/>
      <c r="I31" s="67"/>
      <c r="J31" s="67">
        <v>-108.2</v>
      </c>
      <c r="K31" s="165">
        <v>-108.2</v>
      </c>
      <c r="N31" s="23" t="s">
        <v>135</v>
      </c>
      <c r="O31" s="302"/>
      <c r="P31" s="219">
        <v>0</v>
      </c>
      <c r="Q31" s="219"/>
      <c r="R31" s="307"/>
      <c r="S31" s="359"/>
      <c r="T31" s="362"/>
      <c r="U31" s="268"/>
    </row>
    <row r="32" spans="2:21" ht="25.5">
      <c r="B32" s="260" t="s">
        <v>598</v>
      </c>
      <c r="C32" s="67" t="s">
        <v>98</v>
      </c>
      <c r="D32" s="67" t="s">
        <v>98</v>
      </c>
      <c r="E32" s="67" t="s">
        <v>98</v>
      </c>
      <c r="F32" s="67" t="s">
        <v>98</v>
      </c>
      <c r="G32" s="67" t="s">
        <v>98</v>
      </c>
      <c r="H32" s="67"/>
      <c r="I32" s="67" t="s">
        <v>98</v>
      </c>
      <c r="J32" s="67">
        <v>-4.0999999999999996</v>
      </c>
      <c r="K32" s="165">
        <v>-4.0999999999999996</v>
      </c>
      <c r="N32" s="23" t="s">
        <v>136</v>
      </c>
      <c r="O32" s="302"/>
      <c r="P32" s="215">
        <f>+K31</f>
        <v>-108.2</v>
      </c>
      <c r="Q32" s="215">
        <f>SUM(P30:P32)</f>
        <v>-52.400000000000006</v>
      </c>
      <c r="R32" s="307"/>
      <c r="S32" s="359"/>
      <c r="T32" s="362"/>
      <c r="U32" s="268"/>
    </row>
    <row r="33" spans="2:21">
      <c r="B33" t="s">
        <v>594</v>
      </c>
      <c r="C33" s="67"/>
      <c r="D33" s="67"/>
      <c r="E33" s="67"/>
      <c r="F33" s="67"/>
      <c r="G33" s="67"/>
      <c r="H33" s="67"/>
      <c r="I33" s="67"/>
      <c r="J33" s="67"/>
      <c r="K33" s="165"/>
      <c r="N33" s="3" t="s">
        <v>125</v>
      </c>
      <c r="O33" s="361"/>
      <c r="P33" s="219"/>
      <c r="Q33" s="219"/>
      <c r="R33" s="307"/>
      <c r="S33" s="359"/>
      <c r="T33" s="362"/>
      <c r="U33" s="268"/>
    </row>
    <row r="34" spans="2:21" ht="15.75" customHeight="1">
      <c r="B34" s="23" t="s">
        <v>26</v>
      </c>
      <c r="C34" s="67" t="s">
        <v>98</v>
      </c>
      <c r="D34" s="67" t="s">
        <v>98</v>
      </c>
      <c r="E34" s="67" t="s">
        <v>98</v>
      </c>
      <c r="F34" s="67" t="s">
        <v>98</v>
      </c>
      <c r="G34" s="67" t="s">
        <v>98</v>
      </c>
      <c r="H34" s="67"/>
      <c r="I34" s="67" t="s">
        <v>98</v>
      </c>
      <c r="J34" s="67">
        <v>795.8</v>
      </c>
      <c r="K34" s="165">
        <v>795.8</v>
      </c>
      <c r="N34" s="23" t="s">
        <v>26</v>
      </c>
      <c r="O34" s="302"/>
      <c r="P34" s="219">
        <f>+K34</f>
        <v>795.8</v>
      </c>
      <c r="Q34" s="219"/>
      <c r="R34" s="307"/>
      <c r="S34" s="359"/>
      <c r="T34" s="362"/>
      <c r="U34" s="268"/>
    </row>
    <row r="35" spans="2:21">
      <c r="B35" s="23" t="s">
        <v>595</v>
      </c>
      <c r="C35" s="67"/>
      <c r="D35" s="67"/>
      <c r="E35" s="67"/>
      <c r="F35" s="67"/>
      <c r="G35" s="67"/>
      <c r="H35" s="67"/>
      <c r="I35" s="72">
        <v>-14.8</v>
      </c>
      <c r="J35" s="67"/>
      <c r="K35" s="165">
        <f>+I35</f>
        <v>-14.8</v>
      </c>
      <c r="N35" s="23" t="s">
        <v>137</v>
      </c>
      <c r="O35" s="302"/>
      <c r="P35" s="219">
        <f>K32+K35</f>
        <v>-18.899999999999999</v>
      </c>
      <c r="Q35" s="219"/>
      <c r="R35" s="307"/>
      <c r="S35" s="359"/>
      <c r="T35" s="362"/>
      <c r="U35" s="268"/>
    </row>
    <row r="36" spans="2:21">
      <c r="B36" s="15" t="s">
        <v>132</v>
      </c>
      <c r="C36" s="75" t="s">
        <v>98</v>
      </c>
      <c r="D36" s="75" t="s">
        <v>98</v>
      </c>
      <c r="E36" s="75" t="s">
        <v>98</v>
      </c>
      <c r="F36" s="75" t="s">
        <v>98</v>
      </c>
      <c r="G36" s="75" t="s">
        <v>98</v>
      </c>
      <c r="H36" s="75"/>
      <c r="I36" s="67">
        <v>-14.8</v>
      </c>
      <c r="J36" s="75">
        <f>+J34+J32</f>
        <v>791.69999999999993</v>
      </c>
      <c r="K36" s="166">
        <f>SUM(K34:K35)</f>
        <v>781</v>
      </c>
      <c r="L36" s="10"/>
      <c r="N36" s="23" t="s">
        <v>683</v>
      </c>
      <c r="O36" s="363">
        <v>0</v>
      </c>
      <c r="P36" s="219"/>
      <c r="Q36" s="219"/>
      <c r="R36" s="219"/>
      <c r="S36" s="219"/>
      <c r="U36" s="268"/>
    </row>
    <row r="37" spans="2:21" ht="13.5" thickBot="1">
      <c r="B37" s="213" t="s">
        <v>599</v>
      </c>
      <c r="C37" s="78">
        <v>101.7</v>
      </c>
      <c r="D37" s="78">
        <v>0.2</v>
      </c>
      <c r="E37" s="78">
        <v>187.6</v>
      </c>
      <c r="F37" s="78">
        <v>2.7</v>
      </c>
      <c r="G37" s="78">
        <v>210.6</v>
      </c>
      <c r="H37" s="78">
        <v>0</v>
      </c>
      <c r="I37" s="78">
        <v>-31.3</v>
      </c>
      <c r="J37" s="78">
        <v>2973.7</v>
      </c>
      <c r="K37" s="266">
        <v>3155.9</v>
      </c>
      <c r="N37" s="23" t="s">
        <v>685</v>
      </c>
      <c r="O37" s="304">
        <v>0</v>
      </c>
      <c r="P37" s="219">
        <f>-(O36+O37)</f>
        <v>0</v>
      </c>
      <c r="Q37" s="219"/>
      <c r="R37" s="219"/>
      <c r="S37" s="219"/>
      <c r="U37" s="268"/>
    </row>
    <row r="38" spans="2:21" ht="13.5" thickTop="1">
      <c r="B38" t="s">
        <v>123</v>
      </c>
      <c r="C38" s="67" t="s">
        <v>98</v>
      </c>
      <c r="D38" s="67" t="s">
        <v>98</v>
      </c>
      <c r="E38" s="67">
        <v>2.1</v>
      </c>
      <c r="F38" s="67" t="s">
        <v>98</v>
      </c>
      <c r="G38" s="67">
        <v>57.2</v>
      </c>
      <c r="H38" s="67" t="s">
        <v>98</v>
      </c>
      <c r="I38" s="67" t="s">
        <v>98</v>
      </c>
      <c r="J38" s="67" t="s">
        <v>98</v>
      </c>
      <c r="K38" s="165">
        <v>57.2</v>
      </c>
      <c r="N38" s="23" t="s">
        <v>138</v>
      </c>
      <c r="O38" s="302"/>
      <c r="P38" s="307">
        <v>0</v>
      </c>
      <c r="Q38" s="307">
        <f>SUM(P34:P38)</f>
        <v>776.9</v>
      </c>
      <c r="R38" s="307"/>
      <c r="S38" s="359"/>
      <c r="T38" s="362"/>
      <c r="U38" s="268"/>
    </row>
    <row r="39" spans="2:21" ht="13.5" thickBot="1">
      <c r="B39" t="s">
        <v>600</v>
      </c>
      <c r="C39" s="67">
        <v>-0.2</v>
      </c>
      <c r="D39" s="67" t="s">
        <v>98</v>
      </c>
      <c r="E39" s="67">
        <v>0.2</v>
      </c>
      <c r="F39" s="67" t="s">
        <v>98</v>
      </c>
      <c r="G39" s="67" t="s">
        <v>98</v>
      </c>
      <c r="H39" s="67" t="s">
        <v>98</v>
      </c>
      <c r="I39" s="67" t="s">
        <v>98</v>
      </c>
      <c r="J39" s="67" t="s">
        <v>98</v>
      </c>
      <c r="K39" s="165" t="s">
        <v>98</v>
      </c>
      <c r="N39" s="213" t="s">
        <v>606</v>
      </c>
      <c r="O39" s="297"/>
      <c r="P39" s="347"/>
      <c r="Q39" s="347">
        <f>+Q38+Q32+Q28</f>
        <v>3155.9</v>
      </c>
      <c r="R39" s="299">
        <v>0</v>
      </c>
      <c r="S39" s="299">
        <v>0</v>
      </c>
      <c r="T39" s="299">
        <f>K37+R39+S39</f>
        <v>3155.9</v>
      </c>
      <c r="U39" s="268"/>
    </row>
    <row r="40" spans="2:21" ht="13.5" thickTop="1">
      <c r="B40" t="s">
        <v>128</v>
      </c>
      <c r="C40" s="67" t="s">
        <v>98</v>
      </c>
      <c r="D40" s="67" t="s">
        <v>98</v>
      </c>
      <c r="E40" s="67">
        <v>-4.4000000000000004</v>
      </c>
      <c r="F40" s="67" t="s">
        <v>98</v>
      </c>
      <c r="G40" s="67">
        <v>-5.3</v>
      </c>
      <c r="H40" s="67" t="s">
        <v>98</v>
      </c>
      <c r="I40" s="67" t="s">
        <v>98</v>
      </c>
      <c r="J40" s="67">
        <v>-197</v>
      </c>
      <c r="K40" s="165">
        <v>-202.3</v>
      </c>
      <c r="N40" s="3" t="s">
        <v>133</v>
      </c>
      <c r="O40" s="361"/>
      <c r="P40" s="219"/>
      <c r="Q40" s="219"/>
      <c r="R40" s="307"/>
      <c r="S40" s="359"/>
      <c r="T40" s="362"/>
      <c r="U40" s="268"/>
    </row>
    <row r="41" spans="2:21">
      <c r="B41" t="s">
        <v>124</v>
      </c>
      <c r="C41" s="67" t="s">
        <v>98</v>
      </c>
      <c r="D41" s="67" t="s">
        <v>98</v>
      </c>
      <c r="E41" s="67" t="s">
        <v>98</v>
      </c>
      <c r="F41" s="67" t="s">
        <v>98</v>
      </c>
      <c r="G41" s="67" t="s">
        <v>98</v>
      </c>
      <c r="H41" s="67" t="s">
        <v>98</v>
      </c>
      <c r="I41" s="67" t="s">
        <v>98</v>
      </c>
      <c r="J41" s="67">
        <v>-132.9</v>
      </c>
      <c r="K41" s="165">
        <v>-132.9</v>
      </c>
      <c r="N41" s="23" t="s">
        <v>134</v>
      </c>
      <c r="O41" s="302"/>
      <c r="P41" s="219">
        <f>+K38</f>
        <v>57.2</v>
      </c>
      <c r="Q41" s="219"/>
      <c r="R41" s="307"/>
      <c r="S41" s="359"/>
      <c r="T41" s="362"/>
      <c r="U41" s="268"/>
    </row>
    <row r="42" spans="2:21">
      <c r="B42" t="s">
        <v>594</v>
      </c>
      <c r="C42" s="67" t="s">
        <v>98</v>
      </c>
      <c r="D42" s="67" t="s">
        <v>98</v>
      </c>
      <c r="E42" s="67" t="s">
        <v>98</v>
      </c>
      <c r="F42" s="67" t="s">
        <v>98</v>
      </c>
      <c r="G42" s="67" t="s">
        <v>98</v>
      </c>
      <c r="H42" s="67" t="s">
        <v>98</v>
      </c>
      <c r="I42" s="67" t="s">
        <v>98</v>
      </c>
      <c r="J42" s="67" t="s">
        <v>98</v>
      </c>
      <c r="K42" s="165" t="s">
        <v>98</v>
      </c>
      <c r="N42" s="23" t="s">
        <v>135</v>
      </c>
      <c r="O42" s="302"/>
      <c r="P42" s="219">
        <f>+K40</f>
        <v>-202.3</v>
      </c>
      <c r="Q42" s="219"/>
      <c r="R42" s="307"/>
      <c r="S42" s="359"/>
      <c r="T42" s="362"/>
      <c r="U42" s="268"/>
    </row>
    <row r="43" spans="2:21">
      <c r="B43" s="267" t="s">
        <v>26</v>
      </c>
      <c r="C43" s="67" t="s">
        <v>98</v>
      </c>
      <c r="D43" s="67" t="s">
        <v>98</v>
      </c>
      <c r="E43" s="67" t="s">
        <v>98</v>
      </c>
      <c r="F43" s="67" t="s">
        <v>98</v>
      </c>
      <c r="G43" s="67" t="s">
        <v>98</v>
      </c>
      <c r="H43" s="67" t="s">
        <v>98</v>
      </c>
      <c r="I43" s="67" t="s">
        <v>98</v>
      </c>
      <c r="J43" s="67">
        <v>399.6</v>
      </c>
      <c r="K43" s="165">
        <v>399.6</v>
      </c>
      <c r="N43" s="23" t="s">
        <v>136</v>
      </c>
      <c r="O43" s="302"/>
      <c r="P43" s="215">
        <f>+K41</f>
        <v>-132.9</v>
      </c>
      <c r="Q43" s="215">
        <f>SUM(P41:P43)</f>
        <v>-278</v>
      </c>
      <c r="R43" s="307"/>
      <c r="S43" s="359"/>
      <c r="T43" s="362"/>
      <c r="U43" s="268"/>
    </row>
    <row r="44" spans="2:21">
      <c r="B44" s="267" t="s">
        <v>601</v>
      </c>
      <c r="C44" s="67" t="s">
        <v>98</v>
      </c>
      <c r="D44" s="67" t="s">
        <v>98</v>
      </c>
      <c r="E44" s="67" t="s">
        <v>98</v>
      </c>
      <c r="F44" s="67" t="s">
        <v>98</v>
      </c>
      <c r="G44" s="67" t="s">
        <v>98</v>
      </c>
      <c r="H44" s="67" t="s">
        <v>98</v>
      </c>
      <c r="I44" s="67">
        <v>-15.9</v>
      </c>
      <c r="J44" s="67" t="s">
        <v>98</v>
      </c>
      <c r="K44" s="165">
        <v>-15.9</v>
      </c>
      <c r="N44" s="3" t="s">
        <v>125</v>
      </c>
      <c r="O44" s="361"/>
      <c r="P44" s="219"/>
      <c r="Q44" s="219"/>
      <c r="R44" s="307"/>
      <c r="S44" s="359"/>
      <c r="T44" s="362"/>
      <c r="U44" s="268"/>
    </row>
    <row r="45" spans="2:21">
      <c r="B45" s="15" t="s">
        <v>125</v>
      </c>
      <c r="C45" s="75" t="s">
        <v>98</v>
      </c>
      <c r="D45" s="75" t="s">
        <v>98</v>
      </c>
      <c r="E45" s="75" t="s">
        <v>98</v>
      </c>
      <c r="F45" s="75" t="s">
        <v>98</v>
      </c>
      <c r="G45" s="75" t="s">
        <v>98</v>
      </c>
      <c r="H45" s="75" t="s">
        <v>98</v>
      </c>
      <c r="I45" s="75">
        <v>-15.9</v>
      </c>
      <c r="J45" s="75">
        <v>399.6</v>
      </c>
      <c r="K45" s="166">
        <v>383.7</v>
      </c>
      <c r="L45" s="10"/>
      <c r="N45" s="23" t="s">
        <v>26</v>
      </c>
      <c r="O45" s="302"/>
      <c r="P45" s="219">
        <f>+K43</f>
        <v>399.6</v>
      </c>
      <c r="Q45" s="219"/>
      <c r="R45" s="307"/>
      <c r="S45" s="359"/>
      <c r="T45" s="362"/>
      <c r="U45" s="268"/>
    </row>
    <row r="46" spans="2:21" ht="13.5" thickBot="1">
      <c r="B46" s="213" t="s">
        <v>602</v>
      </c>
      <c r="C46" s="78">
        <v>101.5</v>
      </c>
      <c r="D46" s="78">
        <v>0.2</v>
      </c>
      <c r="E46" s="78">
        <v>185.5</v>
      </c>
      <c r="F46" s="78">
        <v>2.7</v>
      </c>
      <c r="G46" s="78">
        <v>262.5</v>
      </c>
      <c r="H46" s="78">
        <v>0</v>
      </c>
      <c r="I46" s="78">
        <v>-47.2</v>
      </c>
      <c r="J46" s="78">
        <v>3043.4</v>
      </c>
      <c r="K46" s="266">
        <v>3261.6</v>
      </c>
      <c r="N46" s="23" t="s">
        <v>137</v>
      </c>
      <c r="O46" s="302"/>
      <c r="P46" s="219">
        <f>+K44</f>
        <v>-15.9</v>
      </c>
      <c r="Q46" s="219"/>
      <c r="R46" s="307"/>
      <c r="S46" s="359"/>
      <c r="T46" s="362"/>
      <c r="U46" s="268"/>
    </row>
    <row r="47" spans="2:21" ht="13.5" thickTop="1">
      <c r="B47" t="s">
        <v>123</v>
      </c>
      <c r="C47" s="67" t="s">
        <v>98</v>
      </c>
      <c r="D47" s="67" t="s">
        <v>98</v>
      </c>
      <c r="E47" s="67">
        <v>2.7</v>
      </c>
      <c r="F47" s="67" t="s">
        <v>98</v>
      </c>
      <c r="G47" s="67">
        <v>80.5</v>
      </c>
      <c r="H47" s="67" t="s">
        <v>98</v>
      </c>
      <c r="I47" s="67" t="s">
        <v>98</v>
      </c>
      <c r="J47" s="67" t="s">
        <v>98</v>
      </c>
      <c r="K47" s="165">
        <v>80.5</v>
      </c>
      <c r="N47" s="23" t="s">
        <v>683</v>
      </c>
      <c r="O47" s="363">
        <v>0</v>
      </c>
      <c r="P47" s="219"/>
      <c r="Q47" s="219"/>
      <c r="R47" s="219"/>
      <c r="S47" s="219"/>
      <c r="U47" s="268"/>
    </row>
    <row r="48" spans="2:21">
      <c r="B48" t="s">
        <v>600</v>
      </c>
      <c r="C48" s="67">
        <v>-0.8</v>
      </c>
      <c r="D48" s="67" t="s">
        <v>98</v>
      </c>
      <c r="E48" s="67">
        <v>0.8</v>
      </c>
      <c r="F48" s="67" t="s">
        <v>98</v>
      </c>
      <c r="G48" s="67" t="s">
        <v>98</v>
      </c>
      <c r="H48" s="67" t="s">
        <v>98</v>
      </c>
      <c r="I48" s="67" t="s">
        <v>98</v>
      </c>
      <c r="J48" s="67" t="s">
        <v>98</v>
      </c>
      <c r="K48" s="165" t="s">
        <v>98</v>
      </c>
      <c r="N48" s="23" t="s">
        <v>685</v>
      </c>
      <c r="O48" s="304">
        <v>0</v>
      </c>
      <c r="P48" s="219">
        <f>-(O47+O48)</f>
        <v>0</v>
      </c>
      <c r="Q48" s="219"/>
      <c r="R48" s="219"/>
      <c r="S48" s="219"/>
      <c r="U48" s="268"/>
    </row>
    <row r="49" spans="2:21">
      <c r="B49" t="s">
        <v>128</v>
      </c>
      <c r="C49" s="67" t="s">
        <v>98</v>
      </c>
      <c r="D49" s="67" t="s">
        <v>98</v>
      </c>
      <c r="E49" s="67">
        <v>-7.4</v>
      </c>
      <c r="F49" s="67" t="s">
        <v>98</v>
      </c>
      <c r="G49" s="67">
        <v>-8.9</v>
      </c>
      <c r="H49" s="67" t="s">
        <v>98</v>
      </c>
      <c r="I49" s="67" t="s">
        <v>98</v>
      </c>
      <c r="J49" s="67">
        <v>-292.7</v>
      </c>
      <c r="K49" s="165">
        <v>-301.60000000000002</v>
      </c>
      <c r="N49" s="23" t="s">
        <v>138</v>
      </c>
      <c r="O49" s="302"/>
      <c r="P49" s="307">
        <v>0</v>
      </c>
      <c r="Q49" s="307">
        <f>SUM(P45:P49)</f>
        <v>383.70000000000005</v>
      </c>
      <c r="R49" s="307"/>
      <c r="S49" s="359"/>
      <c r="T49" s="362"/>
      <c r="U49" s="268"/>
    </row>
    <row r="50" spans="2:21" ht="13.5" thickBot="1">
      <c r="B50" t="s">
        <v>124</v>
      </c>
      <c r="C50" s="67" t="s">
        <v>98</v>
      </c>
      <c r="D50" s="67" t="s">
        <v>98</v>
      </c>
      <c r="E50" s="67" t="s">
        <v>98</v>
      </c>
      <c r="F50" s="67" t="s">
        <v>98</v>
      </c>
      <c r="G50" s="67" t="s">
        <v>98</v>
      </c>
      <c r="H50" s="67" t="s">
        <v>98</v>
      </c>
      <c r="I50" s="67" t="s">
        <v>98</v>
      </c>
      <c r="J50" s="67">
        <v>-135.6</v>
      </c>
      <c r="K50" s="165">
        <v>-135.6</v>
      </c>
      <c r="N50" s="213" t="s">
        <v>607</v>
      </c>
      <c r="O50" s="297"/>
      <c r="P50" s="347"/>
      <c r="Q50" s="347">
        <f>+Q49+Q43+Q39</f>
        <v>3261.6000000000004</v>
      </c>
      <c r="R50" s="299">
        <v>0</v>
      </c>
      <c r="S50" s="299">
        <v>0</v>
      </c>
      <c r="T50" s="299">
        <f>K46+R50+S50</f>
        <v>3261.6</v>
      </c>
      <c r="U50" s="268"/>
    </row>
    <row r="51" spans="2:21" ht="13.5" thickTop="1">
      <c r="B51" t="s">
        <v>594</v>
      </c>
      <c r="C51" s="67" t="s">
        <v>98</v>
      </c>
      <c r="D51" s="67" t="s">
        <v>98</v>
      </c>
      <c r="E51" s="67" t="s">
        <v>98</v>
      </c>
      <c r="F51" s="67" t="s">
        <v>98</v>
      </c>
      <c r="G51" s="67" t="s">
        <v>98</v>
      </c>
      <c r="H51" s="67" t="s">
        <v>98</v>
      </c>
      <c r="I51" s="67" t="s">
        <v>98</v>
      </c>
      <c r="J51" s="67" t="s">
        <v>98</v>
      </c>
      <c r="K51" s="165" t="s">
        <v>98</v>
      </c>
      <c r="N51" s="3" t="s">
        <v>133</v>
      </c>
      <c r="O51" s="361"/>
      <c r="P51" s="219"/>
      <c r="Q51" s="219"/>
      <c r="R51" s="307"/>
      <c r="S51" s="359"/>
      <c r="T51" s="362"/>
      <c r="U51" s="268"/>
    </row>
    <row r="52" spans="2:21" ht="14.25" customHeight="1">
      <c r="B52" s="267" t="s">
        <v>26</v>
      </c>
      <c r="C52" s="67" t="s">
        <v>98</v>
      </c>
      <c r="D52" s="67" t="s">
        <v>98</v>
      </c>
      <c r="E52" s="67" t="s">
        <v>98</v>
      </c>
      <c r="F52" s="67" t="s">
        <v>98</v>
      </c>
      <c r="G52" s="67" t="s">
        <v>98</v>
      </c>
      <c r="H52" s="67" t="s">
        <v>98</v>
      </c>
      <c r="I52" s="67" t="s">
        <v>98</v>
      </c>
      <c r="J52" s="67">
        <v>451.4</v>
      </c>
      <c r="K52" s="165">
        <v>451.4</v>
      </c>
      <c r="N52" s="23" t="s">
        <v>134</v>
      </c>
      <c r="O52" s="302"/>
      <c r="P52" s="219">
        <f>+K47-P59</f>
        <v>134.30626631853787</v>
      </c>
      <c r="Q52" s="219"/>
      <c r="R52" s="307"/>
      <c r="S52" s="359"/>
      <c r="T52" s="362"/>
      <c r="U52" s="268"/>
    </row>
    <row r="53" spans="2:21" ht="13.5" customHeight="1">
      <c r="B53" s="267" t="s">
        <v>603</v>
      </c>
      <c r="C53" s="67" t="s">
        <v>98</v>
      </c>
      <c r="D53" s="67" t="s">
        <v>98</v>
      </c>
      <c r="E53" s="67" t="s">
        <v>98</v>
      </c>
      <c r="F53" s="67" t="s">
        <v>98</v>
      </c>
      <c r="G53" s="67" t="s">
        <v>98</v>
      </c>
      <c r="H53" s="67" t="s">
        <v>98</v>
      </c>
      <c r="I53" s="67">
        <v>-21.7</v>
      </c>
      <c r="J53" s="67" t="s">
        <v>98</v>
      </c>
      <c r="K53" s="165">
        <v>-21.7</v>
      </c>
      <c r="N53" s="23" t="s">
        <v>135</v>
      </c>
      <c r="O53" s="302"/>
      <c r="P53" s="219">
        <f>+K49</f>
        <v>-301.60000000000002</v>
      </c>
      <c r="Q53" s="219"/>
      <c r="R53" s="307"/>
      <c r="S53" s="359"/>
      <c r="T53" s="362"/>
    </row>
    <row r="54" spans="2:21">
      <c r="B54" s="15" t="s">
        <v>125</v>
      </c>
      <c r="C54" s="75" t="s">
        <v>98</v>
      </c>
      <c r="D54" s="75" t="s">
        <v>98</v>
      </c>
      <c r="E54" s="75" t="s">
        <v>98</v>
      </c>
      <c r="F54" s="75" t="s">
        <v>98</v>
      </c>
      <c r="G54" s="75" t="s">
        <v>98</v>
      </c>
      <c r="H54" s="75" t="s">
        <v>98</v>
      </c>
      <c r="I54" s="75">
        <v>-21.7</v>
      </c>
      <c r="J54" s="75">
        <v>451.4</v>
      </c>
      <c r="K54" s="166">
        <v>429.7</v>
      </c>
      <c r="L54" s="10"/>
      <c r="N54" s="23" t="s">
        <v>136</v>
      </c>
      <c r="O54" s="302"/>
      <c r="P54" s="215">
        <f>+K50</f>
        <v>-135.6</v>
      </c>
      <c r="Q54" s="215">
        <f>SUM(P52:P54)</f>
        <v>-302.89373368146215</v>
      </c>
      <c r="R54" s="307"/>
      <c r="S54" s="359"/>
      <c r="T54" s="362"/>
    </row>
    <row r="55" spans="2:21" ht="13.5" thickBot="1">
      <c r="B55" s="213" t="s">
        <v>126</v>
      </c>
      <c r="C55" s="78">
        <v>100.7</v>
      </c>
      <c r="D55" s="78">
        <v>0.2</v>
      </c>
      <c r="E55" s="78">
        <v>181.6</v>
      </c>
      <c r="F55" s="78">
        <v>2.7</v>
      </c>
      <c r="G55" s="78">
        <v>334.1</v>
      </c>
      <c r="H55" s="78">
        <v>0</v>
      </c>
      <c r="I55" s="78">
        <v>-68.900000000000006</v>
      </c>
      <c r="J55" s="78">
        <v>3066.5</v>
      </c>
      <c r="K55" s="266">
        <v>3334.6</v>
      </c>
      <c r="N55" s="3" t="s">
        <v>125</v>
      </c>
      <c r="O55" s="361"/>
      <c r="P55" s="219"/>
      <c r="Q55" s="219"/>
      <c r="R55" s="307"/>
      <c r="S55" s="359"/>
      <c r="T55" s="362"/>
    </row>
    <row r="56" spans="2:21" ht="13.5" thickTop="1">
      <c r="B56" t="s">
        <v>123</v>
      </c>
      <c r="C56" s="67" t="s">
        <v>98</v>
      </c>
      <c r="D56" s="67" t="s">
        <v>98</v>
      </c>
      <c r="E56" s="67">
        <v>1.3</v>
      </c>
      <c r="F56" s="67" t="s">
        <v>98</v>
      </c>
      <c r="G56" s="67">
        <v>38.700000000000003</v>
      </c>
      <c r="H56" s="67" t="s">
        <v>98</v>
      </c>
      <c r="I56" s="67" t="s">
        <v>98</v>
      </c>
      <c r="J56" s="67" t="s">
        <v>98</v>
      </c>
      <c r="K56" s="165">
        <v>38.700000000000003</v>
      </c>
      <c r="N56" s="23" t="s">
        <v>26</v>
      </c>
      <c r="O56" s="302"/>
      <c r="P56" s="219">
        <f>+K52</f>
        <v>451.4</v>
      </c>
      <c r="Q56" s="219"/>
      <c r="R56" s="307"/>
      <c r="S56" s="359"/>
      <c r="T56" s="362"/>
    </row>
    <row r="57" spans="2:21">
      <c r="B57" t="s">
        <v>600</v>
      </c>
      <c r="C57" s="67">
        <v>-1.5</v>
      </c>
      <c r="D57" s="67" t="s">
        <v>98</v>
      </c>
      <c r="E57" s="67">
        <v>1.5</v>
      </c>
      <c r="F57" s="67" t="s">
        <v>98</v>
      </c>
      <c r="G57" s="67" t="s">
        <v>98</v>
      </c>
      <c r="H57" s="67" t="s">
        <v>98</v>
      </c>
      <c r="I57" s="67" t="s">
        <v>98</v>
      </c>
      <c r="J57" s="67" t="s">
        <v>98</v>
      </c>
      <c r="K57" s="165" t="s">
        <v>98</v>
      </c>
      <c r="N57" s="23" t="s">
        <v>137</v>
      </c>
      <c r="O57" s="302"/>
      <c r="P57" s="219">
        <f>+K53</f>
        <v>-21.7</v>
      </c>
      <c r="Q57" s="219"/>
      <c r="R57" s="307"/>
      <c r="S57" s="359"/>
      <c r="T57" s="362"/>
    </row>
    <row r="58" spans="2:21">
      <c r="B58" t="s">
        <v>128</v>
      </c>
      <c r="C58" s="67" t="s">
        <v>98</v>
      </c>
      <c r="D58" s="67" t="s">
        <v>98</v>
      </c>
      <c r="E58" s="67">
        <v>-14.5</v>
      </c>
      <c r="F58" s="67">
        <v>-0.1</v>
      </c>
      <c r="G58" s="67">
        <v>-17.3</v>
      </c>
      <c r="H58" s="67" t="s">
        <v>98</v>
      </c>
      <c r="I58" s="67" t="s">
        <v>98</v>
      </c>
      <c r="J58" s="67">
        <v>-627.1</v>
      </c>
      <c r="K58" s="165">
        <v>-644.5</v>
      </c>
      <c r="N58" s="23" t="s">
        <v>683</v>
      </c>
      <c r="O58" s="363">
        <f>-O59/X166</f>
        <v>87.206266318537857</v>
      </c>
      <c r="P58" s="219"/>
      <c r="Q58" s="219"/>
      <c r="R58" s="219"/>
      <c r="S58" s="219"/>
    </row>
    <row r="59" spans="2:21">
      <c r="B59" t="s">
        <v>124</v>
      </c>
      <c r="C59" s="67" t="s">
        <v>98</v>
      </c>
      <c r="D59" s="67" t="s">
        <v>98</v>
      </c>
      <c r="E59" s="67" t="s">
        <v>98</v>
      </c>
      <c r="F59" s="67" t="s">
        <v>98</v>
      </c>
      <c r="G59" s="67" t="s">
        <v>98</v>
      </c>
      <c r="H59" s="67" t="s">
        <v>98</v>
      </c>
      <c r="I59" s="67" t="s">
        <v>98</v>
      </c>
      <c r="J59" s="67">
        <v>-131.5</v>
      </c>
      <c r="K59" s="165">
        <v>-131.5</v>
      </c>
      <c r="N59" s="23" t="s">
        <v>685</v>
      </c>
      <c r="O59" s="304">
        <v>-33.4</v>
      </c>
      <c r="P59" s="219">
        <f>-(O58+O59)</f>
        <v>-53.806266318537858</v>
      </c>
      <c r="Q59" s="219"/>
      <c r="R59" s="219"/>
      <c r="S59" s="219"/>
    </row>
    <row r="60" spans="2:21">
      <c r="B60" t="s">
        <v>129</v>
      </c>
      <c r="C60" s="67" t="s">
        <v>98</v>
      </c>
      <c r="D60" s="67" t="s">
        <v>98</v>
      </c>
      <c r="E60" s="67">
        <v>0.5</v>
      </c>
      <c r="F60" s="67" t="s">
        <v>98</v>
      </c>
      <c r="G60" s="67">
        <v>13.5</v>
      </c>
      <c r="H60" s="67">
        <v>-13.5</v>
      </c>
      <c r="I60" s="67" t="s">
        <v>98</v>
      </c>
      <c r="J60" s="67" t="s">
        <v>98</v>
      </c>
      <c r="K60" s="165">
        <v>0</v>
      </c>
      <c r="N60" s="23" t="s">
        <v>138</v>
      </c>
      <c r="O60" s="303"/>
      <c r="P60" s="215">
        <v>0</v>
      </c>
      <c r="Q60" s="215">
        <f>SUM(P56:P60)</f>
        <v>375.89373368146215</v>
      </c>
      <c r="R60" s="307"/>
      <c r="S60" s="359"/>
      <c r="T60" s="362"/>
    </row>
    <row r="61" spans="2:21" ht="13.5" thickBot="1">
      <c r="B61" s="14" t="s">
        <v>130</v>
      </c>
      <c r="C61" s="67" t="s">
        <v>98</v>
      </c>
      <c r="D61" s="67" t="s">
        <v>98</v>
      </c>
      <c r="E61" s="67" t="s">
        <v>98</v>
      </c>
      <c r="F61" s="67" t="s">
        <v>98</v>
      </c>
      <c r="G61" s="67" t="s">
        <v>98</v>
      </c>
      <c r="H61" s="67">
        <v>1.8</v>
      </c>
      <c r="I61" s="67"/>
      <c r="J61" s="67" t="s">
        <v>98</v>
      </c>
      <c r="K61" s="165">
        <f>+H61</f>
        <v>1.8</v>
      </c>
      <c r="N61" s="213" t="s">
        <v>139</v>
      </c>
      <c r="O61" s="347"/>
      <c r="P61" s="347"/>
      <c r="Q61" s="347">
        <f>SUM(Q50:Q60)</f>
        <v>3334.6000000000004</v>
      </c>
      <c r="R61" s="299">
        <v>0</v>
      </c>
      <c r="S61" s="299">
        <f>H55</f>
        <v>0</v>
      </c>
      <c r="T61" s="299">
        <f>K55+R61+S61</f>
        <v>3334.6</v>
      </c>
    </row>
    <row r="62" spans="2:21" ht="13.5" thickTop="1">
      <c r="B62" s="14"/>
      <c r="C62" s="67"/>
      <c r="D62" s="67"/>
      <c r="E62" s="67"/>
      <c r="F62" s="67"/>
      <c r="G62" s="67"/>
      <c r="H62" s="67"/>
      <c r="I62" s="67"/>
      <c r="J62" s="67"/>
      <c r="K62" s="165"/>
      <c r="N62" s="3" t="s">
        <v>133</v>
      </c>
      <c r="O62" s="354"/>
      <c r="P62" s="219"/>
      <c r="Q62" s="219"/>
      <c r="R62" s="219"/>
      <c r="S62" s="219"/>
    </row>
    <row r="63" spans="2:21">
      <c r="B63" t="s">
        <v>594</v>
      </c>
      <c r="C63" s="67"/>
      <c r="D63" s="67"/>
      <c r="E63" s="67"/>
      <c r="F63" s="67"/>
      <c r="G63" s="67"/>
      <c r="H63" s="67"/>
      <c r="I63" s="67"/>
      <c r="J63" s="67"/>
      <c r="K63" s="165"/>
      <c r="N63" s="23" t="s">
        <v>134</v>
      </c>
      <c r="O63" s="363"/>
      <c r="P63" s="219">
        <f>+K56+K61+K60-(H60+H61)-P70</f>
        <v>77.246380697050938</v>
      </c>
      <c r="Q63" s="219"/>
      <c r="R63" s="219"/>
      <c r="S63" s="219"/>
    </row>
    <row r="64" spans="2:21">
      <c r="B64" s="23" t="s">
        <v>26</v>
      </c>
      <c r="C64" s="67" t="s">
        <v>98</v>
      </c>
      <c r="D64" s="67" t="s">
        <v>98</v>
      </c>
      <c r="E64" s="67" t="s">
        <v>98</v>
      </c>
      <c r="F64" s="67" t="s">
        <v>98</v>
      </c>
      <c r="G64" s="67" t="s">
        <v>98</v>
      </c>
      <c r="H64" s="67" t="s">
        <v>98</v>
      </c>
      <c r="I64" s="67" t="s">
        <v>98</v>
      </c>
      <c r="J64" s="67">
        <v>579.1</v>
      </c>
      <c r="K64" s="165">
        <v>579.1</v>
      </c>
      <c r="N64" s="23" t="s">
        <v>135</v>
      </c>
      <c r="O64" s="363"/>
      <c r="P64" s="219">
        <f>+K58</f>
        <v>-644.5</v>
      </c>
      <c r="Q64" s="219"/>
      <c r="R64" s="219"/>
      <c r="S64" s="219"/>
    </row>
    <row r="65" spans="2:20">
      <c r="B65" s="23" t="s">
        <v>591</v>
      </c>
      <c r="C65" s="67" t="s">
        <v>98</v>
      </c>
      <c r="D65" s="67" t="s">
        <v>98</v>
      </c>
      <c r="E65" s="67" t="s">
        <v>98</v>
      </c>
      <c r="F65" s="67" t="s">
        <v>98</v>
      </c>
      <c r="G65" s="67" t="s">
        <v>98</v>
      </c>
      <c r="H65" s="67" t="s">
        <v>98</v>
      </c>
      <c r="I65" s="67">
        <v>-42.2</v>
      </c>
      <c r="J65" s="67"/>
      <c r="K65" s="165">
        <f>+I65</f>
        <v>-42.2</v>
      </c>
      <c r="N65" s="23" t="s">
        <v>136</v>
      </c>
      <c r="O65" s="363"/>
      <c r="P65" s="215">
        <f>+K59</f>
        <v>-131.5</v>
      </c>
      <c r="Q65" s="215">
        <f>SUM(P63:P65)</f>
        <v>-698.75361930294912</v>
      </c>
      <c r="R65" s="219"/>
      <c r="S65" s="219"/>
    </row>
    <row r="66" spans="2:20">
      <c r="B66" s="15" t="s">
        <v>132</v>
      </c>
      <c r="C66" s="75"/>
      <c r="D66" s="75"/>
      <c r="E66" s="75"/>
      <c r="F66" s="75"/>
      <c r="G66" s="75"/>
      <c r="H66" s="75"/>
      <c r="I66" s="75">
        <f>+I65</f>
        <v>-42.2</v>
      </c>
      <c r="J66" s="75">
        <f>+J64</f>
        <v>579.1</v>
      </c>
      <c r="K66" s="166">
        <f>+K64+K65</f>
        <v>536.9</v>
      </c>
      <c r="L66" s="10"/>
      <c r="N66" s="3" t="s">
        <v>125</v>
      </c>
      <c r="O66" s="354"/>
      <c r="P66" s="219"/>
      <c r="Q66" s="219"/>
      <c r="R66" s="219"/>
      <c r="S66" s="219"/>
    </row>
    <row r="67" spans="2:20" ht="13.5" thickBot="1">
      <c r="B67" s="213" t="s">
        <v>720</v>
      </c>
      <c r="C67" s="73">
        <v>99.2</v>
      </c>
      <c r="D67" s="73">
        <v>0.2</v>
      </c>
      <c r="E67" s="73">
        <v>170.4</v>
      </c>
      <c r="F67" s="73">
        <v>2.6</v>
      </c>
      <c r="G67" s="73">
        <v>369</v>
      </c>
      <c r="H67" s="73">
        <v>-11.7</v>
      </c>
      <c r="I67" s="73">
        <v>-111.1</v>
      </c>
      <c r="J67" s="73">
        <v>2887</v>
      </c>
      <c r="K67" s="167">
        <v>3136</v>
      </c>
      <c r="N67" s="23" t="s">
        <v>26</v>
      </c>
      <c r="O67" s="363"/>
      <c r="P67" s="219">
        <f>+K64</f>
        <v>579.1</v>
      </c>
      <c r="Q67" s="219"/>
      <c r="R67" s="219"/>
      <c r="S67" s="219"/>
    </row>
    <row r="68" spans="2:20" ht="13.5" thickTop="1">
      <c r="B68" t="s">
        <v>123</v>
      </c>
      <c r="C68" s="67"/>
      <c r="D68" s="165"/>
      <c r="E68" s="67">
        <v>2.9</v>
      </c>
      <c r="F68" s="165"/>
      <c r="G68" s="67">
        <v>91</v>
      </c>
      <c r="H68" s="165"/>
      <c r="I68" s="67"/>
      <c r="J68" s="67"/>
      <c r="K68" s="165">
        <v>91</v>
      </c>
      <c r="N68" s="23" t="s">
        <v>137</v>
      </c>
      <c r="O68" s="363"/>
      <c r="P68" s="219">
        <f>+I66</f>
        <v>-42.2</v>
      </c>
      <c r="Q68" s="219"/>
      <c r="R68" s="219"/>
      <c r="S68" s="219"/>
    </row>
    <row r="69" spans="2:20">
      <c r="B69" t="s">
        <v>600</v>
      </c>
      <c r="C69" s="67">
        <v>-0.1</v>
      </c>
      <c r="D69" s="165"/>
      <c r="E69" s="67">
        <v>0.1</v>
      </c>
      <c r="F69" s="165"/>
      <c r="G69" s="67"/>
      <c r="H69" s="165"/>
      <c r="I69" s="67"/>
      <c r="J69" s="67"/>
      <c r="K69" s="165">
        <v>0</v>
      </c>
      <c r="N69" s="23" t="s">
        <v>683</v>
      </c>
      <c r="O69" s="363">
        <f>-O70/W166</f>
        <v>39.946380697050941</v>
      </c>
      <c r="P69" s="219"/>
      <c r="Q69" s="219"/>
      <c r="R69" s="219"/>
      <c r="S69" s="219"/>
    </row>
    <row r="70" spans="2:20">
      <c r="B70" t="s">
        <v>128</v>
      </c>
      <c r="C70" s="67"/>
      <c r="D70" s="165"/>
      <c r="E70" s="67">
        <v>-4</v>
      </c>
      <c r="F70" s="165"/>
      <c r="G70" s="67">
        <v>-4.8</v>
      </c>
      <c r="H70" s="165"/>
      <c r="I70" s="67"/>
      <c r="J70" s="67">
        <v>-152.19999999999999</v>
      </c>
      <c r="K70" s="165">
        <v>-157</v>
      </c>
      <c r="N70" s="23" t="s">
        <v>685</v>
      </c>
      <c r="O70" s="304">
        <v>-14.9</v>
      </c>
      <c r="P70" s="219">
        <f>-(O69+O70)</f>
        <v>-25.046380697050942</v>
      </c>
      <c r="Q70" s="219"/>
      <c r="R70" s="219"/>
      <c r="S70" s="219"/>
    </row>
    <row r="71" spans="2:20">
      <c r="B71" t="s">
        <v>124</v>
      </c>
      <c r="C71" s="67"/>
      <c r="D71" s="165"/>
      <c r="E71" s="67"/>
      <c r="F71" s="165"/>
      <c r="G71" s="67"/>
      <c r="H71" s="165"/>
      <c r="I71" s="67"/>
      <c r="J71" s="67">
        <v>-129.6</v>
      </c>
      <c r="K71" s="165">
        <v>-129.6</v>
      </c>
      <c r="N71" s="23" t="s">
        <v>138</v>
      </c>
      <c r="O71" s="298"/>
      <c r="P71" s="215">
        <v>0</v>
      </c>
      <c r="Q71" s="215">
        <f>SUM(P66:P71)</f>
        <v>511.85361930294903</v>
      </c>
      <c r="R71" s="219"/>
      <c r="S71" s="219"/>
    </row>
    <row r="72" spans="2:20" ht="13.5" thickBot="1">
      <c r="B72" t="s">
        <v>129</v>
      </c>
      <c r="C72" s="67"/>
      <c r="D72" s="165"/>
      <c r="E72" s="67">
        <v>0.1</v>
      </c>
      <c r="F72" s="165"/>
      <c r="G72" s="67">
        <v>6.7</v>
      </c>
      <c r="H72" s="165">
        <v>-6.7</v>
      </c>
      <c r="I72" s="67"/>
      <c r="J72" s="67"/>
      <c r="K72" s="165">
        <v>0</v>
      </c>
      <c r="N72" s="28" t="s">
        <v>131</v>
      </c>
      <c r="O72" s="299"/>
      <c r="P72" s="299"/>
      <c r="Q72" s="299">
        <f>SUM(Q61:Q71)</f>
        <v>3147.7000000000003</v>
      </c>
      <c r="R72" s="299">
        <v>0</v>
      </c>
      <c r="S72" s="299">
        <f>-H67</f>
        <v>11.7</v>
      </c>
      <c r="T72" s="299">
        <f>K67+R72+S72</f>
        <v>3147.7</v>
      </c>
    </row>
    <row r="73" spans="2:20" ht="13.5" thickTop="1">
      <c r="B73" s="14" t="s">
        <v>130</v>
      </c>
      <c r="C73" s="67"/>
      <c r="D73" s="165"/>
      <c r="E73" s="67"/>
      <c r="F73" s="165"/>
      <c r="G73" s="67"/>
      <c r="H73" s="165">
        <v>7.3</v>
      </c>
      <c r="I73" s="67"/>
      <c r="J73" s="67"/>
      <c r="K73" s="165">
        <v>7.3</v>
      </c>
      <c r="N73" s="3" t="s">
        <v>133</v>
      </c>
      <c r="O73" s="354"/>
      <c r="P73" s="219"/>
      <c r="Q73" s="219"/>
      <c r="R73" s="219" t="s">
        <v>680</v>
      </c>
      <c r="S73" s="219"/>
    </row>
    <row r="74" spans="2:20">
      <c r="B74" s="14" t="s">
        <v>721</v>
      </c>
      <c r="C74" s="67"/>
      <c r="D74" s="165"/>
      <c r="E74" s="67"/>
      <c r="F74" s="165"/>
      <c r="G74" s="67">
        <v>-2.5</v>
      </c>
      <c r="H74" s="165">
        <v>1.2</v>
      </c>
      <c r="I74" s="67"/>
      <c r="J74" s="67">
        <v>-0.6</v>
      </c>
      <c r="K74" s="165">
        <v>-1.9</v>
      </c>
      <c r="N74" s="23" t="s">
        <v>134</v>
      </c>
      <c r="O74" s="363"/>
      <c r="P74" s="219">
        <f>+K68+K72+K73-(H72+H73)-P81</f>
        <v>151.93101604278075</v>
      </c>
      <c r="Q74" s="219"/>
      <c r="R74" s="219"/>
      <c r="S74" s="219"/>
    </row>
    <row r="75" spans="2:20">
      <c r="B75" s="14"/>
      <c r="C75" s="67"/>
      <c r="D75" s="165"/>
      <c r="E75" s="67"/>
      <c r="F75" s="165"/>
      <c r="G75" s="67"/>
      <c r="H75" s="165"/>
      <c r="I75" s="67"/>
      <c r="J75" s="67"/>
      <c r="K75" s="165"/>
      <c r="N75" s="23" t="s">
        <v>135</v>
      </c>
      <c r="O75" s="363"/>
      <c r="P75" s="219">
        <f>+K70+K74-H74</f>
        <v>-160.1</v>
      </c>
      <c r="Q75" s="219"/>
      <c r="R75" s="219"/>
      <c r="S75" s="219"/>
    </row>
    <row r="76" spans="2:20">
      <c r="B76" t="s">
        <v>594</v>
      </c>
      <c r="C76" s="67"/>
      <c r="D76" s="165"/>
      <c r="E76" s="67"/>
      <c r="F76" s="165"/>
      <c r="G76" s="67"/>
      <c r="H76" s="165"/>
      <c r="I76" s="67"/>
      <c r="J76" s="67"/>
      <c r="K76" s="165"/>
      <c r="N76" s="23" t="s">
        <v>136</v>
      </c>
      <c r="O76" s="363"/>
      <c r="P76" s="215">
        <f>+K71</f>
        <v>-129.6</v>
      </c>
      <c r="Q76" s="215">
        <f>SUM(P74:P76)</f>
        <v>-137.76898395721923</v>
      </c>
      <c r="R76" s="219"/>
      <c r="S76" s="219"/>
    </row>
    <row r="77" spans="2:20">
      <c r="B77" s="23" t="s">
        <v>26</v>
      </c>
      <c r="C77" s="67"/>
      <c r="D77" s="165"/>
      <c r="E77" s="67"/>
      <c r="F77" s="165"/>
      <c r="G77" s="67"/>
      <c r="H77" s="165"/>
      <c r="I77" s="67"/>
      <c r="J77" s="67">
        <v>589.70000000000005</v>
      </c>
      <c r="K77" s="165">
        <v>589.70000000000005</v>
      </c>
      <c r="N77" s="3" t="s">
        <v>125</v>
      </c>
      <c r="O77" s="354"/>
      <c r="P77" s="219"/>
      <c r="Q77" s="219"/>
      <c r="R77" s="219"/>
      <c r="S77" s="219"/>
    </row>
    <row r="78" spans="2:20">
      <c r="B78" s="23" t="s">
        <v>724</v>
      </c>
      <c r="C78" s="67"/>
      <c r="D78" s="165"/>
      <c r="E78" s="67"/>
      <c r="F78" s="165"/>
      <c r="G78" s="67"/>
      <c r="H78" s="165"/>
      <c r="I78" s="67">
        <v>-41</v>
      </c>
      <c r="J78" s="67"/>
      <c r="K78" s="165">
        <v>-41</v>
      </c>
      <c r="N78" s="23" t="s">
        <v>26</v>
      </c>
      <c r="O78" s="363"/>
      <c r="P78" s="219">
        <f>+K77</f>
        <v>589.70000000000005</v>
      </c>
      <c r="Q78" s="219"/>
      <c r="R78" s="219"/>
      <c r="S78" s="219"/>
    </row>
    <row r="79" spans="2:20">
      <c r="B79" s="15" t="s">
        <v>132</v>
      </c>
      <c r="C79" s="75"/>
      <c r="D79" s="75"/>
      <c r="E79" s="75"/>
      <c r="F79" s="75"/>
      <c r="G79" s="75"/>
      <c r="H79" s="75"/>
      <c r="I79" s="75">
        <f>SUM(I77:I78)</f>
        <v>-41</v>
      </c>
      <c r="J79" s="75">
        <f>SUM(J77:J78)</f>
        <v>589.70000000000005</v>
      </c>
      <c r="K79" s="166">
        <f>SUM(K77:K78)</f>
        <v>548.70000000000005</v>
      </c>
      <c r="N79" s="23" t="s">
        <v>137</v>
      </c>
      <c r="O79" s="363"/>
      <c r="P79" s="219">
        <f>+K78</f>
        <v>-41</v>
      </c>
      <c r="Q79" s="219"/>
      <c r="R79" s="219"/>
      <c r="S79" s="219"/>
    </row>
    <row r="80" spans="2:20" ht="13.5" thickBot="1">
      <c r="B80" s="213" t="s">
        <v>722</v>
      </c>
      <c r="C80" s="73">
        <f t="shared" ref="C80:H80" si="0">SUM(C67:C79)</f>
        <v>99.100000000000009</v>
      </c>
      <c r="D80" s="73">
        <f t="shared" si="0"/>
        <v>0.2</v>
      </c>
      <c r="E80" s="73">
        <f t="shared" si="0"/>
        <v>169.5</v>
      </c>
      <c r="F80" s="73">
        <f t="shared" si="0"/>
        <v>2.6</v>
      </c>
      <c r="G80" s="73">
        <f t="shared" si="0"/>
        <v>459.4</v>
      </c>
      <c r="H80" s="73">
        <f t="shared" si="0"/>
        <v>-9.8999999999999986</v>
      </c>
      <c r="I80" s="73">
        <f>SUM(I67:I78)</f>
        <v>-152.1</v>
      </c>
      <c r="J80" s="73">
        <f>SUM(J67:J78)</f>
        <v>3194.3</v>
      </c>
      <c r="K80" s="73">
        <f>SUM(K67:K78)</f>
        <v>3494.5</v>
      </c>
      <c r="N80" s="23" t="s">
        <v>683</v>
      </c>
      <c r="O80" s="363">
        <f>-O81/V166</f>
        <v>86.631016042780743</v>
      </c>
      <c r="P80" s="219"/>
      <c r="Q80" s="219"/>
      <c r="R80" s="219"/>
      <c r="S80" s="219"/>
    </row>
    <row r="81" spans="2:20" ht="13.5" thickTop="1">
      <c r="B81" t="s">
        <v>123</v>
      </c>
      <c r="C81" s="67"/>
      <c r="D81" s="165"/>
      <c r="E81" s="67">
        <v>1.7</v>
      </c>
      <c r="F81" s="165"/>
      <c r="G81" s="67">
        <v>72.900000000000006</v>
      </c>
      <c r="H81" s="165"/>
      <c r="I81" s="67"/>
      <c r="J81" s="67"/>
      <c r="K81" s="165">
        <v>72.900000000000006</v>
      </c>
      <c r="N81" s="23" t="s">
        <v>685</v>
      </c>
      <c r="O81" s="304">
        <v>-32.4</v>
      </c>
      <c r="P81" s="219">
        <f>-(O80+O81)</f>
        <v>-54.231016042780745</v>
      </c>
      <c r="Q81" s="219"/>
      <c r="R81" s="219"/>
      <c r="S81" s="219"/>
    </row>
    <row r="82" spans="2:20">
      <c r="B82" t="s">
        <v>600</v>
      </c>
      <c r="C82" s="67">
        <v>-1</v>
      </c>
      <c r="D82" s="165"/>
      <c r="E82" s="67">
        <v>1</v>
      </c>
      <c r="F82" s="165"/>
      <c r="G82" s="67"/>
      <c r="H82" s="165"/>
      <c r="I82" s="67"/>
      <c r="J82" s="67"/>
      <c r="K82" s="165"/>
      <c r="N82" s="23" t="s">
        <v>138</v>
      </c>
      <c r="O82" s="298"/>
      <c r="P82" s="215">
        <v>0</v>
      </c>
      <c r="Q82" s="215">
        <f>SUM(P77:P82)</f>
        <v>494.46898395721928</v>
      </c>
      <c r="R82" s="219"/>
    </row>
    <row r="83" spans="2:20" ht="13.5" thickBot="1">
      <c r="B83" t="s">
        <v>128</v>
      </c>
      <c r="C83" s="67"/>
      <c r="D83" s="165"/>
      <c r="E83" s="67">
        <v>-4.3</v>
      </c>
      <c r="F83" s="165"/>
      <c r="G83" s="67">
        <v>-5.2</v>
      </c>
      <c r="H83" s="165"/>
      <c r="I83" s="67"/>
      <c r="J83" s="67">
        <v>-232.5</v>
      </c>
      <c r="K83" s="165">
        <v>-237.7</v>
      </c>
      <c r="N83" s="28" t="s">
        <v>712</v>
      </c>
      <c r="O83" s="299"/>
      <c r="P83" s="299"/>
      <c r="Q83" s="299">
        <f>SUM(Q72:Q82)</f>
        <v>3504.4000000000005</v>
      </c>
      <c r="R83" s="299">
        <v>0</v>
      </c>
      <c r="S83" s="299">
        <f>-H80</f>
        <v>9.8999999999999986</v>
      </c>
      <c r="T83" s="299">
        <f>K80+R83+S83</f>
        <v>3504.4</v>
      </c>
    </row>
    <row r="84" spans="2:20" ht="13.5" thickTop="1">
      <c r="B84" t="s">
        <v>124</v>
      </c>
      <c r="C84" s="67"/>
      <c r="D84" s="165"/>
      <c r="E84" s="67"/>
      <c r="F84" s="165"/>
      <c r="G84" s="67"/>
      <c r="H84" s="165"/>
      <c r="I84" s="67"/>
      <c r="J84" s="67">
        <v>-128.6</v>
      </c>
      <c r="K84" s="165">
        <v>-128.6</v>
      </c>
      <c r="N84" s="3" t="s">
        <v>133</v>
      </c>
      <c r="O84" s="354"/>
      <c r="P84" s="219"/>
      <c r="Q84" s="219"/>
      <c r="R84" s="219"/>
      <c r="S84" s="37"/>
    </row>
    <row r="85" spans="2:20">
      <c r="B85" t="s">
        <v>129</v>
      </c>
      <c r="C85" s="67"/>
      <c r="D85" s="165"/>
      <c r="E85" s="67">
        <v>0.2</v>
      </c>
      <c r="F85" s="165"/>
      <c r="G85" s="67">
        <v>13.2</v>
      </c>
      <c r="H85" s="165">
        <v>-1.9</v>
      </c>
      <c r="I85" s="67"/>
      <c r="J85" s="67"/>
      <c r="K85" s="165">
        <v>11.3</v>
      </c>
      <c r="N85" s="23" t="s">
        <v>134</v>
      </c>
      <c r="O85" s="363"/>
      <c r="P85" s="219">
        <f>+K81+K85+K86-(H85+H86)-P92</f>
        <v>109.56559139784947</v>
      </c>
      <c r="Q85" s="219"/>
      <c r="R85" s="219"/>
    </row>
    <row r="86" spans="2:20">
      <c r="B86" s="14" t="s">
        <v>130</v>
      </c>
      <c r="C86" s="67"/>
      <c r="D86" s="165"/>
      <c r="E86" s="67"/>
      <c r="F86" s="165"/>
      <c r="G86" s="67"/>
      <c r="H86" s="165">
        <v>6.5</v>
      </c>
      <c r="I86" s="67"/>
      <c r="J86" s="67"/>
      <c r="K86" s="165">
        <v>6.5</v>
      </c>
      <c r="N86" s="23" t="s">
        <v>135</v>
      </c>
      <c r="O86" s="363"/>
      <c r="P86" s="219">
        <f>+K83+K87-H87</f>
        <v>-240.79999999999998</v>
      </c>
      <c r="Q86" s="219"/>
      <c r="R86" s="219"/>
    </row>
    <row r="87" spans="2:20">
      <c r="B87" s="14" t="s">
        <v>721</v>
      </c>
      <c r="C87" s="67"/>
      <c r="D87" s="165"/>
      <c r="E87" s="67">
        <v>-0.1</v>
      </c>
      <c r="F87" s="165"/>
      <c r="G87" s="67">
        <v>-1.6</v>
      </c>
      <c r="H87" s="165">
        <v>0.2</v>
      </c>
      <c r="I87" s="67"/>
      <c r="J87" s="67">
        <v>-1.5</v>
      </c>
      <c r="K87" s="165">
        <v>-2.9</v>
      </c>
      <c r="N87" s="23" t="s">
        <v>136</v>
      </c>
      <c r="O87" s="363"/>
      <c r="P87" s="215">
        <f>+K84</f>
        <v>-128.6</v>
      </c>
      <c r="Q87" s="215">
        <f>SUM(P85:P87)</f>
        <v>-259.83440860215046</v>
      </c>
      <c r="R87" s="219"/>
    </row>
    <row r="88" spans="2:20">
      <c r="B88" s="14"/>
      <c r="C88" s="67"/>
      <c r="D88" s="165"/>
      <c r="E88" s="67"/>
      <c r="F88" s="165"/>
      <c r="G88" s="67"/>
      <c r="H88" s="165"/>
      <c r="I88" s="67"/>
      <c r="J88" s="67"/>
      <c r="K88" s="165"/>
      <c r="N88" s="3" t="s">
        <v>125</v>
      </c>
      <c r="O88" s="354"/>
      <c r="P88" s="219"/>
      <c r="Q88" s="219"/>
      <c r="R88" s="219"/>
    </row>
    <row r="89" spans="2:20">
      <c r="B89" t="s">
        <v>594</v>
      </c>
      <c r="C89" s="67"/>
      <c r="D89" s="165"/>
      <c r="E89" s="67"/>
      <c r="F89" s="165"/>
      <c r="G89" s="67"/>
      <c r="H89" s="165"/>
      <c r="I89" s="67"/>
      <c r="J89" s="67"/>
      <c r="K89" s="165"/>
      <c r="N89" s="23" t="s">
        <v>26</v>
      </c>
      <c r="O89" s="363"/>
      <c r="P89" s="219">
        <f>+K90</f>
        <v>663.3</v>
      </c>
      <c r="Q89" s="219"/>
      <c r="R89" s="219"/>
    </row>
    <row r="90" spans="2:20">
      <c r="B90" s="23" t="s">
        <v>26</v>
      </c>
      <c r="C90" s="67"/>
      <c r="D90" s="165"/>
      <c r="E90" s="67"/>
      <c r="F90" s="165"/>
      <c r="G90" s="67"/>
      <c r="H90" s="165"/>
      <c r="I90" s="67"/>
      <c r="J90" s="67">
        <v>663.3</v>
      </c>
      <c r="K90" s="165">
        <v>663.3</v>
      </c>
      <c r="N90" s="23" t="s">
        <v>137</v>
      </c>
      <c r="O90" s="363"/>
      <c r="P90" s="219">
        <f>+K91+K92+K93</f>
        <v>-40.299999999999997</v>
      </c>
      <c r="Q90" s="219"/>
      <c r="R90" s="219"/>
    </row>
    <row r="91" spans="2:20">
      <c r="B91" s="23" t="s">
        <v>591</v>
      </c>
      <c r="C91" s="67"/>
      <c r="D91" s="165"/>
      <c r="E91" s="67"/>
      <c r="F91" s="165"/>
      <c r="G91" s="67"/>
      <c r="H91" s="165"/>
      <c r="I91" s="67">
        <v>-1.5</v>
      </c>
      <c r="J91" s="67"/>
      <c r="K91" s="165">
        <v>-1.5</v>
      </c>
      <c r="N91" s="23" t="s">
        <v>683</v>
      </c>
      <c r="O91" s="363">
        <f>-O92/U166</f>
        <v>37.365591397849464</v>
      </c>
      <c r="P91" s="219"/>
      <c r="Q91" s="219"/>
      <c r="R91" s="219"/>
    </row>
    <row r="92" spans="2:20">
      <c r="B92" s="23" t="s">
        <v>725</v>
      </c>
      <c r="C92" s="67"/>
      <c r="D92" s="165"/>
      <c r="E92" s="67"/>
      <c r="F92" s="165"/>
      <c r="G92" s="67"/>
      <c r="H92" s="165"/>
      <c r="I92" s="67">
        <v>56.8</v>
      </c>
      <c r="J92" s="67"/>
      <c r="K92" s="165">
        <v>56.8</v>
      </c>
      <c r="N92" s="23" t="s">
        <v>685</v>
      </c>
      <c r="O92" s="304">
        <v>-13.9</v>
      </c>
      <c r="P92" s="219">
        <f>-(O91+O92)</f>
        <v>-23.465591397849465</v>
      </c>
      <c r="Q92" s="219"/>
      <c r="R92" s="219"/>
    </row>
    <row r="93" spans="2:20">
      <c r="B93" s="23" t="s">
        <v>726</v>
      </c>
      <c r="C93" s="67"/>
      <c r="D93" s="165"/>
      <c r="E93" s="67"/>
      <c r="F93" s="165"/>
      <c r="G93" s="67"/>
      <c r="H93" s="165"/>
      <c r="I93" s="67">
        <v>-95.6</v>
      </c>
      <c r="J93" s="67"/>
      <c r="K93" s="165">
        <v>-95.6</v>
      </c>
      <c r="N93" s="23" t="s">
        <v>138</v>
      </c>
      <c r="O93" s="298"/>
      <c r="P93" s="215">
        <v>0</v>
      </c>
      <c r="Q93" s="215">
        <f>SUM(P88:P93)</f>
        <v>599.53440860215051</v>
      </c>
      <c r="R93" s="219"/>
    </row>
    <row r="94" spans="2:20" ht="13.5" thickBot="1">
      <c r="B94" s="15" t="s">
        <v>132</v>
      </c>
      <c r="C94" s="75"/>
      <c r="D94" s="75"/>
      <c r="E94" s="75"/>
      <c r="F94" s="75"/>
      <c r="G94" s="75"/>
      <c r="H94" s="75"/>
      <c r="I94" s="75">
        <f>SUM(I90:I93)</f>
        <v>-40.299999999999997</v>
      </c>
      <c r="J94" s="75">
        <f>SUM(J90:J93)</f>
        <v>663.3</v>
      </c>
      <c r="K94" s="166">
        <f>SUM(K90:K93)</f>
        <v>622.99999999999989</v>
      </c>
      <c r="N94" s="28" t="s">
        <v>713</v>
      </c>
      <c r="O94" s="299"/>
      <c r="P94" s="299"/>
      <c r="Q94" s="299">
        <f>SUM(Q83:Q93)</f>
        <v>3844.1000000000004</v>
      </c>
      <c r="R94" s="299">
        <v>0</v>
      </c>
      <c r="S94" s="299">
        <f>-H95</f>
        <v>5.0999999999999988</v>
      </c>
      <c r="T94" s="299">
        <f>K95+R94+S94</f>
        <v>3844.1000000000004</v>
      </c>
    </row>
    <row r="95" spans="2:20" ht="14.25" thickTop="1" thickBot="1">
      <c r="B95" s="213" t="s">
        <v>723</v>
      </c>
      <c r="C95" s="73">
        <f t="shared" ref="C95:H95" si="1">SUM(C80:C94)</f>
        <v>98.100000000000009</v>
      </c>
      <c r="D95" s="73">
        <f t="shared" si="1"/>
        <v>0.2</v>
      </c>
      <c r="E95" s="73">
        <f t="shared" si="1"/>
        <v>167.99999999999997</v>
      </c>
      <c r="F95" s="73">
        <f t="shared" si="1"/>
        <v>2.6</v>
      </c>
      <c r="G95" s="73">
        <f t="shared" si="1"/>
        <v>538.69999999999993</v>
      </c>
      <c r="H95" s="73">
        <f t="shared" si="1"/>
        <v>-5.0999999999999988</v>
      </c>
      <c r="I95" s="73">
        <f>SUM(I80:I93)</f>
        <v>-192.39999999999998</v>
      </c>
      <c r="J95" s="73">
        <f>SUM(J80:J93)</f>
        <v>3495</v>
      </c>
      <c r="K95" s="73">
        <f>SUM(K80:K93)</f>
        <v>3839.0000000000005</v>
      </c>
      <c r="N95" s="3" t="s">
        <v>133</v>
      </c>
      <c r="O95" s="354"/>
      <c r="P95" s="219"/>
      <c r="Q95" s="219"/>
      <c r="R95" s="219"/>
    </row>
    <row r="96" spans="2:20" ht="13.5" thickTop="1">
      <c r="B96" t="s">
        <v>123</v>
      </c>
      <c r="C96" s="67"/>
      <c r="D96" s="165"/>
      <c r="E96" s="67">
        <v>1.3</v>
      </c>
      <c r="F96" s="165"/>
      <c r="G96" s="67">
        <v>48.2</v>
      </c>
      <c r="H96" s="165"/>
      <c r="I96" s="67"/>
      <c r="J96" s="67"/>
      <c r="K96" s="165">
        <v>48.2</v>
      </c>
      <c r="N96" s="23" t="s">
        <v>134</v>
      </c>
      <c r="O96" s="363"/>
      <c r="P96" s="219">
        <f>+K96+K100+K101-(H100+H101)-P103</f>
        <v>78.63333333333334</v>
      </c>
      <c r="Q96" s="219"/>
    </row>
    <row r="97" spans="2:20">
      <c r="B97" t="s">
        <v>600</v>
      </c>
      <c r="C97" s="67">
        <v>-0.3</v>
      </c>
      <c r="D97" s="165"/>
      <c r="E97" s="67">
        <v>0.3</v>
      </c>
      <c r="F97" s="165"/>
      <c r="G97" s="67"/>
      <c r="H97" s="165"/>
      <c r="I97" s="67"/>
      <c r="J97" s="67"/>
      <c r="K97" s="165"/>
      <c r="N97" s="23" t="s">
        <v>135</v>
      </c>
      <c r="O97" s="363"/>
      <c r="P97" s="219">
        <f>+K98+K102-H102</f>
        <v>-194.6</v>
      </c>
      <c r="Q97" s="219"/>
    </row>
    <row r="98" spans="2:20">
      <c r="B98" t="s">
        <v>128</v>
      </c>
      <c r="C98" s="67"/>
      <c r="D98" s="165"/>
      <c r="E98" s="67">
        <v>-4</v>
      </c>
      <c r="F98" s="165"/>
      <c r="G98" s="67">
        <v>-4.8</v>
      </c>
      <c r="H98" s="165"/>
      <c r="I98" s="67"/>
      <c r="J98" s="67">
        <v>-186.2</v>
      </c>
      <c r="K98" s="165">
        <v>-191</v>
      </c>
      <c r="N98" s="23" t="s">
        <v>136</v>
      </c>
      <c r="O98" s="363"/>
      <c r="P98" s="215">
        <f>+K99+R105-R94</f>
        <v>-105.79999999999998</v>
      </c>
      <c r="Q98" s="215">
        <f>SUM(P96:P98)</f>
        <v>-221.76666666666665</v>
      </c>
    </row>
    <row r="99" spans="2:20">
      <c r="B99" t="s">
        <v>124</v>
      </c>
      <c r="C99" s="67"/>
      <c r="D99" s="165"/>
      <c r="E99" s="67"/>
      <c r="F99" s="165"/>
      <c r="G99" s="67"/>
      <c r="H99" s="165"/>
      <c r="I99" s="67"/>
      <c r="J99" s="67">
        <v>-142.69999999999999</v>
      </c>
      <c r="K99" s="165">
        <v>-142.69999999999999</v>
      </c>
      <c r="N99" s="3" t="s">
        <v>125</v>
      </c>
      <c r="O99" s="354"/>
      <c r="P99" s="219"/>
      <c r="Q99" s="219"/>
    </row>
    <row r="100" spans="2:20">
      <c r="B100" t="s">
        <v>129</v>
      </c>
      <c r="C100" s="67"/>
      <c r="D100" s="165"/>
      <c r="E100" s="67">
        <v>0.3</v>
      </c>
      <c r="F100" s="165"/>
      <c r="G100" s="67">
        <v>9.6</v>
      </c>
      <c r="H100" s="165">
        <v>-0.2</v>
      </c>
      <c r="I100" s="67"/>
      <c r="J100" s="67"/>
      <c r="K100" s="165">
        <v>9.4</v>
      </c>
      <c r="N100" s="23" t="s">
        <v>26</v>
      </c>
      <c r="O100" s="363"/>
      <c r="P100" s="219">
        <f>+K105</f>
        <v>474</v>
      </c>
      <c r="Q100" s="219"/>
    </row>
    <row r="101" spans="2:20">
      <c r="B101" s="14" t="s">
        <v>130</v>
      </c>
      <c r="C101" s="67"/>
      <c r="D101" s="165"/>
      <c r="E101" s="67"/>
      <c r="F101" s="165"/>
      <c r="G101" s="67"/>
      <c r="H101" s="165">
        <v>3.7</v>
      </c>
      <c r="I101" s="67"/>
      <c r="J101" s="67"/>
      <c r="K101" s="165">
        <v>3.7</v>
      </c>
      <c r="N101" s="23" t="s">
        <v>137</v>
      </c>
      <c r="O101" s="363"/>
      <c r="P101" s="219">
        <f>+K106+K107</f>
        <v>-47.299999999999983</v>
      </c>
      <c r="Q101" s="219"/>
    </row>
    <row r="102" spans="2:20">
      <c r="B102" s="14" t="s">
        <v>721</v>
      </c>
      <c r="C102" s="67"/>
      <c r="D102" s="165"/>
      <c r="E102" s="67">
        <v>-0.1</v>
      </c>
      <c r="F102" s="165"/>
      <c r="G102" s="67">
        <v>-2.7</v>
      </c>
      <c r="H102" s="165">
        <v>1</v>
      </c>
      <c r="I102" s="67"/>
      <c r="J102" s="67">
        <v>-0.9</v>
      </c>
      <c r="K102" s="165">
        <v>-2.6</v>
      </c>
      <c r="N102" s="23" t="s">
        <v>683</v>
      </c>
      <c r="O102" s="363">
        <f>-O103/T166</f>
        <v>33.333333333333336</v>
      </c>
      <c r="P102" s="219"/>
      <c r="Q102" s="219"/>
    </row>
    <row r="103" spans="2:20">
      <c r="B103" s="14"/>
      <c r="C103" s="67"/>
      <c r="D103" s="165"/>
      <c r="E103" s="67"/>
      <c r="F103" s="165"/>
      <c r="G103" s="67"/>
      <c r="H103" s="165"/>
      <c r="I103" s="67"/>
      <c r="J103" s="67"/>
      <c r="K103" s="165"/>
      <c r="N103" s="23" t="s">
        <v>685</v>
      </c>
      <c r="O103" s="304">
        <v>-12.5</v>
      </c>
      <c r="P103" s="219">
        <f>-(O102+O103)</f>
        <v>-20.833333333333336</v>
      </c>
      <c r="Q103" s="219"/>
    </row>
    <row r="104" spans="2:20">
      <c r="B104" t="s">
        <v>594</v>
      </c>
      <c r="C104" s="67"/>
      <c r="D104" s="165"/>
      <c r="E104" s="67"/>
      <c r="F104" s="165"/>
      <c r="G104" s="67"/>
      <c r="H104" s="165"/>
      <c r="I104" s="67"/>
      <c r="J104" s="67"/>
      <c r="K104" s="165"/>
      <c r="N104" s="23" t="s">
        <v>138</v>
      </c>
      <c r="O104" s="298"/>
      <c r="P104" s="215">
        <v>0</v>
      </c>
      <c r="Q104" s="215">
        <f>SUM(P99:P104)</f>
        <v>405.86666666666673</v>
      </c>
    </row>
    <row r="105" spans="2:20" ht="13.5" thickBot="1">
      <c r="B105" s="23" t="s">
        <v>26</v>
      </c>
      <c r="C105" s="67"/>
      <c r="D105" s="165"/>
      <c r="E105" s="67"/>
      <c r="F105" s="165"/>
      <c r="G105" s="67"/>
      <c r="H105" s="165"/>
      <c r="I105" s="67"/>
      <c r="J105" s="67">
        <v>474</v>
      </c>
      <c r="K105" s="165">
        <v>474</v>
      </c>
      <c r="N105" s="28" t="s">
        <v>549</v>
      </c>
      <c r="O105" s="299"/>
      <c r="P105" s="299"/>
      <c r="Q105" s="299">
        <f>SUM(Q94:Q104)</f>
        <v>4028.2000000000007</v>
      </c>
      <c r="R105" s="300">
        <v>36.9</v>
      </c>
      <c r="S105" s="299">
        <f>-H109</f>
        <v>0.59999999999999876</v>
      </c>
      <c r="T105" s="299">
        <f>K109+R105+S105</f>
        <v>4028.2000000000007</v>
      </c>
    </row>
    <row r="106" spans="2:20" ht="13.5" thickTop="1">
      <c r="B106" s="23" t="s">
        <v>591</v>
      </c>
      <c r="C106" s="67"/>
      <c r="D106" s="165"/>
      <c r="E106" s="67"/>
      <c r="F106" s="165"/>
      <c r="G106" s="67"/>
      <c r="H106" s="165"/>
      <c r="I106" s="67">
        <v>127.4</v>
      </c>
      <c r="J106" s="67"/>
      <c r="K106" s="165">
        <v>127.4</v>
      </c>
      <c r="N106" s="3" t="s">
        <v>133</v>
      </c>
      <c r="O106" s="354"/>
      <c r="P106" s="219"/>
      <c r="Q106" s="219"/>
    </row>
    <row r="107" spans="2:20">
      <c r="B107" s="23" t="s">
        <v>726</v>
      </c>
      <c r="C107" s="67"/>
      <c r="D107" s="165"/>
      <c r="E107" s="67"/>
      <c r="F107" s="165"/>
      <c r="G107" s="67"/>
      <c r="H107" s="165"/>
      <c r="I107" s="67">
        <v>-174.7</v>
      </c>
      <c r="J107" s="67"/>
      <c r="K107" s="165">
        <v>-174.7</v>
      </c>
      <c r="N107" s="23" t="s">
        <v>134</v>
      </c>
      <c r="O107" s="363"/>
      <c r="P107" s="219">
        <f>+K110+K114+K115-(H114+H115)-P114</f>
        <v>388.12371967654985</v>
      </c>
      <c r="Q107" s="219"/>
    </row>
    <row r="108" spans="2:20">
      <c r="B108" s="15" t="s">
        <v>132</v>
      </c>
      <c r="C108" s="75"/>
      <c r="D108" s="75"/>
      <c r="E108" s="75"/>
      <c r="F108" s="75"/>
      <c r="G108" s="75"/>
      <c r="H108" s="75"/>
      <c r="I108" s="75">
        <f>SUM(I105:I107)</f>
        <v>-47.299999999999983</v>
      </c>
      <c r="J108" s="75">
        <f>SUM(J105:J107)</f>
        <v>474</v>
      </c>
      <c r="K108" s="166">
        <f>SUM(K105:K107)</f>
        <v>426.7</v>
      </c>
      <c r="N108" s="23" t="s">
        <v>135</v>
      </c>
      <c r="O108" s="363"/>
      <c r="P108" s="219">
        <f>+K112+K116</f>
        <v>-416.3</v>
      </c>
      <c r="Q108" s="219"/>
    </row>
    <row r="109" spans="2:20" ht="13.5" thickBot="1">
      <c r="B109" s="213" t="s">
        <v>631</v>
      </c>
      <c r="C109" s="73">
        <f t="shared" ref="C109:H109" si="2">SUM(C95:C108)</f>
        <v>97.800000000000011</v>
      </c>
      <c r="D109" s="73">
        <f t="shared" si="2"/>
        <v>0.2</v>
      </c>
      <c r="E109" s="73">
        <f t="shared" si="2"/>
        <v>165.8</v>
      </c>
      <c r="F109" s="73">
        <f t="shared" si="2"/>
        <v>2.6</v>
      </c>
      <c r="G109" s="73">
        <f t="shared" si="2"/>
        <v>589</v>
      </c>
      <c r="H109" s="73">
        <f t="shared" si="2"/>
        <v>-0.59999999999999876</v>
      </c>
      <c r="I109" s="73">
        <f>SUM(I95:I107)</f>
        <v>-239.69999999999996</v>
      </c>
      <c r="J109" s="73">
        <f>SUM(J95:J107)</f>
        <v>3639.2000000000003</v>
      </c>
      <c r="K109" s="73">
        <f>SUM(K95:K107)</f>
        <v>3990.7000000000007</v>
      </c>
      <c r="N109" s="23" t="s">
        <v>136</v>
      </c>
      <c r="O109" s="363"/>
      <c r="P109" s="215">
        <f>+K113+R116-R105</f>
        <v>-179.20000000000002</v>
      </c>
      <c r="Q109" s="215">
        <f>SUM(P107:P109)</f>
        <v>-207.37628032345017</v>
      </c>
    </row>
    <row r="110" spans="2:20" ht="13.5" thickTop="1">
      <c r="B110" t="s">
        <v>123</v>
      </c>
      <c r="C110" s="67"/>
      <c r="D110" s="165"/>
      <c r="E110" s="67">
        <v>5.5</v>
      </c>
      <c r="F110" s="165"/>
      <c r="G110" s="67">
        <v>284.89999999999998</v>
      </c>
      <c r="H110" s="165"/>
      <c r="I110" s="67"/>
      <c r="J110" s="67"/>
      <c r="K110" s="165">
        <v>284.89999999999998</v>
      </c>
      <c r="N110" s="3" t="s">
        <v>125</v>
      </c>
      <c r="O110" s="354"/>
      <c r="P110" s="219"/>
      <c r="Q110" s="219"/>
    </row>
    <row r="111" spans="2:20">
      <c r="B111" t="s">
        <v>600</v>
      </c>
      <c r="C111" s="67">
        <v>-20.2</v>
      </c>
      <c r="D111" s="165">
        <v>-0.1</v>
      </c>
      <c r="E111" s="67">
        <v>20.2</v>
      </c>
      <c r="F111" s="165">
        <v>0.1</v>
      </c>
      <c r="G111" s="67"/>
      <c r="H111" s="165"/>
      <c r="I111" s="67"/>
      <c r="J111" s="67"/>
      <c r="K111" s="165"/>
      <c r="N111" s="23" t="s">
        <v>26</v>
      </c>
      <c r="O111" s="363"/>
      <c r="P111" s="219">
        <f>+K119</f>
        <v>945.6</v>
      </c>
      <c r="Q111" s="219"/>
    </row>
    <row r="112" spans="2:20">
      <c r="B112" t="s">
        <v>128</v>
      </c>
      <c r="C112" s="67"/>
      <c r="D112" s="165"/>
      <c r="E112" s="67">
        <v>-6.4</v>
      </c>
      <c r="F112" s="165"/>
      <c r="G112" s="67">
        <v>-7.6</v>
      </c>
      <c r="H112" s="165"/>
      <c r="I112" s="67"/>
      <c r="J112" s="67">
        <v>-406.7</v>
      </c>
      <c r="K112" s="165">
        <v>-414.3</v>
      </c>
      <c r="N112" s="23" t="s">
        <v>137</v>
      </c>
      <c r="O112" s="363"/>
      <c r="P112" s="219">
        <f>+K120+K121</f>
        <v>153.4</v>
      </c>
      <c r="Q112" s="219"/>
    </row>
    <row r="113" spans="2:20">
      <c r="B113" t="s">
        <v>124</v>
      </c>
      <c r="C113" s="67"/>
      <c r="D113" s="165"/>
      <c r="E113" s="67"/>
      <c r="F113" s="165"/>
      <c r="G113" s="67"/>
      <c r="H113" s="165"/>
      <c r="I113" s="67"/>
      <c r="J113" s="67">
        <v>-194.9</v>
      </c>
      <c r="K113" s="165">
        <v>-194.9</v>
      </c>
      <c r="N113" s="23" t="s">
        <v>683</v>
      </c>
      <c r="O113" s="363">
        <f>-O114/S166</f>
        <v>127.22371967654988</v>
      </c>
      <c r="P113" s="219"/>
      <c r="Q113" s="219"/>
    </row>
    <row r="114" spans="2:20">
      <c r="B114" t="s">
        <v>129</v>
      </c>
      <c r="C114" s="67"/>
      <c r="D114" s="165"/>
      <c r="E114" s="67">
        <v>0.4</v>
      </c>
      <c r="F114" s="165"/>
      <c r="G114" s="67">
        <v>23.2</v>
      </c>
      <c r="H114" s="165">
        <v>-7.5</v>
      </c>
      <c r="I114" s="67"/>
      <c r="J114" s="67"/>
      <c r="K114" s="165">
        <v>15.7</v>
      </c>
      <c r="L114" s="67"/>
      <c r="N114" s="23" t="s">
        <v>685</v>
      </c>
      <c r="O114" s="304">
        <v>-47.2</v>
      </c>
      <c r="P114" s="219">
        <f>-(O113+O114)</f>
        <v>-80.023719676549874</v>
      </c>
      <c r="Q114" s="219"/>
    </row>
    <row r="115" spans="2:20">
      <c r="B115" s="14" t="s">
        <v>130</v>
      </c>
      <c r="C115" s="67"/>
      <c r="D115" s="165"/>
      <c r="E115" s="67"/>
      <c r="F115" s="165"/>
      <c r="G115" s="67"/>
      <c r="H115" s="165">
        <v>2.6</v>
      </c>
      <c r="I115" s="67"/>
      <c r="J115" s="67"/>
      <c r="K115" s="165">
        <v>2.6</v>
      </c>
      <c r="N115" s="23" t="s">
        <v>138</v>
      </c>
      <c r="O115" s="298"/>
      <c r="P115" s="215">
        <v>0</v>
      </c>
      <c r="Q115" s="215">
        <f>SUM(P110:P115)</f>
        <v>1018.9762803234502</v>
      </c>
    </row>
    <row r="116" spans="2:20" ht="13.5" thickBot="1">
      <c r="B116" s="14" t="s">
        <v>721</v>
      </c>
      <c r="C116" s="67"/>
      <c r="D116" s="165"/>
      <c r="E116" s="67"/>
      <c r="F116" s="165"/>
      <c r="G116" s="67">
        <v>-1.7</v>
      </c>
      <c r="H116" s="165"/>
      <c r="I116" s="67"/>
      <c r="J116" s="67">
        <v>-0.3</v>
      </c>
      <c r="K116" s="165">
        <v>-2</v>
      </c>
      <c r="N116" s="28" t="s">
        <v>656</v>
      </c>
      <c r="O116" s="299"/>
      <c r="P116" s="299"/>
      <c r="Q116" s="299">
        <f>SUM(Q105:Q115)</f>
        <v>4839.8</v>
      </c>
      <c r="R116" s="300">
        <v>52.6</v>
      </c>
      <c r="S116" s="299">
        <f>-H123</f>
        <v>5.4999999999999982</v>
      </c>
      <c r="T116" s="299">
        <f>K123+R116+S116</f>
        <v>4839.8</v>
      </c>
    </row>
    <row r="117" spans="2:20" ht="13.5" thickTop="1">
      <c r="B117" s="14"/>
      <c r="C117" s="67"/>
      <c r="D117" s="165"/>
      <c r="E117" s="67"/>
      <c r="F117" s="165"/>
      <c r="G117" s="67"/>
      <c r="H117" s="165"/>
      <c r="I117" s="67"/>
      <c r="J117" s="67"/>
      <c r="K117" s="165"/>
      <c r="N117" s="3" t="s">
        <v>133</v>
      </c>
      <c r="O117" s="354"/>
      <c r="P117" s="219"/>
      <c r="Q117" s="219"/>
    </row>
    <row r="118" spans="2:20">
      <c r="B118" t="s">
        <v>594</v>
      </c>
      <c r="C118" s="67"/>
      <c r="D118" s="165"/>
      <c r="E118" s="67"/>
      <c r="F118" s="165"/>
      <c r="G118" s="67"/>
      <c r="H118" s="165"/>
      <c r="I118" s="67"/>
      <c r="J118" s="67"/>
      <c r="K118" s="165"/>
      <c r="N118" s="23" t="s">
        <v>134</v>
      </c>
      <c r="O118" s="363"/>
      <c r="P118" s="219">
        <f>273.2+19.7-5.5</f>
        <v>287.39999999999998</v>
      </c>
      <c r="Q118" s="219"/>
    </row>
    <row r="119" spans="2:20">
      <c r="B119" s="23" t="s">
        <v>26</v>
      </c>
      <c r="C119" s="67"/>
      <c r="D119" s="165"/>
      <c r="E119" s="67"/>
      <c r="F119" s="165"/>
      <c r="G119" s="67"/>
      <c r="H119" s="165"/>
      <c r="I119" s="67"/>
      <c r="J119" s="67">
        <v>945.6</v>
      </c>
      <c r="K119" s="165">
        <v>945.6</v>
      </c>
      <c r="N119" s="23" t="s">
        <v>135</v>
      </c>
      <c r="O119" s="363"/>
      <c r="P119" s="219">
        <v>-556.20000000000005</v>
      </c>
      <c r="Q119" s="219"/>
    </row>
    <row r="120" spans="2:20">
      <c r="B120" s="23" t="s">
        <v>591</v>
      </c>
      <c r="C120" s="67"/>
      <c r="D120" s="165"/>
      <c r="E120" s="67"/>
      <c r="F120" s="165"/>
      <c r="G120" s="67"/>
      <c r="H120" s="165"/>
      <c r="I120" s="67">
        <v>27.5</v>
      </c>
      <c r="J120" s="67"/>
      <c r="K120" s="165">
        <v>27.5</v>
      </c>
      <c r="N120" s="23" t="s">
        <v>136</v>
      </c>
      <c r="O120" s="363"/>
      <c r="P120" s="215">
        <v>-236.7</v>
      </c>
      <c r="Q120" s="215">
        <f>SUM(P118:P120)</f>
        <v>-505.50000000000006</v>
      </c>
      <c r="S120" s="219"/>
    </row>
    <row r="121" spans="2:20">
      <c r="B121" s="23" t="s">
        <v>726</v>
      </c>
      <c r="C121" s="67"/>
      <c r="D121" s="165"/>
      <c r="E121" s="67"/>
      <c r="F121" s="165"/>
      <c r="G121" s="67"/>
      <c r="H121" s="165"/>
      <c r="I121" s="67">
        <v>125.9</v>
      </c>
      <c r="J121" s="67"/>
      <c r="K121" s="165">
        <v>125.9</v>
      </c>
      <c r="N121" s="3" t="s">
        <v>125</v>
      </c>
      <c r="O121" s="354"/>
      <c r="P121" s="219"/>
      <c r="Q121" s="219"/>
    </row>
    <row r="122" spans="2:20">
      <c r="B122" s="15" t="s">
        <v>132</v>
      </c>
      <c r="C122" s="75"/>
      <c r="D122" s="75"/>
      <c r="E122" s="75"/>
      <c r="F122" s="75"/>
      <c r="G122" s="75"/>
      <c r="H122" s="75"/>
      <c r="I122" s="75">
        <f>SUM(I119:I121)</f>
        <v>153.4</v>
      </c>
      <c r="J122" s="75">
        <f>SUM(J119:J121)</f>
        <v>945.6</v>
      </c>
      <c r="K122" s="166">
        <f>SUM(K119:K121)</f>
        <v>1099</v>
      </c>
      <c r="N122" s="23" t="s">
        <v>26</v>
      </c>
      <c r="O122" s="363"/>
      <c r="P122" s="219">
        <v>1211.5999999999999</v>
      </c>
      <c r="Q122" s="341"/>
    </row>
    <row r="123" spans="2:20" ht="13.5" thickBot="1">
      <c r="B123" s="213" t="s">
        <v>653</v>
      </c>
      <c r="C123" s="73">
        <f t="shared" ref="C123:H123" si="3">SUM(C109:C122)</f>
        <v>77.600000000000009</v>
      </c>
      <c r="D123" s="73">
        <f t="shared" si="3"/>
        <v>0.1</v>
      </c>
      <c r="E123" s="73">
        <f t="shared" si="3"/>
        <v>185.5</v>
      </c>
      <c r="F123" s="73">
        <f t="shared" si="3"/>
        <v>2.7</v>
      </c>
      <c r="G123" s="73">
        <f t="shared" si="3"/>
        <v>887.8</v>
      </c>
      <c r="H123" s="73">
        <f t="shared" si="3"/>
        <v>-5.4999999999999982</v>
      </c>
      <c r="I123" s="73">
        <f>SUM(I109:I121)</f>
        <v>-86.299999999999955</v>
      </c>
      <c r="J123" s="73">
        <f>SUM(J109:J121)</f>
        <v>3982.9</v>
      </c>
      <c r="K123" s="73">
        <f>SUM(K109:K121)</f>
        <v>4781.7</v>
      </c>
      <c r="N123" s="23" t="s">
        <v>137</v>
      </c>
      <c r="O123" s="363"/>
      <c r="P123" s="219">
        <f>70.1+89.6+3.9</f>
        <v>163.6</v>
      </c>
      <c r="Q123" s="341"/>
    </row>
    <row r="124" spans="2:20" ht="13.5" thickTop="1">
      <c r="B124" t="s">
        <v>123</v>
      </c>
      <c r="C124" s="67"/>
      <c r="D124" s="165"/>
      <c r="E124" s="67">
        <v>4.4000000000000004</v>
      </c>
      <c r="F124" s="165"/>
      <c r="G124" s="67">
        <v>273.2</v>
      </c>
      <c r="H124" s="165"/>
      <c r="I124" s="67"/>
      <c r="J124" s="67"/>
      <c r="K124" s="165">
        <v>273.2</v>
      </c>
      <c r="L124" s="67"/>
      <c r="N124" s="23" t="s">
        <v>683</v>
      </c>
      <c r="Q124" s="341"/>
    </row>
    <row r="125" spans="2:20">
      <c r="B125" t="s">
        <v>600</v>
      </c>
      <c r="C125" s="67">
        <v>-5.7</v>
      </c>
      <c r="D125" s="165"/>
      <c r="E125" s="67">
        <v>5.7</v>
      </c>
      <c r="F125" s="165"/>
      <c r="G125" s="67"/>
      <c r="H125" s="165"/>
      <c r="I125" s="67"/>
      <c r="J125" s="67"/>
      <c r="K125" s="165"/>
      <c r="N125" s="302" t="s">
        <v>685</v>
      </c>
      <c r="O125" s="307"/>
      <c r="P125" s="219"/>
      <c r="Q125" s="341"/>
    </row>
    <row r="126" spans="2:20">
      <c r="B126" t="s">
        <v>128</v>
      </c>
      <c r="C126" s="67"/>
      <c r="D126" s="165"/>
      <c r="E126" s="67">
        <v>-6.9</v>
      </c>
      <c r="F126" s="165"/>
      <c r="G126" s="67">
        <v>-8.3000000000000007</v>
      </c>
      <c r="H126" s="165"/>
      <c r="I126" s="67"/>
      <c r="J126" s="67">
        <v>-547.9</v>
      </c>
      <c r="K126" s="165">
        <v>-556.20000000000005</v>
      </c>
      <c r="L126" s="67"/>
      <c r="N126" s="23" t="s">
        <v>138</v>
      </c>
      <c r="O126" s="298"/>
      <c r="P126" s="215"/>
      <c r="Q126" s="335">
        <f>SUM(P121:P126)</f>
        <v>1375.1999999999998</v>
      </c>
    </row>
    <row r="127" spans="2:20" ht="13.5" thickBot="1">
      <c r="B127" t="s">
        <v>124</v>
      </c>
      <c r="C127" s="67"/>
      <c r="D127" s="165"/>
      <c r="E127" s="67"/>
      <c r="F127" s="165"/>
      <c r="G127" s="67"/>
      <c r="H127" s="165"/>
      <c r="I127" s="67"/>
      <c r="J127" s="67">
        <v>-249.4</v>
      </c>
      <c r="K127" s="165">
        <v>-249.4</v>
      </c>
      <c r="L127" s="67"/>
      <c r="N127" s="300" t="s">
        <v>397</v>
      </c>
      <c r="O127" s="299"/>
      <c r="P127" s="299"/>
      <c r="Q127" s="342">
        <f>SUM(Q116:Q126)</f>
        <v>5709.5</v>
      </c>
      <c r="R127" s="299">
        <v>65.3</v>
      </c>
      <c r="S127" s="299"/>
      <c r="T127" s="299">
        <f>R127+S127+K138</f>
        <v>5709.5</v>
      </c>
    </row>
    <row r="128" spans="2:20" ht="13.5" thickTop="1">
      <c r="B128" t="s">
        <v>129</v>
      </c>
      <c r="C128" s="67"/>
      <c r="D128" s="165"/>
      <c r="E128" s="67">
        <v>0.5</v>
      </c>
      <c r="F128" s="165"/>
      <c r="G128" s="67">
        <v>32.1</v>
      </c>
      <c r="H128" s="165">
        <v>-10.199999999999999</v>
      </c>
      <c r="I128" s="67"/>
      <c r="J128" s="67"/>
      <c r="K128" s="165">
        <v>21.9</v>
      </c>
      <c r="L128" s="67"/>
      <c r="N128" s="3" t="s">
        <v>133</v>
      </c>
      <c r="O128" s="354"/>
      <c r="P128" s="219"/>
      <c r="Q128" s="341"/>
      <c r="S128" s="219"/>
    </row>
    <row r="129" spans="2:21">
      <c r="B129" s="14" t="s">
        <v>130</v>
      </c>
      <c r="C129" s="67"/>
      <c r="D129" s="165"/>
      <c r="E129" s="67"/>
      <c r="F129" s="165"/>
      <c r="G129" s="67"/>
      <c r="H129" s="165">
        <v>3.9</v>
      </c>
      <c r="I129" s="67"/>
      <c r="J129" s="67"/>
      <c r="K129" s="165">
        <v>4.9000000000000004</v>
      </c>
      <c r="L129" s="67"/>
      <c r="N129" s="23" t="s">
        <v>134</v>
      </c>
      <c r="P129" s="219">
        <f>254+21.3</f>
        <v>275.3</v>
      </c>
      <c r="Q129" s="341"/>
      <c r="R129" s="219"/>
      <c r="S129" s="219"/>
    </row>
    <row r="130" spans="2:21">
      <c r="B130" s="14" t="s">
        <v>721</v>
      </c>
      <c r="C130" s="67"/>
      <c r="D130" s="165"/>
      <c r="E130" s="67"/>
      <c r="F130" s="165"/>
      <c r="G130" s="67">
        <v>-1.9</v>
      </c>
      <c r="H130" s="165">
        <v>0.4</v>
      </c>
      <c r="I130" s="67"/>
      <c r="J130" s="67">
        <v>-0.7</v>
      </c>
      <c r="K130" s="165">
        <v>-2.2000000000000002</v>
      </c>
      <c r="L130" s="67"/>
      <c r="N130" s="23" t="s">
        <v>135</v>
      </c>
      <c r="P130" s="219">
        <v>-781.2</v>
      </c>
      <c r="Q130" s="341"/>
    </row>
    <row r="131" spans="2:21">
      <c r="B131" s="14"/>
      <c r="C131" s="67"/>
      <c r="D131" s="165"/>
      <c r="E131" s="67"/>
      <c r="F131" s="165"/>
      <c r="G131" s="67"/>
      <c r="H131" s="165"/>
      <c r="I131" s="67"/>
      <c r="J131" s="67"/>
      <c r="K131" s="165"/>
      <c r="N131" s="23" t="s">
        <v>136</v>
      </c>
      <c r="P131" s="215">
        <v>-290.7</v>
      </c>
      <c r="Q131" s="335">
        <f>SUM(P129:P131)</f>
        <v>-796.6</v>
      </c>
    </row>
    <row r="132" spans="2:21">
      <c r="B132" t="s">
        <v>594</v>
      </c>
      <c r="C132" s="67"/>
      <c r="D132" s="165"/>
      <c r="E132" s="67"/>
      <c r="F132" s="165"/>
      <c r="G132" s="67"/>
      <c r="H132" s="165"/>
      <c r="I132" s="67"/>
      <c r="J132" s="67"/>
      <c r="K132" s="165"/>
      <c r="N132" s="3" t="s">
        <v>125</v>
      </c>
      <c r="O132" s="354"/>
      <c r="P132" s="219"/>
      <c r="Q132" s="341"/>
    </row>
    <row r="133" spans="2:21">
      <c r="B133" s="23" t="s">
        <v>26</v>
      </c>
      <c r="C133" s="67"/>
      <c r="D133" s="165"/>
      <c r="E133" s="67"/>
      <c r="F133" s="165"/>
      <c r="G133" s="67"/>
      <c r="H133" s="165"/>
      <c r="I133" s="67"/>
      <c r="J133" s="67">
        <v>1211.5999999999999</v>
      </c>
      <c r="K133" s="165">
        <v>1211.5999999999999</v>
      </c>
      <c r="L133" s="67"/>
      <c r="N133" s="23" t="s">
        <v>26</v>
      </c>
      <c r="P133" s="363">
        <f>K148</f>
        <v>1392</v>
      </c>
      <c r="Q133" s="341"/>
    </row>
    <row r="134" spans="2:21">
      <c r="B134" s="23" t="s">
        <v>591</v>
      </c>
      <c r="C134" s="67"/>
      <c r="D134" s="165"/>
      <c r="E134" s="67"/>
      <c r="F134" s="165"/>
      <c r="G134" s="67"/>
      <c r="H134" s="165"/>
      <c r="I134" s="67">
        <v>70.099999999999994</v>
      </c>
      <c r="J134" s="67"/>
      <c r="K134" s="165">
        <v>70.099999999999994</v>
      </c>
      <c r="L134" s="67"/>
      <c r="N134" s="23" t="s">
        <v>137</v>
      </c>
      <c r="P134" s="219">
        <f>87.1-38.8+11.5</f>
        <v>59.8</v>
      </c>
      <c r="Q134" s="341"/>
    </row>
    <row r="135" spans="2:21">
      <c r="B135" s="23" t="s">
        <v>726</v>
      </c>
      <c r="C135" s="67"/>
      <c r="D135" s="165"/>
      <c r="E135" s="67"/>
      <c r="F135" s="165"/>
      <c r="G135" s="67"/>
      <c r="H135" s="165"/>
      <c r="I135" s="67">
        <v>89.6</v>
      </c>
      <c r="J135" s="67"/>
      <c r="K135" s="165">
        <v>89.6</v>
      </c>
      <c r="L135" s="67"/>
      <c r="N135" s="23" t="s">
        <v>683</v>
      </c>
      <c r="O135" s="363"/>
      <c r="P135" s="219"/>
      <c r="Q135" s="341"/>
    </row>
    <row r="136" spans="2:21">
      <c r="B136" s="23" t="s">
        <v>260</v>
      </c>
      <c r="C136" s="67"/>
      <c r="D136" s="165"/>
      <c r="E136" s="67"/>
      <c r="F136" s="165"/>
      <c r="G136" s="67"/>
      <c r="H136" s="165"/>
      <c r="I136" s="67"/>
      <c r="J136" s="67"/>
      <c r="K136" s="165"/>
      <c r="L136" s="67"/>
      <c r="N136" s="302" t="s">
        <v>685</v>
      </c>
      <c r="O136" s="304"/>
      <c r="P136" s="219">
        <f>-(O135+O136)</f>
        <v>0</v>
      </c>
      <c r="Q136" s="341"/>
    </row>
    <row r="137" spans="2:21">
      <c r="B137" s="15" t="s">
        <v>132</v>
      </c>
      <c r="C137" s="75"/>
      <c r="D137" s="75"/>
      <c r="E137" s="75"/>
      <c r="F137" s="75"/>
      <c r="G137" s="75"/>
      <c r="H137" s="75"/>
      <c r="I137" s="75">
        <f>SUM(I133:I135)</f>
        <v>159.69999999999999</v>
      </c>
      <c r="J137" s="75">
        <f>SUM(J133:J136)</f>
        <v>1211.5999999999999</v>
      </c>
      <c r="K137" s="166">
        <f>SUM(K133:K136)</f>
        <v>1371.2999999999997</v>
      </c>
      <c r="N137" s="23" t="s">
        <v>138</v>
      </c>
      <c r="O137" s="298"/>
      <c r="P137" s="215">
        <v>0</v>
      </c>
      <c r="Q137" s="335">
        <f>SUM(P132:P137)</f>
        <v>1451.8</v>
      </c>
    </row>
    <row r="138" spans="2:21" ht="13.5" thickBot="1">
      <c r="B138" s="297" t="s">
        <v>379</v>
      </c>
      <c r="C138" s="73">
        <v>143.80000000000001</v>
      </c>
      <c r="D138" s="73">
        <f>SUM(D123:D137)</f>
        <v>0.1</v>
      </c>
      <c r="E138" s="73">
        <v>378.4</v>
      </c>
      <c r="F138" s="73">
        <f>SUM(F123:F137)</f>
        <v>2.7</v>
      </c>
      <c r="G138" s="73">
        <v>1171.5</v>
      </c>
      <c r="H138" s="73"/>
      <c r="I138" s="73">
        <f>SUM(I123:I135)</f>
        <v>73.400000000000034</v>
      </c>
      <c r="J138" s="73">
        <f>SUM(J123:J136)</f>
        <v>4396.5</v>
      </c>
      <c r="K138" s="73">
        <v>5644.2</v>
      </c>
      <c r="N138" s="300" t="s">
        <v>60</v>
      </c>
      <c r="O138" s="299"/>
      <c r="P138" s="299"/>
      <c r="Q138" s="342">
        <f>SUM(Q127:Q137)</f>
        <v>6364.7</v>
      </c>
      <c r="R138" s="300">
        <v>79.5</v>
      </c>
      <c r="S138" s="299"/>
      <c r="T138" s="299">
        <f>R138+S138+K153</f>
        <v>6364.7</v>
      </c>
      <c r="U138" s="67"/>
    </row>
    <row r="139" spans="2:21" ht="13.5" thickTop="1">
      <c r="B139" t="s">
        <v>123</v>
      </c>
      <c r="C139" s="67"/>
      <c r="D139" s="165"/>
      <c r="E139" s="67">
        <v>8</v>
      </c>
      <c r="F139" s="165"/>
      <c r="G139" s="67">
        <v>253.7</v>
      </c>
      <c r="H139" s="165"/>
      <c r="I139" s="67"/>
      <c r="J139" s="67"/>
      <c r="K139" s="165">
        <v>253.7</v>
      </c>
      <c r="N139" s="3" t="s">
        <v>133</v>
      </c>
      <c r="O139" s="354"/>
      <c r="P139" s="219"/>
      <c r="Q139" s="341"/>
      <c r="R139" s="219"/>
    </row>
    <row r="140" spans="2:21">
      <c r="B140" t="s">
        <v>600</v>
      </c>
      <c r="C140" s="67">
        <v>-16</v>
      </c>
      <c r="D140" s="165"/>
      <c r="E140" s="67">
        <v>16</v>
      </c>
      <c r="F140" s="165"/>
      <c r="G140" s="67"/>
      <c r="H140" s="165"/>
      <c r="I140" s="67"/>
      <c r="J140" s="67"/>
      <c r="K140" s="165"/>
      <c r="N140" s="23" t="s">
        <v>134</v>
      </c>
      <c r="O140" s="363"/>
      <c r="P140" s="219">
        <f>349.7+28.1</f>
        <v>377.8</v>
      </c>
      <c r="Q140" s="341"/>
    </row>
    <row r="141" spans="2:21">
      <c r="B141" t="s">
        <v>128</v>
      </c>
      <c r="C141" s="67"/>
      <c r="D141" s="165"/>
      <c r="E141" s="67">
        <v>-19</v>
      </c>
      <c r="F141" s="165"/>
      <c r="G141" s="67">
        <v>-11.3</v>
      </c>
      <c r="H141" s="165"/>
      <c r="I141" s="67"/>
      <c r="J141" s="67">
        <v>-769.9</v>
      </c>
      <c r="K141" s="165">
        <v>-781.2</v>
      </c>
      <c r="N141" s="23" t="s">
        <v>135</v>
      </c>
      <c r="O141" s="363"/>
      <c r="P141" s="219">
        <v>-975.2</v>
      </c>
      <c r="Q141" s="341"/>
      <c r="R141" s="66">
        <f>R149-R138</f>
        <v>13.5</v>
      </c>
    </row>
    <row r="142" spans="2:21">
      <c r="B142" t="s">
        <v>124</v>
      </c>
      <c r="C142" s="67"/>
      <c r="D142" s="165"/>
      <c r="E142" s="67"/>
      <c r="F142" s="165"/>
      <c r="G142" s="67"/>
      <c r="H142" s="165"/>
      <c r="I142" s="67"/>
      <c r="J142" s="67">
        <v>-304.89999999999998</v>
      </c>
      <c r="K142" s="67">
        <v>-304.89999999999998</v>
      </c>
      <c r="M142" s="67"/>
      <c r="N142" s="23" t="s">
        <v>136</v>
      </c>
      <c r="O142" s="363"/>
      <c r="P142" s="215">
        <v>-343.8</v>
      </c>
      <c r="Q142" s="335">
        <f>SUM(P140:P142)</f>
        <v>-941.2</v>
      </c>
    </row>
    <row r="143" spans="2:21">
      <c r="B143" t="s">
        <v>129</v>
      </c>
      <c r="C143" s="67"/>
      <c r="D143" s="165"/>
      <c r="E143" s="67">
        <v>1</v>
      </c>
      <c r="F143" s="165"/>
      <c r="G143" s="67">
        <v>26.9</v>
      </c>
      <c r="H143" s="165"/>
      <c r="I143" s="67"/>
      <c r="J143" s="67"/>
      <c r="K143" s="165">
        <v>26.9</v>
      </c>
      <c r="N143" s="3" t="s">
        <v>125</v>
      </c>
      <c r="O143" s="354"/>
      <c r="P143" s="219"/>
      <c r="Q143" s="341"/>
    </row>
    <row r="144" spans="2:21">
      <c r="B144" s="14" t="s">
        <v>263</v>
      </c>
      <c r="C144" s="67"/>
      <c r="D144" s="165"/>
      <c r="E144" s="67"/>
      <c r="F144" s="165"/>
      <c r="G144" s="67">
        <v>11.8</v>
      </c>
      <c r="H144" s="165"/>
      <c r="I144" s="67"/>
      <c r="J144" s="67"/>
      <c r="K144" s="165">
        <v>11.8</v>
      </c>
      <c r="N144" s="23" t="s">
        <v>26</v>
      </c>
      <c r="O144" s="363"/>
      <c r="P144" s="219">
        <v>1491.5</v>
      </c>
      <c r="Q144" s="341"/>
    </row>
    <row r="145" spans="2:20">
      <c r="B145" s="14" t="s">
        <v>721</v>
      </c>
      <c r="C145" s="67"/>
      <c r="D145" s="165"/>
      <c r="E145" s="67">
        <v>-0.2</v>
      </c>
      <c r="F145" s="165"/>
      <c r="G145" s="67">
        <v>-5.3</v>
      </c>
      <c r="H145" s="165"/>
      <c r="I145" s="67"/>
      <c r="J145" s="67">
        <v>-0.3</v>
      </c>
      <c r="K145" s="165">
        <v>-5.6</v>
      </c>
      <c r="N145" s="23" t="s">
        <v>137</v>
      </c>
      <c r="O145" s="363"/>
      <c r="P145" s="219">
        <f>84.6-16.7+135.5</f>
        <v>203.39999999999998</v>
      </c>
      <c r="Q145" s="341"/>
    </row>
    <row r="146" spans="2:20">
      <c r="B146" s="14"/>
      <c r="C146" s="67"/>
      <c r="D146" s="165"/>
      <c r="E146" s="67"/>
      <c r="F146" s="165"/>
      <c r="G146" s="67"/>
      <c r="H146" s="165"/>
      <c r="I146" s="67"/>
      <c r="J146" s="67"/>
      <c r="K146" s="165"/>
      <c r="N146" s="23" t="s">
        <v>683</v>
      </c>
      <c r="O146" s="363"/>
      <c r="P146" s="219"/>
      <c r="Q146" s="341"/>
    </row>
    <row r="147" spans="2:20">
      <c r="B147" t="s">
        <v>594</v>
      </c>
      <c r="C147" s="67"/>
      <c r="D147" s="165"/>
      <c r="E147" s="67"/>
      <c r="F147" s="165"/>
      <c r="G147" s="67"/>
      <c r="H147" s="165"/>
      <c r="I147" s="67"/>
      <c r="J147" s="67"/>
      <c r="K147" s="165"/>
      <c r="N147" s="302" t="s">
        <v>685</v>
      </c>
      <c r="O147" s="304"/>
      <c r="P147" s="219">
        <f>-(O146+O147)</f>
        <v>0</v>
      </c>
      <c r="Q147" s="341"/>
    </row>
    <row r="148" spans="2:20">
      <c r="B148" s="23" t="s">
        <v>26</v>
      </c>
      <c r="C148" s="67"/>
      <c r="D148" s="165"/>
      <c r="E148" s="67"/>
      <c r="F148" s="165"/>
      <c r="G148" s="67"/>
      <c r="H148" s="165"/>
      <c r="I148" s="67"/>
      <c r="J148" s="67">
        <v>1392</v>
      </c>
      <c r="K148" s="165">
        <v>1392</v>
      </c>
      <c r="N148" s="23" t="s">
        <v>138</v>
      </c>
      <c r="O148" s="298"/>
      <c r="P148" s="215">
        <v>0</v>
      </c>
      <c r="Q148" s="335">
        <f>SUM(P143:P149)</f>
        <v>1694.9</v>
      </c>
    </row>
    <row r="149" spans="2:20" ht="13.5" thickBot="1">
      <c r="B149" s="23" t="s">
        <v>591</v>
      </c>
      <c r="C149" s="67"/>
      <c r="D149" s="165"/>
      <c r="E149" s="67"/>
      <c r="F149" s="165"/>
      <c r="G149" s="67"/>
      <c r="H149" s="165"/>
      <c r="I149" s="67">
        <v>87.1</v>
      </c>
      <c r="J149" s="67"/>
      <c r="K149" s="165">
        <v>87.1</v>
      </c>
      <c r="N149" s="300" t="s">
        <v>61</v>
      </c>
      <c r="O149" s="299"/>
      <c r="P149" s="299"/>
      <c r="Q149" s="342">
        <f>SUM(Q138:Q148)</f>
        <v>7118.4</v>
      </c>
      <c r="R149" s="300">
        <v>93</v>
      </c>
      <c r="S149" s="299"/>
      <c r="T149" s="299">
        <f>R149+S149+K169</f>
        <v>7118.4</v>
      </c>
    </row>
    <row r="150" spans="2:20" ht="13.5" thickTop="1">
      <c r="B150" s="23" t="s">
        <v>726</v>
      </c>
      <c r="C150" s="67"/>
      <c r="D150" s="165"/>
      <c r="E150" s="67"/>
      <c r="F150" s="165"/>
      <c r="G150" s="67"/>
      <c r="H150" s="165"/>
      <c r="I150" s="67">
        <v>-5.6</v>
      </c>
      <c r="J150" s="67"/>
      <c r="K150" s="67">
        <f>I150</f>
        <v>-5.6</v>
      </c>
      <c r="N150" s="3" t="s">
        <v>133</v>
      </c>
      <c r="O150" s="354"/>
      <c r="P150" s="219"/>
      <c r="Q150" s="341"/>
      <c r="R150" s="219"/>
    </row>
    <row r="151" spans="2:20">
      <c r="B151" s="23" t="s">
        <v>261</v>
      </c>
      <c r="C151" s="67"/>
      <c r="D151" s="165"/>
      <c r="E151" s="67"/>
      <c r="F151" s="165"/>
      <c r="G151" s="67"/>
      <c r="H151" s="165"/>
      <c r="I151" s="67">
        <v>-33.200000000000003</v>
      </c>
      <c r="J151" s="67"/>
      <c r="K151" s="67">
        <f>I151</f>
        <v>-33.200000000000003</v>
      </c>
      <c r="M151" s="67"/>
      <c r="N151" s="23" t="s">
        <v>134</v>
      </c>
      <c r="O151" s="363"/>
      <c r="P151" s="219">
        <f>372.2+35.8</f>
        <v>408</v>
      </c>
      <c r="Q151" s="341"/>
    </row>
    <row r="152" spans="2:20">
      <c r="B152" s="15" t="s">
        <v>132</v>
      </c>
      <c r="C152" s="75"/>
      <c r="D152" s="75"/>
      <c r="E152" s="75"/>
      <c r="F152" s="75"/>
      <c r="G152" s="75"/>
      <c r="H152" s="75"/>
      <c r="I152" s="75">
        <f>SUM(I149:I151)</f>
        <v>48.3</v>
      </c>
      <c r="J152" s="75">
        <f>SUM(J148:J150)</f>
        <v>1392</v>
      </c>
      <c r="K152" s="166">
        <f>SUM(K148:K151)</f>
        <v>1440.3</v>
      </c>
      <c r="N152" s="23" t="s">
        <v>135</v>
      </c>
      <c r="O152" s="363"/>
      <c r="P152" s="219">
        <f>K172</f>
        <v>-1248</v>
      </c>
      <c r="Q152" s="341"/>
    </row>
    <row r="153" spans="2:20" ht="13.5" thickBot="1">
      <c r="B153" s="297" t="s">
        <v>380</v>
      </c>
      <c r="C153" s="73">
        <f t="shared" ref="C153:H153" si="4">SUM(C138:C152)</f>
        <v>127.80000000000001</v>
      </c>
      <c r="D153" s="73">
        <f t="shared" si="4"/>
        <v>0.1</v>
      </c>
      <c r="E153" s="73">
        <f t="shared" si="4"/>
        <v>384.2</v>
      </c>
      <c r="F153" s="73">
        <f t="shared" si="4"/>
        <v>2.7</v>
      </c>
      <c r="G153" s="73">
        <f t="shared" si="4"/>
        <v>1447.3000000000002</v>
      </c>
      <c r="H153" s="73">
        <f t="shared" si="4"/>
        <v>0</v>
      </c>
      <c r="I153" s="73">
        <f>SUM(I138:I151)</f>
        <v>121.70000000000003</v>
      </c>
      <c r="J153" s="73">
        <f>SUM(J138:J151)</f>
        <v>4713.3999999999996</v>
      </c>
      <c r="K153" s="73">
        <f>SUM(K138:K151)</f>
        <v>6285.2</v>
      </c>
      <c r="N153" s="23" t="s">
        <v>136</v>
      </c>
      <c r="O153" s="363"/>
      <c r="P153" s="215">
        <f>-412.8</f>
        <v>-412.8</v>
      </c>
      <c r="Q153" s="335">
        <f>SUM(P151:P153)</f>
        <v>-1252.8</v>
      </c>
    </row>
    <row r="154" spans="2:20" ht="13.5" thickTop="1">
      <c r="B154" t="s">
        <v>123</v>
      </c>
      <c r="C154" s="67"/>
      <c r="D154" s="165"/>
      <c r="E154" s="67">
        <v>10.7</v>
      </c>
      <c r="F154" s="165"/>
      <c r="G154" s="67">
        <v>349.7</v>
      </c>
      <c r="H154" s="165"/>
      <c r="I154" s="67"/>
      <c r="J154" s="67"/>
      <c r="K154" s="165">
        <v>349.7</v>
      </c>
      <c r="N154" s="3" t="s">
        <v>125</v>
      </c>
      <c r="O154" s="354"/>
      <c r="P154" s="219"/>
      <c r="Q154" s="341"/>
    </row>
    <row r="155" spans="2:20">
      <c r="B155" t="s">
        <v>600</v>
      </c>
      <c r="C155" s="67">
        <v>-10.199999999999999</v>
      </c>
      <c r="D155" s="165"/>
      <c r="E155" s="67">
        <v>10.199999999999999</v>
      </c>
      <c r="F155" s="165"/>
      <c r="G155" s="67"/>
      <c r="H155" s="165"/>
      <c r="I155" s="67"/>
      <c r="J155" s="67"/>
      <c r="K155" s="165"/>
      <c r="N155" s="23" t="s">
        <v>26</v>
      </c>
      <c r="O155" s="363"/>
      <c r="P155" s="219">
        <v>1883.4</v>
      </c>
      <c r="Q155" s="341"/>
    </row>
    <row r="156" spans="2:20">
      <c r="B156" t="s">
        <v>128</v>
      </c>
      <c r="C156" s="67"/>
      <c r="D156" s="165"/>
      <c r="E156" s="67">
        <v>-22.1</v>
      </c>
      <c r="F156" s="165"/>
      <c r="G156" s="67">
        <v>-13.2</v>
      </c>
      <c r="H156" s="165"/>
      <c r="I156" s="67"/>
      <c r="J156" s="67">
        <v>-962</v>
      </c>
      <c r="K156" s="165">
        <v>-975.2</v>
      </c>
      <c r="N156" s="23" t="s">
        <v>137</v>
      </c>
      <c r="O156" s="363"/>
      <c r="P156" s="219">
        <f>165.6-91.6-25.7</f>
        <v>48.3</v>
      </c>
      <c r="Q156" s="341"/>
    </row>
    <row r="157" spans="2:20">
      <c r="B157" t="s">
        <v>124</v>
      </c>
      <c r="C157" s="67"/>
      <c r="D157" s="165"/>
      <c r="E157" s="67"/>
      <c r="F157" s="165"/>
      <c r="G157" s="67"/>
      <c r="H157" s="165"/>
      <c r="I157" s="67"/>
      <c r="J157" s="67">
        <v>-357.2</v>
      </c>
      <c r="K157" s="165">
        <f>J157</f>
        <v>-357.2</v>
      </c>
      <c r="L157" s="67"/>
      <c r="N157" s="23" t="s">
        <v>683</v>
      </c>
      <c r="O157" s="363"/>
      <c r="P157" s="219"/>
      <c r="Q157" s="341"/>
    </row>
    <row r="158" spans="2:20">
      <c r="B158" t="s">
        <v>129</v>
      </c>
      <c r="C158" s="67"/>
      <c r="D158" s="165"/>
      <c r="E158" s="67">
        <v>1.2</v>
      </c>
      <c r="F158" s="165"/>
      <c r="G158" s="67">
        <v>30.1</v>
      </c>
      <c r="H158" s="165"/>
      <c r="I158" s="67"/>
      <c r="J158" s="67"/>
      <c r="K158" s="165">
        <v>30.1</v>
      </c>
      <c r="N158" s="302" t="s">
        <v>685</v>
      </c>
      <c r="O158" s="304"/>
      <c r="P158" s="219">
        <f>-(O157+O158)</f>
        <v>0</v>
      </c>
      <c r="Q158" s="341"/>
    </row>
    <row r="159" spans="2:20">
      <c r="B159" s="14" t="s">
        <v>263</v>
      </c>
      <c r="C159" s="67"/>
      <c r="D159" s="165"/>
      <c r="E159" s="67"/>
      <c r="F159" s="165"/>
      <c r="G159" s="67">
        <v>147.69999999999999</v>
      </c>
      <c r="H159" s="165"/>
      <c r="I159" s="67"/>
      <c r="J159" s="67"/>
      <c r="K159" s="165">
        <v>147.69999999999999</v>
      </c>
      <c r="N159" s="23" t="s">
        <v>138</v>
      </c>
      <c r="O159" s="298"/>
      <c r="P159" s="215">
        <v>0</v>
      </c>
      <c r="Q159" s="335">
        <f>SUM(P154:P160)</f>
        <v>1931.7</v>
      </c>
    </row>
    <row r="160" spans="2:20" ht="13.5" thickBot="1">
      <c r="B160" s="14" t="s">
        <v>721</v>
      </c>
      <c r="C160" s="67"/>
      <c r="D160" s="165"/>
      <c r="E160" s="67">
        <v>-0.1</v>
      </c>
      <c r="F160" s="165"/>
      <c r="G160" s="67">
        <v>-1.6</v>
      </c>
      <c r="H160" s="165"/>
      <c r="I160" s="67"/>
      <c r="J160" s="67">
        <v>-0.5</v>
      </c>
      <c r="K160" s="165">
        <v>-2.1</v>
      </c>
      <c r="N160" s="300" t="s">
        <v>62</v>
      </c>
      <c r="O160" s="299"/>
      <c r="P160" s="299"/>
      <c r="Q160" s="342">
        <f>SUM(Q149:Q159)</f>
        <v>7797.2999999999993</v>
      </c>
      <c r="R160" s="305">
        <v>113</v>
      </c>
      <c r="S160" s="299">
        <f>-K175</f>
        <v>-141</v>
      </c>
      <c r="T160" s="299">
        <f>R160+S160+K188</f>
        <v>7797.2999999999993</v>
      </c>
    </row>
    <row r="161" spans="2:27" ht="13.5" thickTop="1">
      <c r="B161" s="14"/>
      <c r="C161" s="67"/>
      <c r="D161" s="165"/>
      <c r="E161" s="67"/>
      <c r="F161" s="165"/>
      <c r="G161" s="67"/>
      <c r="H161" s="165"/>
      <c r="I161" s="67"/>
      <c r="J161" s="67"/>
      <c r="K161" s="165"/>
      <c r="Q161" s="343"/>
    </row>
    <row r="162" spans="2:27">
      <c r="B162" t="s">
        <v>594</v>
      </c>
      <c r="C162" s="67"/>
      <c r="D162" s="165"/>
      <c r="E162" s="67"/>
      <c r="F162" s="165"/>
      <c r="G162" s="67"/>
      <c r="H162" s="165"/>
      <c r="I162" s="67"/>
      <c r="J162" s="67"/>
      <c r="K162" s="165"/>
      <c r="Q162" s="341"/>
      <c r="R162" s="219"/>
    </row>
    <row r="163" spans="2:27">
      <c r="B163" s="23" t="s">
        <v>26</v>
      </c>
      <c r="C163" s="67"/>
      <c r="D163" s="165"/>
      <c r="E163" s="67"/>
      <c r="F163" s="165"/>
      <c r="G163" s="67"/>
      <c r="H163" s="165"/>
      <c r="I163" s="67"/>
      <c r="J163" s="67">
        <v>1491.5</v>
      </c>
      <c r="K163" s="165">
        <f>J163</f>
        <v>1491.5</v>
      </c>
      <c r="N163" s="224" t="s">
        <v>578</v>
      </c>
      <c r="Q163" s="343"/>
      <c r="S163" s="219"/>
    </row>
    <row r="164" spans="2:27">
      <c r="B164" s="23" t="s">
        <v>591</v>
      </c>
      <c r="C164" s="67"/>
      <c r="D164" s="165"/>
      <c r="E164" s="67"/>
      <c r="F164" s="165"/>
      <c r="G164" s="67"/>
      <c r="H164" s="165"/>
      <c r="I164" s="67">
        <v>84.6</v>
      </c>
      <c r="J164" s="67"/>
      <c r="K164" s="165">
        <f>I164</f>
        <v>84.6</v>
      </c>
      <c r="N164" t="s">
        <v>684</v>
      </c>
      <c r="O164" s="215"/>
      <c r="P164" s="313"/>
      <c r="Q164" s="344"/>
      <c r="R164" s="313"/>
      <c r="S164" s="313"/>
    </row>
    <row r="165" spans="2:27" ht="13.5" customHeight="1">
      <c r="B165" s="23" t="s">
        <v>726</v>
      </c>
      <c r="C165" s="67"/>
      <c r="D165" s="165"/>
      <c r="E165" s="67"/>
      <c r="F165" s="165"/>
      <c r="G165" s="67"/>
      <c r="H165" s="165"/>
      <c r="I165" s="67">
        <v>-38.1</v>
      </c>
      <c r="J165" s="67"/>
      <c r="K165" s="165">
        <f>I165</f>
        <v>-38.1</v>
      </c>
      <c r="N165" s="147" t="s">
        <v>579</v>
      </c>
      <c r="O165" s="313">
        <v>2008</v>
      </c>
      <c r="P165" s="313">
        <v>2007</v>
      </c>
      <c r="Q165" s="344">
        <v>2006</v>
      </c>
      <c r="R165" s="313">
        <v>2005</v>
      </c>
      <c r="S165" s="313">
        <v>2004</v>
      </c>
      <c r="T165" s="364">
        <v>2003</v>
      </c>
      <c r="U165" s="147">
        <v>2002</v>
      </c>
      <c r="V165" s="147">
        <v>2001</v>
      </c>
      <c r="W165" s="147">
        <v>2000</v>
      </c>
      <c r="X165" s="147">
        <v>1999</v>
      </c>
      <c r="Y165" s="147">
        <v>1998</v>
      </c>
      <c r="Z165" s="147">
        <v>1997</v>
      </c>
      <c r="AA165" s="147">
        <v>1996</v>
      </c>
    </row>
    <row r="166" spans="2:27" ht="13.5" customHeight="1">
      <c r="B166" s="23" t="s">
        <v>261</v>
      </c>
      <c r="C166" s="67"/>
      <c r="D166" s="165"/>
      <c r="E166" s="67"/>
      <c r="F166" s="165"/>
      <c r="G166" s="67"/>
      <c r="H166" s="165"/>
      <c r="I166" s="67">
        <v>21.4</v>
      </c>
      <c r="J166" s="67"/>
      <c r="K166" s="165">
        <f>I166</f>
        <v>21.4</v>
      </c>
      <c r="N166" s="15" t="s">
        <v>577</v>
      </c>
      <c r="O166" s="348">
        <v>0.36399999999999999</v>
      </c>
      <c r="P166" s="348">
        <v>0.36599999999999999</v>
      </c>
      <c r="Q166" s="345">
        <v>0.36499999999999999</v>
      </c>
      <c r="R166" s="348">
        <v>0.36399999999999999</v>
      </c>
      <c r="S166" s="348">
        <v>0.371</v>
      </c>
      <c r="T166" s="348">
        <v>0.375</v>
      </c>
      <c r="U166" s="148">
        <v>0.372</v>
      </c>
      <c r="V166" s="148">
        <v>0.374</v>
      </c>
      <c r="W166" s="148">
        <v>0.373</v>
      </c>
      <c r="X166" s="148">
        <v>0.38300000000000001</v>
      </c>
      <c r="Y166" s="148">
        <v>0.38400000000000001</v>
      </c>
      <c r="Z166" s="148">
        <v>0.38500000000000001</v>
      </c>
      <c r="AA166" s="148">
        <v>0.376</v>
      </c>
    </row>
    <row r="167" spans="2:27">
      <c r="B167" s="15" t="s">
        <v>132</v>
      </c>
      <c r="C167" s="75"/>
      <c r="D167" s="75"/>
      <c r="E167" s="75"/>
      <c r="F167" s="75"/>
      <c r="G167" s="75"/>
      <c r="H167" s="75"/>
      <c r="I167" s="75">
        <f>SUM(I163:I166)</f>
        <v>67.899999999999991</v>
      </c>
      <c r="J167" s="75">
        <f>SUM(J163:J165)</f>
        <v>1491.5</v>
      </c>
      <c r="K167" s="166">
        <f>SUM(K163:K166)</f>
        <v>1559.4</v>
      </c>
      <c r="Q167" s="343"/>
    </row>
    <row r="168" spans="2:27">
      <c r="B168" s="147" t="s">
        <v>262</v>
      </c>
      <c r="C168" s="74"/>
      <c r="D168" s="74"/>
      <c r="E168" s="74"/>
      <c r="F168" s="74"/>
      <c r="G168" s="74"/>
      <c r="H168" s="74"/>
      <c r="I168" s="74">
        <v>-12.2</v>
      </c>
      <c r="J168" s="74"/>
      <c r="K168" s="301">
        <f>I168</f>
        <v>-12.2</v>
      </c>
      <c r="Q168" s="343"/>
    </row>
    <row r="169" spans="2:27" ht="13.5" thickBot="1">
      <c r="B169" s="213" t="s">
        <v>381</v>
      </c>
      <c r="C169" s="73">
        <f t="shared" ref="C169:H169" si="5">SUM(C153:C167)</f>
        <v>117.60000000000001</v>
      </c>
      <c r="D169" s="73">
        <f t="shared" si="5"/>
        <v>0.1</v>
      </c>
      <c r="E169" s="73">
        <f t="shared" si="5"/>
        <v>384.09999999999991</v>
      </c>
      <c r="F169" s="73">
        <f t="shared" si="5"/>
        <v>2.7</v>
      </c>
      <c r="G169" s="73">
        <f t="shared" si="5"/>
        <v>1960.0000000000002</v>
      </c>
      <c r="H169" s="73">
        <f t="shared" si="5"/>
        <v>0</v>
      </c>
      <c r="I169" s="73">
        <f>SUM(I153:I166)+I168</f>
        <v>177.40000000000003</v>
      </c>
      <c r="J169" s="73">
        <f>SUM(J153:J165)</f>
        <v>4885.2</v>
      </c>
      <c r="K169" s="73">
        <f>SUM(K153:K166)+K168</f>
        <v>7025.4</v>
      </c>
      <c r="Q169" s="343"/>
    </row>
    <row r="170" spans="2:27" ht="13.5" thickTop="1">
      <c r="B170" t="s">
        <v>123</v>
      </c>
      <c r="C170" s="67"/>
      <c r="D170" s="165"/>
      <c r="E170" s="67">
        <v>9.1</v>
      </c>
      <c r="F170" s="165"/>
      <c r="G170" s="67">
        <v>372.2</v>
      </c>
      <c r="H170" s="165"/>
      <c r="I170" s="67"/>
      <c r="J170" s="67"/>
      <c r="K170" s="165">
        <v>372.2</v>
      </c>
      <c r="Q170" s="343"/>
    </row>
    <row r="171" spans="2:27">
      <c r="B171" t="s">
        <v>600</v>
      </c>
      <c r="C171" s="67">
        <v>-20.8</v>
      </c>
      <c r="D171" s="165"/>
      <c r="E171" s="67">
        <v>20.8</v>
      </c>
      <c r="F171" s="165"/>
      <c r="G171" s="67"/>
      <c r="H171" s="165"/>
      <c r="I171" s="67"/>
      <c r="J171" s="67"/>
      <c r="K171" s="165"/>
      <c r="Q171" s="343"/>
    </row>
    <row r="172" spans="2:27">
      <c r="B172" t="s">
        <v>128</v>
      </c>
      <c r="C172" s="67"/>
      <c r="D172" s="165"/>
      <c r="E172" s="67">
        <v>-20.6</v>
      </c>
      <c r="F172" s="165"/>
      <c r="G172" s="67">
        <v>-12.3</v>
      </c>
      <c r="H172" s="165"/>
      <c r="I172" s="67"/>
      <c r="J172" s="67">
        <v>-1235.7</v>
      </c>
      <c r="K172" s="165">
        <v>-1248</v>
      </c>
      <c r="Q172" s="343"/>
    </row>
    <row r="173" spans="2:27">
      <c r="B173" t="s">
        <v>124</v>
      </c>
      <c r="C173" s="67"/>
      <c r="D173" s="165"/>
      <c r="E173" s="67"/>
      <c r="F173" s="165"/>
      <c r="G173" s="67"/>
      <c r="H173" s="165"/>
      <c r="I173" s="67"/>
      <c r="J173" s="67">
        <v>-432.8</v>
      </c>
      <c r="K173" s="67">
        <v>-432.8</v>
      </c>
      <c r="Q173" s="343"/>
    </row>
    <row r="174" spans="2:27">
      <c r="B174" t="s">
        <v>129</v>
      </c>
      <c r="C174" s="67"/>
      <c r="D174" s="165"/>
      <c r="E174" s="67">
        <v>1</v>
      </c>
      <c r="F174" s="165"/>
      <c r="G174" s="67">
        <v>39.200000000000003</v>
      </c>
      <c r="H174" s="165"/>
      <c r="I174" s="67"/>
      <c r="J174" s="67"/>
      <c r="K174" s="165">
        <v>39.200000000000003</v>
      </c>
      <c r="Q174" s="343"/>
    </row>
    <row r="175" spans="2:27">
      <c r="B175" s="14" t="s">
        <v>263</v>
      </c>
      <c r="C175" s="67"/>
      <c r="D175" s="165"/>
      <c r="E175" s="67"/>
      <c r="F175" s="165"/>
      <c r="G175" s="67">
        <v>141</v>
      </c>
      <c r="H175" s="165"/>
      <c r="I175" s="67"/>
      <c r="J175" s="67"/>
      <c r="K175" s="165">
        <v>141</v>
      </c>
      <c r="Q175" s="343"/>
    </row>
    <row r="176" spans="2:27">
      <c r="B176" s="14" t="s">
        <v>721</v>
      </c>
      <c r="C176" s="67"/>
      <c r="D176" s="165"/>
      <c r="E176" s="67">
        <v>-0.1</v>
      </c>
      <c r="F176" s="165"/>
      <c r="G176" s="67">
        <v>-2.2999999999999998</v>
      </c>
      <c r="H176" s="165"/>
      <c r="I176" s="67"/>
      <c r="J176" s="67">
        <v>-1.1000000000000001</v>
      </c>
      <c r="K176" s="165">
        <v>-3.4</v>
      </c>
      <c r="Q176" s="343"/>
    </row>
    <row r="177" spans="2:17">
      <c r="B177" s="14"/>
      <c r="C177" s="67"/>
      <c r="D177" s="165"/>
      <c r="E177" s="67"/>
      <c r="F177" s="165"/>
      <c r="G177" s="67"/>
      <c r="H177" s="165"/>
      <c r="I177" s="67"/>
      <c r="J177" s="67"/>
      <c r="K177" s="165"/>
      <c r="Q177" s="343"/>
    </row>
    <row r="178" spans="2:17">
      <c r="B178" t="s">
        <v>594</v>
      </c>
      <c r="C178" s="67"/>
      <c r="D178" s="165"/>
      <c r="E178" s="67"/>
      <c r="F178" s="165"/>
      <c r="G178" s="67"/>
      <c r="H178" s="165"/>
      <c r="I178" s="67"/>
      <c r="J178" s="67"/>
      <c r="K178" s="165"/>
      <c r="Q178" s="343"/>
    </row>
    <row r="179" spans="2:17">
      <c r="B179" s="23" t="s">
        <v>26</v>
      </c>
      <c r="C179" s="67"/>
      <c r="D179" s="165"/>
      <c r="E179" s="67"/>
      <c r="F179" s="165"/>
      <c r="G179" s="67"/>
      <c r="H179" s="165"/>
      <c r="I179" s="67"/>
      <c r="J179" s="67">
        <v>1883.4</v>
      </c>
      <c r="K179" s="67">
        <v>1883.4</v>
      </c>
      <c r="Q179" s="343"/>
    </row>
    <row r="180" spans="2:17">
      <c r="B180" s="23" t="s">
        <v>591</v>
      </c>
      <c r="C180" s="67"/>
      <c r="D180" s="165"/>
      <c r="E180" s="67"/>
      <c r="F180" s="165"/>
      <c r="G180" s="67"/>
      <c r="H180" s="165"/>
      <c r="I180" s="67">
        <v>211.9</v>
      </c>
      <c r="J180" s="67"/>
      <c r="K180" s="67">
        <v>211.9</v>
      </c>
      <c r="L180" s="67"/>
      <c r="Q180" s="343"/>
    </row>
    <row r="181" spans="2:17">
      <c r="B181" s="23" t="s">
        <v>264</v>
      </c>
      <c r="C181" s="67"/>
      <c r="D181" s="165"/>
      <c r="E181" s="67"/>
      <c r="F181" s="165"/>
      <c r="G181" s="67"/>
      <c r="H181" s="165"/>
      <c r="I181" s="67">
        <v>-46.3</v>
      </c>
      <c r="J181" s="67"/>
      <c r="K181" s="67">
        <v>-46.3</v>
      </c>
      <c r="Q181" s="343"/>
    </row>
    <row r="182" spans="2:17">
      <c r="B182" s="23" t="s">
        <v>265</v>
      </c>
      <c r="C182" s="67"/>
      <c r="D182" s="165"/>
      <c r="E182" s="67"/>
      <c r="F182" s="165"/>
      <c r="G182" s="67"/>
      <c r="H182" s="165"/>
      <c r="I182" s="67">
        <v>-175.8</v>
      </c>
      <c r="J182" s="67"/>
      <c r="K182" s="67">
        <v>-175.8</v>
      </c>
      <c r="Q182" s="343"/>
    </row>
    <row r="183" spans="2:17">
      <c r="B183" t="s">
        <v>266</v>
      </c>
      <c r="C183" s="67"/>
      <c r="D183" s="165"/>
      <c r="E183" s="67"/>
      <c r="F183" s="165"/>
      <c r="G183" s="67"/>
      <c r="H183" s="165"/>
      <c r="I183" s="67">
        <v>-43.5</v>
      </c>
      <c r="J183" s="67"/>
      <c r="K183" s="67">
        <v>-43.5</v>
      </c>
      <c r="Q183" s="343"/>
    </row>
    <row r="184" spans="2:17">
      <c r="B184" s="23" t="s">
        <v>261</v>
      </c>
      <c r="C184" s="67"/>
      <c r="D184" s="165"/>
      <c r="E184" s="67"/>
      <c r="F184" s="165"/>
      <c r="G184" s="67"/>
      <c r="H184" s="165"/>
      <c r="I184" s="67">
        <v>127.7</v>
      </c>
      <c r="J184" s="67"/>
      <c r="K184" s="67">
        <v>127.7</v>
      </c>
      <c r="Q184" s="343"/>
    </row>
    <row r="185" spans="2:17">
      <c r="B185" s="147" t="s">
        <v>132</v>
      </c>
      <c r="C185" s="75"/>
      <c r="D185" s="75"/>
      <c r="E185" s="75"/>
      <c r="F185" s="75"/>
      <c r="G185" s="75"/>
      <c r="H185" s="75"/>
      <c r="I185" s="75">
        <f>SUM(I179:I184)</f>
        <v>74.000000000000014</v>
      </c>
      <c r="J185" s="75">
        <f>SUM(J179:J183)</f>
        <v>1883.4</v>
      </c>
      <c r="K185" s="166">
        <f>SUM(K179:K184)</f>
        <v>1957.4</v>
      </c>
      <c r="Q185" s="343"/>
    </row>
    <row r="186" spans="2:17">
      <c r="B186" s="16" t="s">
        <v>267</v>
      </c>
      <c r="C186" s="74"/>
      <c r="D186" s="74"/>
      <c r="E186" s="74"/>
      <c r="F186" s="74"/>
      <c r="G186" s="74"/>
      <c r="H186" s="74"/>
      <c r="J186" s="301">
        <v>-15.6</v>
      </c>
      <c r="K186" s="301">
        <v>-15.6</v>
      </c>
      <c r="Q186" s="343"/>
    </row>
    <row r="187" spans="2:17">
      <c r="B187" s="7" t="s">
        <v>268</v>
      </c>
      <c r="C187" s="74"/>
      <c r="D187" s="74"/>
      <c r="E187" s="74"/>
      <c r="F187" s="74"/>
      <c r="G187" s="74"/>
      <c r="H187" s="74"/>
      <c r="J187" s="301">
        <v>-10.1</v>
      </c>
      <c r="K187" s="301">
        <v>-10.1</v>
      </c>
      <c r="Q187" s="343"/>
    </row>
    <row r="188" spans="2:17" ht="13.5" thickBot="1">
      <c r="B188" s="28" t="s">
        <v>382</v>
      </c>
      <c r="C188" s="73">
        <f t="shared" ref="C188:H188" si="6">SUM(C169:C185)</f>
        <v>96.800000000000011</v>
      </c>
      <c r="D188" s="73">
        <f t="shared" si="6"/>
        <v>0.1</v>
      </c>
      <c r="E188" s="73">
        <f t="shared" si="6"/>
        <v>394.2999999999999</v>
      </c>
      <c r="F188" s="73">
        <f t="shared" si="6"/>
        <v>2.7</v>
      </c>
      <c r="G188" s="73">
        <f t="shared" si="6"/>
        <v>2497.7999999999997</v>
      </c>
      <c r="H188" s="73">
        <f t="shared" si="6"/>
        <v>0</v>
      </c>
      <c r="I188" s="73">
        <f>SUM(I169:I184)</f>
        <v>251.40000000000003</v>
      </c>
      <c r="J188" s="73">
        <f>SUM(J169:J184)+SUM(J186:J187)</f>
        <v>5073.3</v>
      </c>
      <c r="K188" s="73">
        <f>SUM(K169:K184)+SUM(K186:K187)</f>
        <v>7825.2999999999993</v>
      </c>
      <c r="Q188" s="343"/>
    </row>
    <row r="189" spans="2:17" ht="13.5" thickTop="1">
      <c r="Q189" s="343"/>
    </row>
    <row r="190" spans="2:17">
      <c r="Q190" s="343"/>
    </row>
    <row r="191" spans="2:17">
      <c r="E191" s="67"/>
      <c r="F191" s="67"/>
      <c r="Q191" s="343"/>
    </row>
    <row r="192" spans="2:17">
      <c r="Q192" s="343"/>
    </row>
    <row r="193" spans="17:17">
      <c r="Q193" s="343"/>
    </row>
    <row r="194" spans="17:17">
      <c r="Q194" s="343"/>
    </row>
    <row r="195" spans="17:17">
      <c r="Q195" s="343"/>
    </row>
    <row r="196" spans="17:17">
      <c r="Q196" s="343"/>
    </row>
  </sheetData>
  <mergeCells count="8">
    <mergeCell ref="R15:T15"/>
    <mergeCell ref="K14:K16"/>
    <mergeCell ref="C15:D15"/>
    <mergeCell ref="E15:F15"/>
    <mergeCell ref="G14:G16"/>
    <mergeCell ref="H14:H16"/>
    <mergeCell ref="I14:I16"/>
    <mergeCell ref="J14:J16"/>
  </mergeCells>
  <phoneticPr fontId="0" type="noConversion"/>
  <pageMargins left="0.75" right="0.75" top="1" bottom="1" header="0.5" footer="0.5"/>
  <pageSetup scale="80" fitToHeight="3" orientation="landscape" r:id="rId1"/>
  <headerFooter alignWithMargins="0">
    <oddFooter>&amp;C&amp;8Financial Statement Analysis and Security Valuation: Roadmap&amp;R&amp;8Stephen H. Penman 2003</oddFooter>
  </headerFooter>
  <legacyDrawing r:id="rId2"/>
</worksheet>
</file>

<file path=xl/worksheets/sheet7.xml><?xml version="1.0" encoding="utf-8"?>
<worksheet xmlns="http://schemas.openxmlformats.org/spreadsheetml/2006/main" xmlns:r="http://schemas.openxmlformats.org/officeDocument/2006/relationships">
  <sheetPr codeName="Sheet7">
    <pageSetUpPr fitToPage="1"/>
  </sheetPr>
  <dimension ref="B1:AG772"/>
  <sheetViews>
    <sheetView workbookViewId="0"/>
  </sheetViews>
  <sheetFormatPr defaultRowHeight="12.75"/>
  <cols>
    <col min="1" max="1" width="2" customWidth="1"/>
    <col min="2" max="2" width="39.42578125" customWidth="1"/>
    <col min="3" max="3" width="16.28515625" style="29" customWidth="1"/>
    <col min="4" max="7" width="14.140625" style="29" customWidth="1"/>
    <col min="8" max="9" width="12.42578125" style="29" customWidth="1"/>
    <col min="10" max="11" width="12.140625" style="29" customWidth="1"/>
    <col min="12" max="12" width="12.140625" customWidth="1"/>
    <col min="13" max="13" width="11.5703125" customWidth="1"/>
    <col min="14" max="14" width="12.140625" customWidth="1"/>
    <col min="15" max="15" width="11.28515625" customWidth="1"/>
    <col min="16" max="16" width="11.85546875" customWidth="1"/>
    <col min="17" max="17" width="9.85546875" customWidth="1"/>
    <col min="18" max="18" width="9.5703125" customWidth="1"/>
    <col min="19" max="19" width="50.5703125" customWidth="1"/>
    <col min="20" max="23" width="12.85546875" customWidth="1"/>
    <col min="24" max="32" width="11.28515625" customWidth="1"/>
  </cols>
  <sheetData>
    <row r="1" spans="2:32" ht="10.5" customHeight="1"/>
    <row r="2" spans="2:32" ht="15.75">
      <c r="B2" s="1" t="s">
        <v>292</v>
      </c>
      <c r="D2" s="366"/>
    </row>
    <row r="3" spans="2:32" ht="15">
      <c r="B3" s="2" t="s">
        <v>709</v>
      </c>
    </row>
    <row r="4" spans="2:32" ht="15">
      <c r="B4" s="2"/>
    </row>
    <row r="5" spans="2:32" ht="15.75">
      <c r="B5" s="1" t="s">
        <v>495</v>
      </c>
    </row>
    <row r="6" spans="2:32" ht="15.75">
      <c r="B6" s="1"/>
    </row>
    <row r="7" spans="2:32" ht="15.75">
      <c r="B7" s="1" t="s">
        <v>504</v>
      </c>
    </row>
    <row r="8" spans="2:32">
      <c r="B8" s="3" t="s">
        <v>554</v>
      </c>
    </row>
    <row r="11" spans="2:32">
      <c r="B11" s="3" t="s">
        <v>29</v>
      </c>
      <c r="C11" s="90"/>
      <c r="D11" s="90"/>
      <c r="E11" s="90"/>
      <c r="F11" s="90"/>
      <c r="G11" s="90"/>
      <c r="H11" s="90"/>
      <c r="I11" s="90"/>
      <c r="J11" s="90"/>
      <c r="K11" s="90"/>
      <c r="P11" s="3"/>
      <c r="Q11" s="3"/>
      <c r="R11" s="3"/>
      <c r="S11" s="3" t="s">
        <v>715</v>
      </c>
      <c r="T11" s="3"/>
      <c r="U11" s="3"/>
      <c r="V11" s="3"/>
      <c r="W11" s="3"/>
    </row>
    <row r="12" spans="2:32">
      <c r="B12" t="s">
        <v>716</v>
      </c>
      <c r="S12" t="s">
        <v>716</v>
      </c>
    </row>
    <row r="14" spans="2:32" ht="13.5" thickBot="1">
      <c r="B14" s="8"/>
      <c r="C14" s="228" t="s">
        <v>535</v>
      </c>
      <c r="D14" s="6">
        <v>39599</v>
      </c>
      <c r="E14" s="6">
        <v>39233</v>
      </c>
      <c r="F14" s="6">
        <v>38868</v>
      </c>
      <c r="G14" s="6">
        <v>38503</v>
      </c>
      <c r="H14" s="6">
        <v>38138</v>
      </c>
      <c r="I14" s="6">
        <v>37772</v>
      </c>
      <c r="J14" s="6">
        <v>37407</v>
      </c>
      <c r="K14" s="6">
        <v>37042</v>
      </c>
      <c r="L14" s="6">
        <v>36677</v>
      </c>
      <c r="M14" s="6">
        <v>36311</v>
      </c>
      <c r="N14" s="6">
        <v>35946</v>
      </c>
      <c r="O14" s="6">
        <v>35581</v>
      </c>
      <c r="P14" s="6">
        <v>35216</v>
      </c>
      <c r="S14" s="8"/>
      <c r="T14" s="6">
        <v>39599</v>
      </c>
      <c r="U14" s="6">
        <v>39233</v>
      </c>
      <c r="V14" s="6">
        <v>38868</v>
      </c>
      <c r="W14" s="6">
        <v>38503</v>
      </c>
      <c r="X14" s="6">
        <v>38138</v>
      </c>
      <c r="Y14" s="6">
        <v>37772</v>
      </c>
      <c r="Z14" s="6">
        <v>37407</v>
      </c>
      <c r="AA14" s="6">
        <v>37042</v>
      </c>
      <c r="AB14" s="6">
        <v>36677</v>
      </c>
      <c r="AC14" s="6">
        <v>36311</v>
      </c>
      <c r="AD14" s="6">
        <v>35946</v>
      </c>
      <c r="AE14" s="6">
        <v>35581</v>
      </c>
      <c r="AF14" s="6">
        <v>35216</v>
      </c>
    </row>
    <row r="15" spans="2:32">
      <c r="B15" s="3" t="s">
        <v>31</v>
      </c>
      <c r="C15" s="90"/>
      <c r="D15" s="90"/>
      <c r="E15" s="90"/>
      <c r="F15" s="90"/>
      <c r="G15" s="90"/>
      <c r="H15" s="90"/>
      <c r="I15" s="90"/>
      <c r="J15"/>
      <c r="K15"/>
      <c r="S15" s="3" t="s">
        <v>191</v>
      </c>
      <c r="T15" s="3"/>
      <c r="U15" s="3"/>
      <c r="V15" s="3"/>
      <c r="W15" s="3"/>
      <c r="X15" s="3"/>
      <c r="Y15" s="3"/>
      <c r="Z15" s="3"/>
      <c r="AA15" s="3"/>
    </row>
    <row r="16" spans="2:32">
      <c r="B16" t="s">
        <v>32</v>
      </c>
      <c r="J16"/>
      <c r="K16"/>
      <c r="S16" s="39" t="s">
        <v>161</v>
      </c>
      <c r="T16" s="39"/>
      <c r="U16" s="39"/>
      <c r="V16" s="39"/>
      <c r="W16" s="39"/>
      <c r="X16" s="39"/>
      <c r="Y16" s="39"/>
      <c r="Z16" s="39"/>
      <c r="AA16" s="39"/>
      <c r="AB16" s="9"/>
    </row>
    <row r="17" spans="2:32">
      <c r="B17" t="s">
        <v>33</v>
      </c>
      <c r="C17" s="29" t="s">
        <v>156</v>
      </c>
      <c r="D17" s="235">
        <v>2133.9</v>
      </c>
      <c r="E17" s="235">
        <v>1856.7</v>
      </c>
      <c r="F17" s="325">
        <v>954.2</v>
      </c>
      <c r="G17" s="325">
        <v>1388.1</v>
      </c>
      <c r="H17" s="325">
        <v>828</v>
      </c>
      <c r="I17" s="326">
        <v>634</v>
      </c>
      <c r="J17" s="9">
        <v>575.5</v>
      </c>
      <c r="K17" s="9">
        <v>304</v>
      </c>
      <c r="L17" s="9">
        <v>254.3</v>
      </c>
      <c r="M17" s="9">
        <v>198.1</v>
      </c>
      <c r="N17" s="9">
        <v>108.6</v>
      </c>
      <c r="O17" s="9">
        <v>445.4</v>
      </c>
      <c r="P17" s="9">
        <v>262.11700000000002</v>
      </c>
      <c r="Q17" s="149"/>
      <c r="R17" s="9"/>
      <c r="S17" s="23" t="s">
        <v>181</v>
      </c>
      <c r="T17" s="9">
        <f>'Nike Income Statement'!C15*0.005</f>
        <v>93.135000000000005</v>
      </c>
      <c r="U17" s="9">
        <f>'Nike Income Statement'!D15*0.005</f>
        <v>81.629499999999993</v>
      </c>
      <c r="V17" s="9">
        <f>'Nike Income Statement'!E15*0.005</f>
        <v>74.774500000000003</v>
      </c>
      <c r="W17" s="9">
        <f>'Nike Income Statement'!F15*0.005</f>
        <v>68.69850000000001</v>
      </c>
      <c r="X17" s="9">
        <f>'Nike Income Statement'!G15*0.005</f>
        <v>61.265500000000003</v>
      </c>
      <c r="Y17" s="9">
        <f>'Nike Income Statement'!H15*0.005</f>
        <v>53.484999999999999</v>
      </c>
      <c r="Z17" s="9">
        <f>'Nike Income Statement'!I15*0.005</f>
        <v>49.465000000000003</v>
      </c>
      <c r="AA17" s="9">
        <f>'Nike Income Statement'!J15*0.005</f>
        <v>47.443999999999996</v>
      </c>
      <c r="AB17" s="9">
        <f>'Nike Income Statement'!K15*0.005</f>
        <v>44.975500000000004</v>
      </c>
      <c r="AC17" s="9">
        <f>'Nike Income Statement'!L15*0.005</f>
        <v>43.884499999999996</v>
      </c>
      <c r="AD17" s="9">
        <f>'Nike Income Statement'!M15*0.005</f>
        <v>47.765500000000003</v>
      </c>
      <c r="AE17" s="9">
        <f>'Nike Income Statement'!N15*0.005</f>
        <v>45.932499999999997</v>
      </c>
      <c r="AF17" s="9">
        <f>'Nike Income Statement'!O15*0.005</f>
        <v>32.353000000000002</v>
      </c>
    </row>
    <row r="18" spans="2:32">
      <c r="B18" s="234" t="s">
        <v>608</v>
      </c>
      <c r="C18" s="29" t="s">
        <v>740</v>
      </c>
      <c r="D18" s="67">
        <v>642.20000000000005</v>
      </c>
      <c r="E18" s="67">
        <v>990.3</v>
      </c>
      <c r="F18" s="295">
        <v>1348.8</v>
      </c>
      <c r="G18" s="295">
        <v>436.6</v>
      </c>
      <c r="H18" s="295">
        <v>400.8</v>
      </c>
      <c r="I18" s="295">
        <v>0</v>
      </c>
      <c r="J18" s="67">
        <v>0</v>
      </c>
      <c r="K18" s="67">
        <v>0</v>
      </c>
      <c r="L18" s="67">
        <v>0</v>
      </c>
      <c r="M18" s="67">
        <v>0</v>
      </c>
      <c r="N18" s="67">
        <v>0</v>
      </c>
      <c r="O18" s="67">
        <v>0</v>
      </c>
      <c r="P18" s="67">
        <v>0</v>
      </c>
      <c r="Q18" s="149"/>
      <c r="R18" s="9"/>
      <c r="S18" s="23" t="s">
        <v>661</v>
      </c>
      <c r="T18" s="67">
        <f t="shared" ref="T18:W19" si="0">+D19</f>
        <v>2795.3</v>
      </c>
      <c r="U18" s="67">
        <f t="shared" si="0"/>
        <v>2494.6999999999998</v>
      </c>
      <c r="V18" s="67">
        <f t="shared" si="0"/>
        <v>2395.9</v>
      </c>
      <c r="W18" s="67">
        <f t="shared" si="0"/>
        <v>2262.1</v>
      </c>
      <c r="X18" s="67">
        <f t="shared" ref="X18:AB19" si="1">+H19</f>
        <v>2120.1999999999998</v>
      </c>
      <c r="Y18" s="67">
        <f t="shared" si="1"/>
        <v>2083.9</v>
      </c>
      <c r="Z18" s="67">
        <f t="shared" si="1"/>
        <v>1804.1</v>
      </c>
      <c r="AA18" s="67">
        <f t="shared" si="1"/>
        <v>1621.4</v>
      </c>
      <c r="AB18" s="67">
        <f t="shared" si="1"/>
        <v>1567.2</v>
      </c>
      <c r="AC18" s="67">
        <f t="shared" ref="AC18:AF19" si="2">+M19</f>
        <v>1540.1</v>
      </c>
      <c r="AD18" s="67">
        <f t="shared" si="2"/>
        <v>1674.4</v>
      </c>
      <c r="AE18" s="67">
        <f t="shared" si="2"/>
        <v>1754.1</v>
      </c>
      <c r="AF18" s="67">
        <f t="shared" si="2"/>
        <v>1346.125</v>
      </c>
    </row>
    <row r="19" spans="2:32">
      <c r="B19" t="s">
        <v>714</v>
      </c>
      <c r="C19" s="29" t="s">
        <v>157</v>
      </c>
      <c r="D19" s="67">
        <v>2795.3</v>
      </c>
      <c r="E19" s="67">
        <v>2494.6999999999998</v>
      </c>
      <c r="F19" s="295">
        <v>2395.9</v>
      </c>
      <c r="G19" s="295">
        <v>2262.1</v>
      </c>
      <c r="H19" s="295">
        <v>2120.1999999999998</v>
      </c>
      <c r="I19" s="295">
        <v>2083.9</v>
      </c>
      <c r="J19" s="67">
        <v>1804.1</v>
      </c>
      <c r="K19" s="67">
        <v>1621.4</v>
      </c>
      <c r="L19" s="67">
        <v>1567.2</v>
      </c>
      <c r="M19" s="67">
        <v>1540.1</v>
      </c>
      <c r="N19" s="67">
        <v>1674.4</v>
      </c>
      <c r="O19" s="67">
        <v>1754.1</v>
      </c>
      <c r="P19" s="67">
        <v>1346.125</v>
      </c>
      <c r="Q19" s="149"/>
      <c r="R19" s="9"/>
      <c r="S19" s="23" t="s">
        <v>182</v>
      </c>
      <c r="T19" s="67">
        <f t="shared" si="0"/>
        <v>2438.4</v>
      </c>
      <c r="U19" s="67">
        <f t="shared" si="0"/>
        <v>2121.9</v>
      </c>
      <c r="V19" s="67">
        <f t="shared" si="0"/>
        <v>2076.6999999999998</v>
      </c>
      <c r="W19" s="67">
        <f t="shared" si="0"/>
        <v>1811.1</v>
      </c>
      <c r="X19" s="67">
        <f t="shared" si="1"/>
        <v>1650.2</v>
      </c>
      <c r="Y19" s="67">
        <f t="shared" si="1"/>
        <v>1514.9</v>
      </c>
      <c r="Z19" s="67">
        <f t="shared" si="1"/>
        <v>1373.8</v>
      </c>
      <c r="AA19" s="67">
        <f t="shared" si="1"/>
        <v>1424.1</v>
      </c>
      <c r="AB19" s="67">
        <f t="shared" si="1"/>
        <v>1446</v>
      </c>
      <c r="AC19" s="67">
        <f t="shared" si="2"/>
        <v>1170.5999999999999</v>
      </c>
      <c r="AD19" s="67">
        <f t="shared" si="2"/>
        <v>1396.6</v>
      </c>
      <c r="AE19" s="67">
        <f t="shared" si="2"/>
        <v>1338.6</v>
      </c>
      <c r="AF19" s="67">
        <f t="shared" si="2"/>
        <v>931.15099999999995</v>
      </c>
    </row>
    <row r="20" spans="2:32">
      <c r="B20" t="s">
        <v>165</v>
      </c>
      <c r="C20" s="29" t="s">
        <v>157</v>
      </c>
      <c r="D20" s="67">
        <v>2438.4</v>
      </c>
      <c r="E20" s="67">
        <v>2121.9</v>
      </c>
      <c r="F20" s="295">
        <v>2076.6999999999998</v>
      </c>
      <c r="G20" s="295">
        <v>1811.1</v>
      </c>
      <c r="H20" s="295">
        <v>1650.2</v>
      </c>
      <c r="I20" s="295">
        <v>1514.9</v>
      </c>
      <c r="J20" s="67">
        <v>1373.8</v>
      </c>
      <c r="K20" s="67">
        <v>1424.1</v>
      </c>
      <c r="L20" s="67">
        <v>1446</v>
      </c>
      <c r="M20" s="67">
        <v>1170.5999999999999</v>
      </c>
      <c r="N20" s="67">
        <v>1396.6</v>
      </c>
      <c r="O20" s="67">
        <v>1338.6</v>
      </c>
      <c r="P20" s="67">
        <v>931.15099999999995</v>
      </c>
      <c r="Q20" s="149"/>
      <c r="R20" s="9"/>
      <c r="S20" t="s">
        <v>742</v>
      </c>
      <c r="T20" s="74">
        <f>+D23</f>
        <v>602.29999999999995</v>
      </c>
      <c r="U20" s="74">
        <f>+E23</f>
        <v>393.2</v>
      </c>
      <c r="V20" s="74">
        <f>+F23</f>
        <v>380.1</v>
      </c>
      <c r="W20" s="74">
        <f>+G23</f>
        <v>343</v>
      </c>
      <c r="X20" s="74">
        <f>+H23-H47</f>
        <v>369.9</v>
      </c>
      <c r="Y20" s="74">
        <f t="shared" ref="Y20:AF20" si="3">+I23-I47</f>
        <v>333.1</v>
      </c>
      <c r="Z20" s="74">
        <f t="shared" si="3"/>
        <v>265.60000000000002</v>
      </c>
      <c r="AA20" s="74">
        <f t="shared" si="3"/>
        <v>172.4</v>
      </c>
      <c r="AB20" s="74">
        <f t="shared" si="3"/>
        <v>226.89999999999998</v>
      </c>
      <c r="AC20" s="74">
        <f t="shared" si="3"/>
        <v>219.6</v>
      </c>
      <c r="AD20" s="74">
        <f t="shared" si="3"/>
        <v>196.2</v>
      </c>
      <c r="AE20" s="74">
        <f t="shared" si="3"/>
        <v>157.1</v>
      </c>
      <c r="AF20" s="74">
        <f t="shared" si="3"/>
        <v>94.427000000000007</v>
      </c>
    </row>
    <row r="21" spans="2:32">
      <c r="B21" t="s">
        <v>166</v>
      </c>
      <c r="C21" s="29" t="s">
        <v>157</v>
      </c>
      <c r="D21" s="67">
        <v>227.2</v>
      </c>
      <c r="E21" s="67">
        <v>219.7</v>
      </c>
      <c r="F21" s="295">
        <v>203.3</v>
      </c>
      <c r="G21" s="295">
        <v>110.2</v>
      </c>
      <c r="H21" s="295">
        <v>165</v>
      </c>
      <c r="I21" s="295">
        <v>221.8</v>
      </c>
      <c r="J21" s="67">
        <v>140.80000000000001</v>
      </c>
      <c r="K21" s="67">
        <v>113.3</v>
      </c>
      <c r="L21" s="67">
        <v>111.5</v>
      </c>
      <c r="M21" s="67">
        <v>120.6</v>
      </c>
      <c r="N21" s="67">
        <v>156.80000000000001</v>
      </c>
      <c r="O21" s="67">
        <v>135.69999999999999</v>
      </c>
      <c r="P21" s="67">
        <v>93.12</v>
      </c>
      <c r="Q21" s="149"/>
      <c r="R21" s="9"/>
      <c r="S21" s="23" t="s">
        <v>167</v>
      </c>
      <c r="T21" s="67">
        <f>+D25</f>
        <v>1891.1</v>
      </c>
      <c r="U21" s="67">
        <f>+E25</f>
        <v>1678.3</v>
      </c>
      <c r="V21" s="67">
        <f>+F25</f>
        <v>1657.7</v>
      </c>
      <c r="W21" s="67">
        <f>+G25</f>
        <v>1605.8</v>
      </c>
      <c r="X21" s="67">
        <f t="shared" ref="X21:AF21" si="4">+H25</f>
        <v>1611.8</v>
      </c>
      <c r="Y21" s="67">
        <f t="shared" si="4"/>
        <v>1620.8</v>
      </c>
      <c r="Z21" s="67">
        <f t="shared" si="4"/>
        <v>1614.5</v>
      </c>
      <c r="AA21" s="67">
        <f t="shared" si="4"/>
        <v>1618.8</v>
      </c>
      <c r="AB21" s="67">
        <f t="shared" si="4"/>
        <v>1583.4</v>
      </c>
      <c r="AC21" s="67">
        <f t="shared" si="4"/>
        <v>1265.8</v>
      </c>
      <c r="AD21" s="67">
        <f t="shared" si="4"/>
        <v>1153.0999999999999</v>
      </c>
      <c r="AE21" s="67">
        <f t="shared" si="4"/>
        <v>922.4</v>
      </c>
      <c r="AF21" s="67">
        <f t="shared" si="4"/>
        <v>643.45899999999995</v>
      </c>
    </row>
    <row r="22" spans="2:32">
      <c r="B22" t="s">
        <v>34</v>
      </c>
      <c r="C22" s="29" t="s">
        <v>157</v>
      </c>
      <c r="D22" s="233"/>
      <c r="E22" s="233"/>
      <c r="F22" s="333"/>
      <c r="G22" s="334"/>
      <c r="H22" s="333">
        <v>0</v>
      </c>
      <c r="I22" s="295">
        <v>0</v>
      </c>
      <c r="J22" s="67">
        <v>0</v>
      </c>
      <c r="K22" s="67">
        <v>0</v>
      </c>
      <c r="L22" s="67">
        <v>2.2000000000000002</v>
      </c>
      <c r="M22" s="67">
        <v>15.9</v>
      </c>
      <c r="N22" s="67">
        <v>0</v>
      </c>
      <c r="O22" s="67">
        <v>0</v>
      </c>
      <c r="P22" s="67">
        <v>0</v>
      </c>
      <c r="Q22" s="149"/>
      <c r="R22" s="9"/>
      <c r="S22" s="23" t="s">
        <v>664</v>
      </c>
      <c r="T22" s="67">
        <f>D26</f>
        <v>448.8</v>
      </c>
      <c r="U22" s="67">
        <f>E26</f>
        <v>130.80000000000001</v>
      </c>
      <c r="V22" s="67">
        <f>F26</f>
        <v>130.80000000000001</v>
      </c>
      <c r="W22" s="67">
        <f>G26</f>
        <v>135.4</v>
      </c>
      <c r="X22" s="67">
        <f t="shared" ref="X22:AF22" si="5">H26</f>
        <v>135.4</v>
      </c>
      <c r="Y22" s="67">
        <f t="shared" si="5"/>
        <v>65.599999999999994</v>
      </c>
      <c r="Z22" s="67">
        <f t="shared" si="5"/>
        <v>232.7</v>
      </c>
      <c r="AA22" s="67">
        <f t="shared" si="5"/>
        <v>178.7</v>
      </c>
      <c r="AB22" s="67">
        <f t="shared" si="5"/>
        <v>195.7</v>
      </c>
      <c r="AC22" s="67">
        <f t="shared" si="5"/>
        <v>213.6</v>
      </c>
      <c r="AD22" s="67">
        <f t="shared" si="5"/>
        <v>215.1</v>
      </c>
      <c r="AE22" s="67">
        <f t="shared" si="5"/>
        <v>245</v>
      </c>
      <c r="AF22" s="67">
        <f t="shared" si="5"/>
        <v>265.2</v>
      </c>
    </row>
    <row r="23" spans="2:32">
      <c r="B23" t="s">
        <v>741</v>
      </c>
      <c r="C23" s="29" t="s">
        <v>157</v>
      </c>
      <c r="D23" s="72">
        <v>602.29999999999995</v>
      </c>
      <c r="E23" s="72">
        <v>393.2</v>
      </c>
      <c r="F23" s="333">
        <v>380.1</v>
      </c>
      <c r="G23" s="333">
        <v>343</v>
      </c>
      <c r="H23" s="236">
        <v>364.4</v>
      </c>
      <c r="I23" s="236">
        <v>332.5</v>
      </c>
      <c r="J23" s="72">
        <v>260.5</v>
      </c>
      <c r="K23" s="72">
        <v>162.5</v>
      </c>
      <c r="L23" s="72">
        <v>215.2</v>
      </c>
      <c r="M23" s="72">
        <v>219.6</v>
      </c>
      <c r="N23" s="72">
        <v>196.2</v>
      </c>
      <c r="O23" s="72">
        <v>157.1</v>
      </c>
      <c r="P23" s="72">
        <v>94.427000000000007</v>
      </c>
      <c r="Q23" s="149"/>
      <c r="R23" s="9"/>
      <c r="S23" s="23" t="s">
        <v>666</v>
      </c>
      <c r="T23" s="74">
        <f>+D27</f>
        <v>743.1</v>
      </c>
      <c r="U23" s="74">
        <f>+E27</f>
        <v>409.9</v>
      </c>
      <c r="V23" s="74">
        <f>+F27</f>
        <v>405.5</v>
      </c>
      <c r="W23" s="74">
        <f>+G27</f>
        <v>406.1</v>
      </c>
      <c r="X23" s="74">
        <f t="shared" ref="X23:AF23" si="6">+H27</f>
        <v>366.3</v>
      </c>
      <c r="Y23" s="74">
        <f t="shared" si="6"/>
        <v>118.2</v>
      </c>
      <c r="Z23" s="74">
        <f t="shared" si="6"/>
        <v>206</v>
      </c>
      <c r="AA23" s="74">
        <f t="shared" si="6"/>
        <v>218.6</v>
      </c>
      <c r="AB23" s="74">
        <f t="shared" si="6"/>
        <v>215.2</v>
      </c>
      <c r="AC23" s="74">
        <f t="shared" si="6"/>
        <v>213</v>
      </c>
      <c r="AD23" s="74">
        <f t="shared" si="6"/>
        <v>220.7</v>
      </c>
      <c r="AE23" s="74">
        <f t="shared" si="6"/>
        <v>219.2</v>
      </c>
      <c r="AF23" s="74">
        <f t="shared" si="6"/>
        <v>209.6</v>
      </c>
    </row>
    <row r="24" spans="2:32">
      <c r="B24" t="s">
        <v>35</v>
      </c>
      <c r="D24" s="75">
        <f>SUM(D17:D23)</f>
        <v>8839.3000000000011</v>
      </c>
      <c r="E24" s="75">
        <f>SUM(E17:E23)</f>
        <v>8076.5</v>
      </c>
      <c r="F24" s="296">
        <f>SUM(F17:F23)</f>
        <v>7359</v>
      </c>
      <c r="G24" s="296">
        <v>6351.1</v>
      </c>
      <c r="H24" s="296">
        <v>5528.6</v>
      </c>
      <c r="I24" s="236">
        <v>4787.1000000000004</v>
      </c>
      <c r="J24" s="72">
        <f>SUM(J17:J23)</f>
        <v>4154.7</v>
      </c>
      <c r="K24" s="72">
        <v>3625.3</v>
      </c>
      <c r="L24" s="72">
        <v>3596.4</v>
      </c>
      <c r="M24" s="72">
        <v>3264.9</v>
      </c>
      <c r="N24" s="72">
        <v>3532.6</v>
      </c>
      <c r="O24" s="72">
        <v>3830.9</v>
      </c>
      <c r="P24" s="72">
        <v>2726.94</v>
      </c>
      <c r="Q24" s="149"/>
      <c r="R24" s="9"/>
      <c r="S24" s="23" t="s">
        <v>168</v>
      </c>
      <c r="T24" s="72">
        <f t="shared" ref="T24:AA24" si="7">D21+D28</f>
        <v>747.59999999999991</v>
      </c>
      <c r="U24" s="72">
        <f t="shared" si="7"/>
        <v>612.5</v>
      </c>
      <c r="V24" s="72">
        <f t="shared" si="7"/>
        <v>519.90000000000009</v>
      </c>
      <c r="W24" s="72">
        <f t="shared" si="7"/>
        <v>405.4</v>
      </c>
      <c r="X24" s="72">
        <f t="shared" si="7"/>
        <v>431.6</v>
      </c>
      <c r="Y24" s="72">
        <f t="shared" si="7"/>
        <v>451.20000000000005</v>
      </c>
      <c r="Z24" s="72">
        <f t="shared" si="7"/>
        <v>372.9</v>
      </c>
      <c r="AA24" s="72">
        <f t="shared" si="7"/>
        <v>291.5</v>
      </c>
      <c r="AB24" s="72">
        <f>L21+L28+L22</f>
        <v>379.9</v>
      </c>
      <c r="AC24" s="72">
        <f>M21+M28+M22</f>
        <v>426.9</v>
      </c>
      <c r="AD24" s="72">
        <f>N21+N28+N22</f>
        <v>432.7</v>
      </c>
      <c r="AE24" s="72">
        <f>O21+O28+O22</f>
        <v>279.39999999999998</v>
      </c>
      <c r="AF24" s="72">
        <f>P21+P28+P22</f>
        <v>199.53700000000001</v>
      </c>
    </row>
    <row r="25" spans="2:32">
      <c r="B25" t="s">
        <v>167</v>
      </c>
      <c r="C25" s="29" t="s">
        <v>157</v>
      </c>
      <c r="D25" s="67">
        <v>1891.1</v>
      </c>
      <c r="E25" s="67">
        <v>1678.3</v>
      </c>
      <c r="F25" s="295">
        <v>1657.7</v>
      </c>
      <c r="G25" s="295">
        <v>1605.8</v>
      </c>
      <c r="H25" s="295">
        <v>1611.8</v>
      </c>
      <c r="I25" s="295">
        <v>1620.8</v>
      </c>
      <c r="J25" s="67">
        <v>1614.5</v>
      </c>
      <c r="K25" s="67">
        <v>1618.8</v>
      </c>
      <c r="L25" s="67">
        <v>1583.4</v>
      </c>
      <c r="M25" s="67">
        <v>1265.8</v>
      </c>
      <c r="N25" s="67">
        <v>1153.0999999999999</v>
      </c>
      <c r="O25" s="67">
        <v>922.4</v>
      </c>
      <c r="P25" s="67">
        <v>643.45899999999995</v>
      </c>
      <c r="Q25" s="149"/>
      <c r="R25" s="9"/>
      <c r="S25" s="16" t="s">
        <v>187</v>
      </c>
      <c r="T25" s="74">
        <f>SUM(T17:T24)</f>
        <v>9759.7350000000006</v>
      </c>
      <c r="U25" s="74">
        <f>SUM(U17:U24)</f>
        <v>7922.9294999999993</v>
      </c>
      <c r="V25" s="74">
        <f>SUM(V17:V24)</f>
        <v>7641.3744999999999</v>
      </c>
      <c r="W25" s="74">
        <f>SUM(W17:W24)</f>
        <v>7037.5984999999991</v>
      </c>
      <c r="X25" s="74">
        <f t="shared" ref="X25:AF25" si="8">SUM(X17:X24)</f>
        <v>6746.6655000000001</v>
      </c>
      <c r="Y25" s="74">
        <f t="shared" si="8"/>
        <v>6241.1850000000004</v>
      </c>
      <c r="Z25" s="74">
        <f t="shared" si="8"/>
        <v>5919.0649999999996</v>
      </c>
      <c r="AA25" s="74">
        <f t="shared" si="8"/>
        <v>5572.9440000000004</v>
      </c>
      <c r="AB25" s="74">
        <f t="shared" si="8"/>
        <v>5659.2754999999997</v>
      </c>
      <c r="AC25" s="74">
        <f t="shared" si="8"/>
        <v>5093.4844999999996</v>
      </c>
      <c r="AD25" s="74">
        <f t="shared" si="8"/>
        <v>5336.5654999999997</v>
      </c>
      <c r="AE25" s="74">
        <f t="shared" si="8"/>
        <v>4961.7324999999992</v>
      </c>
      <c r="AF25" s="74">
        <f t="shared" si="8"/>
        <v>3721.8519999999994</v>
      </c>
    </row>
    <row r="26" spans="2:32">
      <c r="B26" t="s">
        <v>664</v>
      </c>
      <c r="C26" s="29" t="s">
        <v>157</v>
      </c>
      <c r="D26" s="67">
        <v>448.8</v>
      </c>
      <c r="E26" s="67">
        <v>130.80000000000001</v>
      </c>
      <c r="F26" s="295">
        <v>130.80000000000001</v>
      </c>
      <c r="G26" s="295">
        <v>135.4</v>
      </c>
      <c r="H26" s="295">
        <v>135.4</v>
      </c>
      <c r="I26" s="295">
        <v>65.599999999999994</v>
      </c>
      <c r="J26" s="67">
        <v>232.7</v>
      </c>
      <c r="K26" s="67">
        <v>178.7</v>
      </c>
      <c r="L26" s="67">
        <v>195.7</v>
      </c>
      <c r="M26" s="67">
        <v>213.6</v>
      </c>
      <c r="N26" s="67">
        <v>215.1</v>
      </c>
      <c r="O26" s="67">
        <v>245</v>
      </c>
      <c r="P26" s="67">
        <v>265.2</v>
      </c>
      <c r="Q26" s="149"/>
      <c r="R26" s="9"/>
      <c r="S26" s="37" t="s">
        <v>162</v>
      </c>
      <c r="T26" s="9"/>
      <c r="U26" s="9"/>
      <c r="V26" s="9"/>
      <c r="W26" s="9"/>
      <c r="X26" s="9"/>
      <c r="Y26" s="67"/>
      <c r="Z26" s="67"/>
      <c r="AA26" s="67"/>
      <c r="AB26" s="67"/>
      <c r="AC26" s="67"/>
      <c r="AD26" s="67"/>
      <c r="AE26" s="67"/>
      <c r="AF26" s="67"/>
    </row>
    <row r="27" spans="2:32">
      <c r="B27" t="s">
        <v>665</v>
      </c>
      <c r="C27" s="29" t="s">
        <v>157</v>
      </c>
      <c r="D27" s="67">
        <v>743.1</v>
      </c>
      <c r="E27" s="67">
        <v>409.9</v>
      </c>
      <c r="F27" s="295">
        <v>405.5</v>
      </c>
      <c r="G27" s="295">
        <v>406.1</v>
      </c>
      <c r="H27" s="295">
        <v>366.3</v>
      </c>
      <c r="I27" s="295">
        <v>118.2</v>
      </c>
      <c r="J27" s="67">
        <v>206</v>
      </c>
      <c r="K27" s="67">
        <v>218.6</v>
      </c>
      <c r="L27" s="67">
        <v>215.2</v>
      </c>
      <c r="M27" s="67">
        <v>213</v>
      </c>
      <c r="N27" s="67">
        <v>220.7</v>
      </c>
      <c r="O27" s="67">
        <v>219.2</v>
      </c>
      <c r="P27" s="67">
        <v>209.6</v>
      </c>
      <c r="Q27" s="149"/>
      <c r="R27" s="9"/>
      <c r="S27" s="23" t="s">
        <v>662</v>
      </c>
      <c r="T27" s="67">
        <f t="shared" ref="T27:AF27" si="9">+D34-T42</f>
        <v>1221.6999999999998</v>
      </c>
      <c r="U27" s="67">
        <f t="shared" si="9"/>
        <v>995.69999999999993</v>
      </c>
      <c r="V27" s="67">
        <f t="shared" si="9"/>
        <v>882.5</v>
      </c>
      <c r="W27" s="67">
        <f t="shared" si="9"/>
        <v>790.8</v>
      </c>
      <c r="X27" s="67">
        <f t="shared" si="9"/>
        <v>736.5</v>
      </c>
      <c r="Y27" s="67">
        <f t="shared" si="9"/>
        <v>523.1</v>
      </c>
      <c r="Z27" s="67">
        <f t="shared" si="9"/>
        <v>468.09999999999997</v>
      </c>
      <c r="AA27" s="67">
        <f t="shared" si="9"/>
        <v>401.6</v>
      </c>
      <c r="AB27" s="67">
        <f t="shared" si="9"/>
        <v>483.9</v>
      </c>
      <c r="AC27" s="67">
        <f t="shared" si="9"/>
        <v>375.6</v>
      </c>
      <c r="AD27" s="67">
        <f t="shared" si="9"/>
        <v>304.5</v>
      </c>
      <c r="AE27" s="67">
        <f t="shared" si="9"/>
        <v>273</v>
      </c>
      <c r="AF27" s="67">
        <f t="shared" si="9"/>
        <v>217.63399999999999</v>
      </c>
    </row>
    <row r="28" spans="2:32">
      <c r="B28" t="s">
        <v>168</v>
      </c>
      <c r="C28" s="29" t="s">
        <v>157</v>
      </c>
      <c r="D28" s="72">
        <v>520.4</v>
      </c>
      <c r="E28" s="72">
        <v>392.8</v>
      </c>
      <c r="F28" s="236">
        <v>316.60000000000002</v>
      </c>
      <c r="G28" s="236">
        <v>295.2</v>
      </c>
      <c r="H28" s="236">
        <v>266.60000000000002</v>
      </c>
      <c r="I28" s="236">
        <v>229.4</v>
      </c>
      <c r="J28" s="72">
        <v>232.1</v>
      </c>
      <c r="K28" s="72">
        <v>178.2</v>
      </c>
      <c r="L28" s="72">
        <v>266.2</v>
      </c>
      <c r="M28" s="72">
        <v>290.39999999999998</v>
      </c>
      <c r="N28" s="72">
        <v>275.89999999999998</v>
      </c>
      <c r="O28" s="72">
        <v>143.69999999999999</v>
      </c>
      <c r="P28" s="72">
        <v>106.417</v>
      </c>
      <c r="Q28" s="149"/>
      <c r="R28" s="9"/>
      <c r="S28" s="23" t="s">
        <v>183</v>
      </c>
      <c r="T28" s="219">
        <f>+D35-'Nike Statement of SE'!R160</f>
        <v>1648.9</v>
      </c>
      <c r="U28" s="219">
        <f>+E35-'Nike Statement of SE'!R149</f>
        <v>1210.4000000000001</v>
      </c>
      <c r="V28" s="219">
        <f>+F35-'Nike Statement of SE'!R138</f>
        <v>1207.4000000000001</v>
      </c>
      <c r="W28" s="219">
        <f>+G35-'Nike Statement of SE'!R127</f>
        <v>919</v>
      </c>
      <c r="X28" s="67">
        <f>+H35-'Nike Statement of SE'!R116</f>
        <v>926.69999999999993</v>
      </c>
      <c r="Y28" s="67">
        <f>+I35-'Nike Statement of SE'!R105</f>
        <v>999.30000000000007</v>
      </c>
      <c r="Z28" s="67">
        <f>+J35-'Nike Statement of SE'!R94</f>
        <v>765.3</v>
      </c>
      <c r="AA28" s="67">
        <f>+K35-'Nike Statement of SE'!R83</f>
        <v>472.1</v>
      </c>
      <c r="AB28" s="67">
        <f>L35-'Nike Statement of SE'!R72</f>
        <v>621.9</v>
      </c>
      <c r="AC28" s="67">
        <v>553.20000000000005</v>
      </c>
      <c r="AD28" s="67">
        <v>608.5</v>
      </c>
      <c r="AE28" s="67">
        <v>570.5</v>
      </c>
      <c r="AF28" s="67">
        <v>480.40699999999998</v>
      </c>
    </row>
    <row r="29" spans="2:32" ht="13.5" thickBot="1">
      <c r="B29" s="7" t="s">
        <v>36</v>
      </c>
      <c r="C29" s="82"/>
      <c r="D29" s="78">
        <f>SUM(D24:D28)</f>
        <v>12442.7</v>
      </c>
      <c r="E29" s="78">
        <f>SUM(E24:E28)</f>
        <v>10688.299999999997</v>
      </c>
      <c r="F29" s="323">
        <f>SUM(F24:F28)</f>
        <v>9869.6</v>
      </c>
      <c r="G29" s="323">
        <v>8793.6</v>
      </c>
      <c r="H29" s="323">
        <v>7908.7</v>
      </c>
      <c r="I29" s="323">
        <f>SUM(I24:I28)</f>
        <v>6821.1</v>
      </c>
      <c r="J29" s="78">
        <f>SUM(J24:J28)</f>
        <v>6440</v>
      </c>
      <c r="K29" s="78">
        <v>5819.6</v>
      </c>
      <c r="L29" s="78">
        <v>5856.9</v>
      </c>
      <c r="M29" s="78">
        <v>5247.7</v>
      </c>
      <c r="N29" s="78">
        <v>5397.4</v>
      </c>
      <c r="O29" s="78">
        <v>5361.2</v>
      </c>
      <c r="P29" s="78">
        <v>3951.6280000000002</v>
      </c>
      <c r="Q29" s="149"/>
      <c r="R29" s="9"/>
      <c r="S29" s="23" t="s">
        <v>184</v>
      </c>
      <c r="T29" s="74">
        <f t="shared" ref="T29:AA29" si="10">+D36</f>
        <v>88</v>
      </c>
      <c r="U29" s="74">
        <f t="shared" si="10"/>
        <v>109</v>
      </c>
      <c r="V29" s="74">
        <f t="shared" si="10"/>
        <v>85.5</v>
      </c>
      <c r="W29" s="74">
        <f t="shared" si="10"/>
        <v>95</v>
      </c>
      <c r="X29" s="74">
        <f t="shared" si="10"/>
        <v>118.2</v>
      </c>
      <c r="Y29" s="74">
        <f t="shared" si="10"/>
        <v>130.6</v>
      </c>
      <c r="Z29" s="74">
        <f t="shared" si="10"/>
        <v>83</v>
      </c>
      <c r="AA29" s="74">
        <f t="shared" si="10"/>
        <v>21.9</v>
      </c>
      <c r="AB29" s="74">
        <v>0</v>
      </c>
      <c r="AC29" s="74">
        <v>0</v>
      </c>
      <c r="AD29" s="74">
        <v>28.9</v>
      </c>
      <c r="AE29" s="74">
        <v>53.9</v>
      </c>
      <c r="AF29" s="74">
        <v>79.253</v>
      </c>
    </row>
    <row r="30" spans="2:32" ht="13.5" thickTop="1">
      <c r="B30" s="3" t="s">
        <v>37</v>
      </c>
      <c r="C30" s="90"/>
      <c r="F30" s="334"/>
      <c r="G30" s="334"/>
      <c r="H30" s="334"/>
      <c r="I30" s="295"/>
      <c r="J30" s="67"/>
      <c r="K30" s="67"/>
      <c r="L30" s="67"/>
      <c r="M30" s="67"/>
      <c r="N30" s="67"/>
      <c r="O30" s="67"/>
      <c r="P30" s="67"/>
      <c r="Q30" s="149"/>
      <c r="R30" s="9"/>
      <c r="S30" s="23" t="s">
        <v>179</v>
      </c>
      <c r="T30" s="72">
        <f>+D39+'Nike Statement of SE'!K175</f>
        <v>995.5</v>
      </c>
      <c r="U30" s="72">
        <f>+E39</f>
        <v>668.7</v>
      </c>
      <c r="V30" s="72">
        <f>+F39</f>
        <v>550.1</v>
      </c>
      <c r="W30" s="72">
        <f>+G39</f>
        <v>462.6</v>
      </c>
      <c r="X30" s="72">
        <f t="shared" ref="X30:AF30" si="11">+H39</f>
        <v>413.8</v>
      </c>
      <c r="Y30" s="72">
        <f t="shared" si="11"/>
        <v>257.89999999999998</v>
      </c>
      <c r="Z30" s="72">
        <f t="shared" si="11"/>
        <v>141.6</v>
      </c>
      <c r="AA30" s="72">
        <f t="shared" si="11"/>
        <v>102.2</v>
      </c>
      <c r="AB30" s="72">
        <f t="shared" si="11"/>
        <v>110.3</v>
      </c>
      <c r="AC30" s="72">
        <f t="shared" si="11"/>
        <v>79.8</v>
      </c>
      <c r="AD30" s="72">
        <f t="shared" si="11"/>
        <v>52.3</v>
      </c>
      <c r="AE30" s="72">
        <f t="shared" si="11"/>
        <v>42.1</v>
      </c>
      <c r="AF30" s="72">
        <f t="shared" si="11"/>
        <v>43.284999999999997</v>
      </c>
    </row>
    <row r="31" spans="2:32">
      <c r="B31" t="s">
        <v>38</v>
      </c>
      <c r="F31" s="334"/>
      <c r="G31" s="334"/>
      <c r="H31" s="334"/>
      <c r="I31" s="295"/>
      <c r="J31" s="67"/>
      <c r="K31" s="67"/>
      <c r="L31" s="67"/>
      <c r="M31" s="67"/>
      <c r="N31" s="67"/>
      <c r="O31" s="67"/>
      <c r="P31" s="67"/>
      <c r="Q31" s="149"/>
      <c r="R31" s="9"/>
      <c r="S31" t="s">
        <v>189</v>
      </c>
      <c r="T31" s="75">
        <f>SUM(T27:T30)</f>
        <v>3954.1</v>
      </c>
      <c r="U31" s="75">
        <f>SUM(U27:U30)</f>
        <v>2983.8</v>
      </c>
      <c r="V31" s="75">
        <f>SUM(V27:V30)</f>
        <v>2725.5</v>
      </c>
      <c r="W31" s="75">
        <f>SUM(W27:W30)</f>
        <v>2267.4</v>
      </c>
      <c r="X31" s="75">
        <f t="shared" ref="X31:AF31" si="12">SUM(X27:X30)</f>
        <v>2195.1999999999998</v>
      </c>
      <c r="Y31" s="75">
        <f t="shared" si="12"/>
        <v>1910.9</v>
      </c>
      <c r="Z31" s="67">
        <f t="shared" si="12"/>
        <v>1457.9999999999998</v>
      </c>
      <c r="AA31" s="67">
        <f t="shared" si="12"/>
        <v>997.80000000000007</v>
      </c>
      <c r="AB31" s="67">
        <f t="shared" si="12"/>
        <v>1216.0999999999999</v>
      </c>
      <c r="AC31" s="67">
        <f t="shared" si="12"/>
        <v>1008.6</v>
      </c>
      <c r="AD31" s="67">
        <f t="shared" si="12"/>
        <v>994.19999999999993</v>
      </c>
      <c r="AE31" s="67">
        <f t="shared" si="12"/>
        <v>939.5</v>
      </c>
      <c r="AF31" s="67">
        <f t="shared" si="12"/>
        <v>820.57899999999995</v>
      </c>
    </row>
    <row r="32" spans="2:32">
      <c r="B32" t="s">
        <v>169</v>
      </c>
      <c r="C32" s="29" t="s">
        <v>158</v>
      </c>
      <c r="D32" s="67">
        <v>6.3</v>
      </c>
      <c r="E32" s="67">
        <v>30.5</v>
      </c>
      <c r="F32" s="295">
        <v>255.3</v>
      </c>
      <c r="G32" s="295">
        <v>6.2</v>
      </c>
      <c r="H32" s="295">
        <v>6.6</v>
      </c>
      <c r="I32" s="295">
        <v>205.7</v>
      </c>
      <c r="J32" s="67">
        <v>55.3</v>
      </c>
      <c r="K32" s="67">
        <v>5.4</v>
      </c>
      <c r="L32" s="67">
        <v>50.1</v>
      </c>
      <c r="M32" s="67">
        <v>1</v>
      </c>
      <c r="N32" s="67">
        <v>1.6</v>
      </c>
      <c r="O32" s="67">
        <v>2.2000000000000002</v>
      </c>
      <c r="P32" s="67">
        <v>7.3010000000000002</v>
      </c>
      <c r="Q32" s="149"/>
      <c r="R32" s="9"/>
      <c r="S32" s="16" t="s">
        <v>191</v>
      </c>
      <c r="T32" s="72">
        <f>+T25-T31</f>
        <v>5805.6350000000002</v>
      </c>
      <c r="U32" s="72">
        <f>+U25-U31</f>
        <v>4939.1294999999991</v>
      </c>
      <c r="V32" s="72">
        <f>+V25-V31</f>
        <v>4915.8744999999999</v>
      </c>
      <c r="W32" s="72">
        <f>+W25-W31</f>
        <v>4770.1984999999986</v>
      </c>
      <c r="X32" s="72">
        <f t="shared" ref="X32:AF32" si="13">+X25-X31</f>
        <v>4551.4655000000002</v>
      </c>
      <c r="Y32" s="72">
        <f t="shared" si="13"/>
        <v>4330.2849999999999</v>
      </c>
      <c r="Z32" s="75">
        <f t="shared" si="13"/>
        <v>4461.0649999999996</v>
      </c>
      <c r="AA32" s="75">
        <f t="shared" si="13"/>
        <v>4575.1440000000002</v>
      </c>
      <c r="AB32" s="75">
        <f t="shared" si="13"/>
        <v>4443.1754999999994</v>
      </c>
      <c r="AC32" s="75">
        <f t="shared" si="13"/>
        <v>4084.8844999999997</v>
      </c>
      <c r="AD32" s="75">
        <f t="shared" si="13"/>
        <v>4342.3654999999999</v>
      </c>
      <c r="AE32" s="75">
        <f t="shared" si="13"/>
        <v>4022.2324999999992</v>
      </c>
      <c r="AF32" s="75">
        <f t="shared" si="13"/>
        <v>2901.2729999999992</v>
      </c>
    </row>
    <row r="33" spans="2:33">
      <c r="B33" t="s">
        <v>170</v>
      </c>
      <c r="C33" s="29" t="s">
        <v>158</v>
      </c>
      <c r="D33" s="67">
        <v>177.7</v>
      </c>
      <c r="E33" s="67">
        <v>100.8</v>
      </c>
      <c r="F33" s="295">
        <v>43.4</v>
      </c>
      <c r="G33" s="295">
        <v>69.8</v>
      </c>
      <c r="H33" s="295">
        <v>146</v>
      </c>
      <c r="I33" s="295">
        <v>75.400000000000006</v>
      </c>
      <c r="J33" s="67">
        <v>425.2</v>
      </c>
      <c r="K33" s="67">
        <v>855.3</v>
      </c>
      <c r="L33" s="67">
        <v>924.2</v>
      </c>
      <c r="M33" s="67">
        <v>419.1</v>
      </c>
      <c r="N33" s="67">
        <v>480.2</v>
      </c>
      <c r="O33" s="67">
        <v>553.20000000000005</v>
      </c>
      <c r="P33" s="67">
        <v>445.06400000000002</v>
      </c>
      <c r="Q33" s="149"/>
      <c r="R33" s="9"/>
      <c r="S33" s="3"/>
      <c r="T33" s="3"/>
      <c r="U33" s="3"/>
      <c r="V33" s="3"/>
      <c r="W33" s="3"/>
      <c r="X33" s="9"/>
      <c r="Y33" s="67"/>
      <c r="Z33" s="67"/>
      <c r="AA33" s="67"/>
      <c r="AB33" s="67"/>
      <c r="AC33" s="67"/>
      <c r="AD33" s="67"/>
      <c r="AE33" s="67"/>
      <c r="AF33" s="67"/>
    </row>
    <row r="34" spans="2:33">
      <c r="B34" t="s">
        <v>171</v>
      </c>
      <c r="C34" s="29" t="s">
        <v>159</v>
      </c>
      <c r="D34" s="67">
        <v>1287.5999999999999</v>
      </c>
      <c r="E34" s="67">
        <v>1040.3</v>
      </c>
      <c r="F34" s="295">
        <v>952.2</v>
      </c>
      <c r="G34" s="295">
        <v>843.9</v>
      </c>
      <c r="H34" s="295">
        <v>780.4</v>
      </c>
      <c r="I34" s="295">
        <v>572.70000000000005</v>
      </c>
      <c r="J34" s="67">
        <v>504.4</v>
      </c>
      <c r="K34" s="67">
        <v>432</v>
      </c>
      <c r="L34" s="67">
        <v>543.79999999999995</v>
      </c>
      <c r="M34" s="67">
        <v>473.6</v>
      </c>
      <c r="N34" s="67">
        <v>584.6</v>
      </c>
      <c r="O34" s="67">
        <v>687.1</v>
      </c>
      <c r="P34" s="67">
        <v>455.03399999999999</v>
      </c>
      <c r="Q34" s="149"/>
      <c r="R34" s="9"/>
      <c r="S34" s="3" t="s">
        <v>197</v>
      </c>
      <c r="T34" s="3"/>
      <c r="U34" s="3"/>
      <c r="V34" s="3"/>
      <c r="W34" s="3"/>
      <c r="X34" s="9"/>
      <c r="Y34" s="67"/>
      <c r="Z34" s="67"/>
      <c r="AA34" s="67"/>
      <c r="AB34" s="67"/>
      <c r="AC34" s="67"/>
      <c r="AD34" s="67"/>
      <c r="AE34" s="67"/>
      <c r="AF34" s="67"/>
    </row>
    <row r="35" spans="2:33">
      <c r="B35" t="s">
        <v>39</v>
      </c>
      <c r="C35" s="29" t="s">
        <v>159</v>
      </c>
      <c r="D35" s="67">
        <v>1761.9</v>
      </c>
      <c r="E35" s="67">
        <v>1303.4000000000001</v>
      </c>
      <c r="F35" s="295">
        <v>1286.9000000000001</v>
      </c>
      <c r="G35" s="295">
        <v>984.3</v>
      </c>
      <c r="H35" s="295">
        <v>979.3</v>
      </c>
      <c r="I35" s="295">
        <v>1036.2</v>
      </c>
      <c r="J35" s="67">
        <v>765.3</v>
      </c>
      <c r="K35" s="67">
        <v>472.1</v>
      </c>
      <c r="L35" s="67">
        <v>621.9</v>
      </c>
      <c r="M35" s="67">
        <v>553.20000000000005</v>
      </c>
      <c r="N35" s="67">
        <v>608.5</v>
      </c>
      <c r="O35" s="67">
        <v>570.5</v>
      </c>
      <c r="P35" s="67">
        <v>480.40699999999998</v>
      </c>
      <c r="Q35" s="149"/>
      <c r="R35" s="9"/>
      <c r="S35" s="39" t="s">
        <v>163</v>
      </c>
      <c r="T35" s="39"/>
      <c r="U35" s="39"/>
      <c r="V35" s="39"/>
      <c r="W35" s="39"/>
      <c r="X35" s="9"/>
      <c r="Y35" s="67"/>
      <c r="Z35" s="67"/>
      <c r="AA35" s="67"/>
      <c r="AB35" s="67"/>
      <c r="AC35" s="67"/>
      <c r="AD35" s="67"/>
      <c r="AE35" s="67"/>
      <c r="AF35" s="67"/>
    </row>
    <row r="36" spans="2:33">
      <c r="B36" s="14" t="s">
        <v>40</v>
      </c>
      <c r="C36" s="29" t="s">
        <v>159</v>
      </c>
      <c r="D36" s="72">
        <v>88</v>
      </c>
      <c r="E36" s="72">
        <v>109</v>
      </c>
      <c r="F36" s="236">
        <v>85.5</v>
      </c>
      <c r="G36" s="236">
        <v>95</v>
      </c>
      <c r="H36" s="236">
        <v>118.2</v>
      </c>
      <c r="I36" s="236">
        <v>130.6</v>
      </c>
      <c r="J36" s="72">
        <v>83</v>
      </c>
      <c r="K36" s="72">
        <v>21.9</v>
      </c>
      <c r="L36" s="72">
        <v>0</v>
      </c>
      <c r="M36" s="72">
        <v>0</v>
      </c>
      <c r="N36" s="72">
        <v>28.9</v>
      </c>
      <c r="O36" s="72">
        <v>53.9</v>
      </c>
      <c r="P36" s="72">
        <v>79.253</v>
      </c>
      <c r="Q36" s="149"/>
      <c r="R36" s="9"/>
      <c r="S36" s="23" t="s">
        <v>188</v>
      </c>
      <c r="T36" s="74">
        <f t="shared" ref="T36:AF36" si="14">D17-T17</f>
        <v>2040.7650000000001</v>
      </c>
      <c r="U36" s="74">
        <f t="shared" si="14"/>
        <v>1775.0705</v>
      </c>
      <c r="V36" s="74">
        <f t="shared" si="14"/>
        <v>879.42550000000006</v>
      </c>
      <c r="W36" s="74">
        <f t="shared" si="14"/>
        <v>1319.4014999999999</v>
      </c>
      <c r="X36" s="74">
        <f t="shared" si="14"/>
        <v>766.73450000000003</v>
      </c>
      <c r="Y36" s="74">
        <f t="shared" si="14"/>
        <v>580.51499999999999</v>
      </c>
      <c r="Z36" s="74">
        <f t="shared" si="14"/>
        <v>526.03499999999997</v>
      </c>
      <c r="AA36" s="74">
        <f t="shared" si="14"/>
        <v>256.55599999999998</v>
      </c>
      <c r="AB36" s="74">
        <f t="shared" si="14"/>
        <v>209.3245</v>
      </c>
      <c r="AC36" s="74">
        <f t="shared" si="14"/>
        <v>154.21549999999999</v>
      </c>
      <c r="AD36" s="74">
        <f t="shared" si="14"/>
        <v>60.834499999999991</v>
      </c>
      <c r="AE36" s="74">
        <f t="shared" si="14"/>
        <v>399.46749999999997</v>
      </c>
      <c r="AF36" s="74">
        <f t="shared" si="14"/>
        <v>229.76400000000001</v>
      </c>
    </row>
    <row r="37" spans="2:33">
      <c r="B37" t="s">
        <v>41</v>
      </c>
      <c r="D37" s="75">
        <f>SUM(D32:D36)</f>
        <v>3321.5</v>
      </c>
      <c r="E37" s="75">
        <f>SUM(E32:E36)</f>
        <v>2584</v>
      </c>
      <c r="F37" s="296">
        <f>SUM(F32:F36)</f>
        <v>2623.3</v>
      </c>
      <c r="G37" s="296">
        <v>1999.2</v>
      </c>
      <c r="H37" s="296">
        <v>2030.5</v>
      </c>
      <c r="I37" s="236">
        <v>2020.6</v>
      </c>
      <c r="J37" s="72">
        <v>1833.2</v>
      </c>
      <c r="K37" s="72">
        <v>1786.7</v>
      </c>
      <c r="L37" s="72">
        <v>2140</v>
      </c>
      <c r="M37" s="72">
        <v>1446.9</v>
      </c>
      <c r="N37" s="72">
        <v>1703.8</v>
      </c>
      <c r="O37" s="72">
        <v>1866.9</v>
      </c>
      <c r="P37" s="72">
        <v>1467.059</v>
      </c>
      <c r="Q37" s="149"/>
      <c r="R37" s="9"/>
      <c r="S37" s="234" t="s">
        <v>609</v>
      </c>
      <c r="T37" s="236">
        <f>D18</f>
        <v>642.20000000000005</v>
      </c>
      <c r="U37" s="236">
        <f>E18</f>
        <v>990.3</v>
      </c>
      <c r="V37" s="236">
        <f>F18</f>
        <v>1348.8</v>
      </c>
      <c r="W37" s="236">
        <f>G18</f>
        <v>436.6</v>
      </c>
      <c r="X37" s="236">
        <f>H18</f>
        <v>400.8</v>
      </c>
      <c r="Y37" s="236">
        <v>0</v>
      </c>
      <c r="Z37" s="236">
        <v>0</v>
      </c>
      <c r="AA37" s="236">
        <v>0</v>
      </c>
      <c r="AB37" s="236">
        <v>0</v>
      </c>
      <c r="AC37" s="236">
        <v>0</v>
      </c>
      <c r="AD37" s="236">
        <v>0</v>
      </c>
      <c r="AE37" s="236">
        <v>0</v>
      </c>
      <c r="AF37" s="236">
        <v>0</v>
      </c>
    </row>
    <row r="38" spans="2:33">
      <c r="B38" t="s">
        <v>172</v>
      </c>
      <c r="C38" s="29" t="s">
        <v>158</v>
      </c>
      <c r="D38" s="67">
        <v>441.1</v>
      </c>
      <c r="E38" s="67">
        <v>409.9</v>
      </c>
      <c r="F38" s="295">
        <v>410.7</v>
      </c>
      <c r="G38" s="295">
        <v>687.3</v>
      </c>
      <c r="H38" s="295">
        <v>682.4</v>
      </c>
      <c r="I38" s="295">
        <v>551.6</v>
      </c>
      <c r="J38" s="67">
        <v>625.9</v>
      </c>
      <c r="K38" s="67">
        <v>435.9</v>
      </c>
      <c r="L38" s="67">
        <v>470.3</v>
      </c>
      <c r="M38" s="67">
        <v>386.1</v>
      </c>
      <c r="N38" s="67">
        <v>379.4</v>
      </c>
      <c r="O38" s="67">
        <v>296</v>
      </c>
      <c r="P38" s="67">
        <v>9.5839999999999996</v>
      </c>
      <c r="Q38" s="149"/>
      <c r="R38" s="9"/>
      <c r="S38" s="39" t="s">
        <v>190</v>
      </c>
      <c r="T38" s="67">
        <f>SUM(T36:T37)</f>
        <v>2682.9650000000001</v>
      </c>
      <c r="U38" s="67">
        <f>SUM(U36:U37)</f>
        <v>2765.3705</v>
      </c>
      <c r="V38" s="67">
        <f>SUM(V36:V37)</f>
        <v>2228.2255</v>
      </c>
      <c r="W38" s="67">
        <f>SUM(W36:W37)</f>
        <v>1756.0014999999999</v>
      </c>
      <c r="X38" s="67">
        <f t="shared" ref="X38:AF38" si="15">SUM(X36:X37)</f>
        <v>1167.5345</v>
      </c>
      <c r="Y38" s="67">
        <f t="shared" si="15"/>
        <v>580.51499999999999</v>
      </c>
      <c r="Z38" s="67">
        <f t="shared" si="15"/>
        <v>526.03499999999997</v>
      </c>
      <c r="AA38" s="67">
        <f t="shared" si="15"/>
        <v>256.55599999999998</v>
      </c>
      <c r="AB38" s="67">
        <f t="shared" si="15"/>
        <v>209.3245</v>
      </c>
      <c r="AC38" s="67">
        <f t="shared" si="15"/>
        <v>154.21549999999999</v>
      </c>
      <c r="AD38" s="67">
        <f t="shared" si="15"/>
        <v>60.834499999999991</v>
      </c>
      <c r="AE38" s="67">
        <f t="shared" si="15"/>
        <v>399.46749999999997</v>
      </c>
      <c r="AF38" s="67">
        <f t="shared" si="15"/>
        <v>229.76400000000001</v>
      </c>
    </row>
    <row r="39" spans="2:33">
      <c r="B39" t="s">
        <v>173</v>
      </c>
      <c r="C39" s="29" t="s">
        <v>159</v>
      </c>
      <c r="D39" s="67">
        <v>854.5</v>
      </c>
      <c r="E39" s="67">
        <v>668.7</v>
      </c>
      <c r="F39" s="295">
        <v>550.1</v>
      </c>
      <c r="G39" s="295">
        <v>462.6</v>
      </c>
      <c r="H39" s="295">
        <v>413.8</v>
      </c>
      <c r="I39" s="295">
        <v>257.89999999999998</v>
      </c>
      <c r="J39" s="67">
        <v>141.6</v>
      </c>
      <c r="K39" s="67">
        <v>102.2</v>
      </c>
      <c r="L39" s="67">
        <v>110.3</v>
      </c>
      <c r="M39" s="67">
        <v>79.8</v>
      </c>
      <c r="N39" s="67">
        <v>52.3</v>
      </c>
      <c r="O39" s="67">
        <v>42.1</v>
      </c>
      <c r="P39" s="67">
        <v>43.284999999999997</v>
      </c>
      <c r="Q39" s="149"/>
      <c r="R39" s="9"/>
      <c r="S39" s="39" t="s">
        <v>164</v>
      </c>
      <c r="T39" s="9"/>
      <c r="U39" s="9"/>
      <c r="V39" s="9"/>
      <c r="W39" s="9"/>
      <c r="X39" s="9"/>
      <c r="Y39" s="67"/>
      <c r="Z39" s="67"/>
      <c r="AA39" s="67"/>
      <c r="AB39" s="67"/>
      <c r="AC39" s="67"/>
      <c r="AD39" s="67"/>
      <c r="AE39" s="67"/>
      <c r="AF39" s="67"/>
    </row>
    <row r="40" spans="2:33">
      <c r="B40" t="s">
        <v>174</v>
      </c>
      <c r="C40" s="29" t="s">
        <v>159</v>
      </c>
      <c r="D40" s="67"/>
      <c r="E40" s="67">
        <v>0</v>
      </c>
      <c r="F40" s="295">
        <v>0</v>
      </c>
      <c r="G40" s="295">
        <v>0</v>
      </c>
      <c r="H40" s="295">
        <v>0</v>
      </c>
      <c r="I40" s="295">
        <v>0</v>
      </c>
      <c r="J40" s="67">
        <v>0</v>
      </c>
      <c r="K40" s="67">
        <v>0</v>
      </c>
      <c r="L40" s="67">
        <v>0</v>
      </c>
      <c r="M40" s="67">
        <v>0</v>
      </c>
      <c r="N40" s="67">
        <v>0</v>
      </c>
      <c r="O40" s="67">
        <v>0</v>
      </c>
      <c r="P40" s="67">
        <v>0</v>
      </c>
      <c r="Q40" s="149"/>
      <c r="R40" s="9"/>
      <c r="S40" s="23" t="s">
        <v>185</v>
      </c>
      <c r="T40" s="67">
        <f t="shared" ref="T40:W41" si="16">+D32</f>
        <v>6.3</v>
      </c>
      <c r="U40" s="67">
        <f t="shared" si="16"/>
        <v>30.5</v>
      </c>
      <c r="V40" s="67">
        <f t="shared" si="16"/>
        <v>255.3</v>
      </c>
      <c r="W40" s="67">
        <f t="shared" si="16"/>
        <v>6.2</v>
      </c>
      <c r="X40" s="67">
        <f t="shared" ref="X40:AA41" si="17">+H32</f>
        <v>6.6</v>
      </c>
      <c r="Y40" s="67">
        <f t="shared" si="17"/>
        <v>205.7</v>
      </c>
      <c r="Z40" s="67">
        <f t="shared" si="17"/>
        <v>55.3</v>
      </c>
      <c r="AA40" s="67">
        <f t="shared" si="17"/>
        <v>5.4</v>
      </c>
      <c r="AB40" s="67">
        <v>50.1</v>
      </c>
      <c r="AC40" s="67">
        <v>1</v>
      </c>
      <c r="AD40" s="67">
        <v>1.6</v>
      </c>
      <c r="AE40" s="67">
        <v>2.2000000000000002</v>
      </c>
      <c r="AF40" s="67">
        <v>7.3010000000000002</v>
      </c>
    </row>
    <row r="41" spans="2:33">
      <c r="B41" t="s">
        <v>175</v>
      </c>
      <c r="C41" s="29" t="s">
        <v>158</v>
      </c>
      <c r="D41" s="67">
        <v>0.3</v>
      </c>
      <c r="E41" s="67">
        <v>0.3</v>
      </c>
      <c r="F41" s="295">
        <v>0.3</v>
      </c>
      <c r="G41" s="295">
        <v>0.3</v>
      </c>
      <c r="H41" s="295">
        <v>0.3</v>
      </c>
      <c r="I41" s="295">
        <v>0.3</v>
      </c>
      <c r="J41" s="67">
        <v>0.3</v>
      </c>
      <c r="K41" s="67">
        <v>0.3</v>
      </c>
      <c r="L41" s="67">
        <v>0.3</v>
      </c>
      <c r="M41" s="67">
        <v>0.3</v>
      </c>
      <c r="N41" s="67">
        <v>0.3</v>
      </c>
      <c r="O41" s="67">
        <v>0.3</v>
      </c>
      <c r="P41" s="67">
        <v>0.3</v>
      </c>
      <c r="Q41" s="149"/>
      <c r="R41" s="9"/>
      <c r="S41" s="23" t="s">
        <v>186</v>
      </c>
      <c r="T41" s="67">
        <f t="shared" si="16"/>
        <v>177.7</v>
      </c>
      <c r="U41" s="67">
        <f t="shared" si="16"/>
        <v>100.8</v>
      </c>
      <c r="V41" s="67">
        <f t="shared" si="16"/>
        <v>43.4</v>
      </c>
      <c r="W41" s="67">
        <f t="shared" si="16"/>
        <v>69.8</v>
      </c>
      <c r="X41" s="67">
        <f t="shared" si="17"/>
        <v>146</v>
      </c>
      <c r="Y41" s="67">
        <f t="shared" si="17"/>
        <v>75.400000000000006</v>
      </c>
      <c r="Z41" s="67">
        <f t="shared" si="17"/>
        <v>425.2</v>
      </c>
      <c r="AA41" s="67">
        <f t="shared" si="17"/>
        <v>855.3</v>
      </c>
      <c r="AB41" s="67">
        <v>924.2</v>
      </c>
      <c r="AC41" s="67">
        <v>419.1</v>
      </c>
      <c r="AD41" s="67">
        <v>480.2</v>
      </c>
      <c r="AE41" s="67">
        <v>553.20000000000005</v>
      </c>
      <c r="AF41" s="67">
        <v>445.06400000000002</v>
      </c>
    </row>
    <row r="42" spans="2:33">
      <c r="B42" t="s">
        <v>42</v>
      </c>
      <c r="F42" s="334"/>
      <c r="G42" s="334"/>
      <c r="H42" s="334"/>
      <c r="I42" s="295"/>
      <c r="J42" s="67"/>
      <c r="K42" s="67"/>
      <c r="L42" s="67"/>
      <c r="M42" s="67"/>
      <c r="N42" s="67"/>
      <c r="O42" s="67"/>
      <c r="P42" s="67"/>
      <c r="Q42" s="149"/>
      <c r="R42" s="9"/>
      <c r="S42" s="23" t="s">
        <v>663</v>
      </c>
      <c r="T42" s="66">
        <v>65.900000000000006</v>
      </c>
      <c r="U42" s="66">
        <v>44.6</v>
      </c>
      <c r="V42" s="66">
        <v>69.7</v>
      </c>
      <c r="W42" s="66">
        <v>53.1</v>
      </c>
      <c r="X42">
        <v>43.9</v>
      </c>
      <c r="Y42">
        <v>49.6</v>
      </c>
      <c r="Z42">
        <v>36.299999999999997</v>
      </c>
      <c r="AA42">
        <v>30.4</v>
      </c>
      <c r="AB42" s="67">
        <v>59.9</v>
      </c>
      <c r="AC42" s="67">
        <v>98</v>
      </c>
      <c r="AD42" s="67">
        <v>280.10000000000002</v>
      </c>
      <c r="AE42" s="67">
        <v>414.1</v>
      </c>
      <c r="AF42" s="67">
        <v>237.4</v>
      </c>
    </row>
    <row r="43" spans="2:33">
      <c r="B43" t="s">
        <v>176</v>
      </c>
      <c r="D43" s="67"/>
      <c r="E43" s="67"/>
      <c r="F43" s="295"/>
      <c r="G43" s="295"/>
      <c r="H43" s="295"/>
      <c r="I43" s="295"/>
      <c r="J43" s="67"/>
      <c r="K43" s="67"/>
      <c r="L43" s="67"/>
      <c r="M43" s="67"/>
      <c r="N43" s="67"/>
      <c r="O43" s="67"/>
      <c r="P43" s="67"/>
      <c r="Q43" s="149"/>
      <c r="R43" s="9"/>
      <c r="S43" s="23" t="s">
        <v>172</v>
      </c>
      <c r="T43" s="67">
        <f t="shared" ref="T43:AA43" si="18">+D38</f>
        <v>441.1</v>
      </c>
      <c r="U43" s="67">
        <f t="shared" si="18"/>
        <v>409.9</v>
      </c>
      <c r="V43" s="67">
        <f t="shared" si="18"/>
        <v>410.7</v>
      </c>
      <c r="W43" s="67">
        <f t="shared" si="18"/>
        <v>687.3</v>
      </c>
      <c r="X43" s="67">
        <f t="shared" si="18"/>
        <v>682.4</v>
      </c>
      <c r="Y43" s="67">
        <f t="shared" si="18"/>
        <v>551.6</v>
      </c>
      <c r="Z43" s="67">
        <f t="shared" si="18"/>
        <v>625.9</v>
      </c>
      <c r="AA43" s="67">
        <f t="shared" si="18"/>
        <v>435.9</v>
      </c>
      <c r="AB43" s="67">
        <v>470.3</v>
      </c>
      <c r="AC43" s="67">
        <v>386.1</v>
      </c>
      <c r="AD43" s="67">
        <v>379.4</v>
      </c>
      <c r="AE43" s="67">
        <v>296</v>
      </c>
      <c r="AF43" s="67">
        <v>9.5839999999999996</v>
      </c>
    </row>
    <row r="44" spans="2:33">
      <c r="B44" t="s">
        <v>177</v>
      </c>
      <c r="D44" s="67">
        <v>0.1</v>
      </c>
      <c r="E44" s="67">
        <v>0.1</v>
      </c>
      <c r="F44" s="295">
        <v>0.1</v>
      </c>
      <c r="G44" s="295">
        <v>0.1</v>
      </c>
      <c r="H44" s="295">
        <v>0.1</v>
      </c>
      <c r="I44" s="295">
        <v>0.2</v>
      </c>
      <c r="J44" s="67">
        <v>0.2</v>
      </c>
      <c r="K44" s="67">
        <v>0.2</v>
      </c>
      <c r="L44" s="67">
        <v>0.2</v>
      </c>
      <c r="M44" s="67">
        <v>0.2</v>
      </c>
      <c r="N44" s="67">
        <v>0.2</v>
      </c>
      <c r="O44" s="67">
        <v>0.2</v>
      </c>
      <c r="P44" s="67">
        <v>0.153</v>
      </c>
      <c r="Q44" s="149"/>
      <c r="R44" s="9"/>
      <c r="S44" s="23" t="s">
        <v>175</v>
      </c>
      <c r="T44" s="72">
        <f t="shared" ref="T44:AA44" si="19">+D41</f>
        <v>0.3</v>
      </c>
      <c r="U44" s="72">
        <f t="shared" si="19"/>
        <v>0.3</v>
      </c>
      <c r="V44" s="72">
        <f t="shared" si="19"/>
        <v>0.3</v>
      </c>
      <c r="W44" s="72">
        <f t="shared" si="19"/>
        <v>0.3</v>
      </c>
      <c r="X44" s="72">
        <f t="shared" si="19"/>
        <v>0.3</v>
      </c>
      <c r="Y44" s="72">
        <f t="shared" si="19"/>
        <v>0.3</v>
      </c>
      <c r="Z44" s="72">
        <f t="shared" si="19"/>
        <v>0.3</v>
      </c>
      <c r="AA44" s="72">
        <f t="shared" si="19"/>
        <v>0.3</v>
      </c>
      <c r="AB44" s="72">
        <v>0.3</v>
      </c>
      <c r="AC44" s="72">
        <v>0.3</v>
      </c>
      <c r="AD44" s="72">
        <v>0.3</v>
      </c>
      <c r="AE44" s="72">
        <v>0.3</v>
      </c>
      <c r="AF44" s="72">
        <v>0.3</v>
      </c>
    </row>
    <row r="45" spans="2:33">
      <c r="B45" t="s">
        <v>178</v>
      </c>
      <c r="D45" s="67">
        <v>2.7</v>
      </c>
      <c r="E45" s="67">
        <v>2.7</v>
      </c>
      <c r="F45" s="295">
        <v>2.7</v>
      </c>
      <c r="G45" s="295">
        <v>2.7</v>
      </c>
      <c r="H45" s="295">
        <v>2.7</v>
      </c>
      <c r="I45" s="295">
        <v>2.6</v>
      </c>
      <c r="J45" s="67">
        <v>2.6</v>
      </c>
      <c r="K45" s="67">
        <v>2.6</v>
      </c>
      <c r="L45" s="67">
        <v>2.6</v>
      </c>
      <c r="M45" s="67">
        <v>2.7</v>
      </c>
      <c r="N45" s="67">
        <v>2.7</v>
      </c>
      <c r="O45" s="67">
        <v>2.7</v>
      </c>
      <c r="P45" s="67">
        <v>2.702</v>
      </c>
      <c r="Q45" s="149"/>
      <c r="R45" s="9"/>
      <c r="S45" s="14" t="s">
        <v>238</v>
      </c>
      <c r="T45" s="75">
        <f>SUM(T40:T44)</f>
        <v>691.3</v>
      </c>
      <c r="U45" s="75">
        <f>SUM(U40:U44)</f>
        <v>586.09999999999991</v>
      </c>
      <c r="V45" s="75">
        <f>SUM(V40:V44)</f>
        <v>779.39999999999986</v>
      </c>
      <c r="W45" s="75">
        <f>SUM(W40:W44)</f>
        <v>816.69999999999993</v>
      </c>
      <c r="X45" s="75">
        <f t="shared" ref="X45:AF45" si="20">SUM(X40:X44)</f>
        <v>879.19999999999993</v>
      </c>
      <c r="Y45" s="67">
        <f t="shared" si="20"/>
        <v>882.6</v>
      </c>
      <c r="Z45" s="67">
        <f t="shared" si="20"/>
        <v>1142.9999999999998</v>
      </c>
      <c r="AA45" s="67">
        <f t="shared" si="20"/>
        <v>1327.3</v>
      </c>
      <c r="AB45" s="67">
        <f t="shared" si="20"/>
        <v>1504.8</v>
      </c>
      <c r="AC45" s="67">
        <f t="shared" si="20"/>
        <v>904.5</v>
      </c>
      <c r="AD45" s="67">
        <f t="shared" si="20"/>
        <v>1141.6000000000001</v>
      </c>
      <c r="AE45" s="67">
        <f t="shared" si="20"/>
        <v>1265.8</v>
      </c>
      <c r="AF45" s="67">
        <f t="shared" si="20"/>
        <v>699.64899999999989</v>
      </c>
    </row>
    <row r="46" spans="2:33">
      <c r="B46" t="s">
        <v>43</v>
      </c>
      <c r="D46" s="67">
        <v>2497.8000000000002</v>
      </c>
      <c r="E46" s="67">
        <v>1960</v>
      </c>
      <c r="F46" s="295">
        <v>1451.4</v>
      </c>
      <c r="G46" s="295">
        <v>1182.9000000000001</v>
      </c>
      <c r="H46" s="295">
        <v>887.8</v>
      </c>
      <c r="I46" s="295">
        <v>589</v>
      </c>
      <c r="J46" s="67">
        <v>538.70000000000005</v>
      </c>
      <c r="K46" s="67">
        <v>459.4</v>
      </c>
      <c r="L46" s="67">
        <v>369</v>
      </c>
      <c r="M46" s="67">
        <v>334.1</v>
      </c>
      <c r="N46" s="67">
        <v>262.5</v>
      </c>
      <c r="O46" s="67">
        <v>210.6</v>
      </c>
      <c r="P46" s="67">
        <v>154.833</v>
      </c>
      <c r="Q46" s="149"/>
      <c r="R46" s="9"/>
      <c r="S46" s="14" t="s">
        <v>192</v>
      </c>
      <c r="T46" s="75">
        <f>+T38-T45</f>
        <v>1991.6650000000002</v>
      </c>
      <c r="U46" s="75">
        <f>+U38-U45</f>
        <v>2179.2705000000001</v>
      </c>
      <c r="V46" s="75">
        <f>+V38-V45</f>
        <v>1448.8255000000001</v>
      </c>
      <c r="W46" s="75">
        <f>+W38-W45</f>
        <v>939.30149999999992</v>
      </c>
      <c r="X46" s="75">
        <f t="shared" ref="X46:AF46" si="21">+X38-X45</f>
        <v>288.33450000000005</v>
      </c>
      <c r="Y46" s="75">
        <f t="shared" si="21"/>
        <v>-302.08500000000004</v>
      </c>
      <c r="Z46" s="75">
        <f t="shared" si="21"/>
        <v>-616.9649999999998</v>
      </c>
      <c r="AA46" s="75">
        <f t="shared" si="21"/>
        <v>-1070.7439999999999</v>
      </c>
      <c r="AB46" s="75">
        <f t="shared" si="21"/>
        <v>-1295.4755</v>
      </c>
      <c r="AC46" s="75">
        <f t="shared" si="21"/>
        <v>-750.28449999999998</v>
      </c>
      <c r="AD46" s="75">
        <f t="shared" si="21"/>
        <v>-1080.7655000000002</v>
      </c>
      <c r="AE46" s="75">
        <f t="shared" si="21"/>
        <v>-866.33249999999998</v>
      </c>
      <c r="AF46" s="75">
        <f t="shared" si="21"/>
        <v>-469.88499999999988</v>
      </c>
    </row>
    <row r="47" spans="2:33">
      <c r="B47" t="s">
        <v>44</v>
      </c>
      <c r="C47" s="29" t="s">
        <v>157</v>
      </c>
      <c r="D47" s="67"/>
      <c r="E47" s="67"/>
      <c r="F47" s="341"/>
      <c r="G47" s="341"/>
      <c r="H47" s="295">
        <v>-5.5</v>
      </c>
      <c r="I47" s="295">
        <v>-0.6</v>
      </c>
      <c r="J47" s="67">
        <v>-5.0999999999999996</v>
      </c>
      <c r="K47" s="67">
        <v>-9.9</v>
      </c>
      <c r="L47" s="67">
        <v>-11.7</v>
      </c>
      <c r="M47" s="67">
        <v>0</v>
      </c>
      <c r="N47" s="67">
        <v>0</v>
      </c>
      <c r="O47" s="67">
        <v>0</v>
      </c>
      <c r="P47" s="67">
        <v>0</v>
      </c>
      <c r="Q47" s="149"/>
      <c r="R47" s="9"/>
      <c r="S47" s="218"/>
      <c r="T47" s="9"/>
      <c r="U47" s="9"/>
      <c r="V47" s="9"/>
      <c r="W47" s="9"/>
      <c r="X47" s="9"/>
      <c r="Y47" s="219"/>
      <c r="Z47" s="219"/>
      <c r="AA47" s="219"/>
      <c r="AB47" s="219"/>
      <c r="AC47" s="219"/>
      <c r="AD47" s="219"/>
      <c r="AE47" s="219"/>
      <c r="AF47" s="219"/>
      <c r="AG47" s="16"/>
    </row>
    <row r="48" spans="2:33" ht="13.5" thickBot="1">
      <c r="B48" t="s">
        <v>45</v>
      </c>
      <c r="D48" s="67">
        <v>251.4</v>
      </c>
      <c r="E48" s="67">
        <v>177.4</v>
      </c>
      <c r="F48" s="295">
        <v>121.7</v>
      </c>
      <c r="G48" s="295">
        <v>73.400000000000006</v>
      </c>
      <c r="H48" s="295">
        <v>-86.3</v>
      </c>
      <c r="I48" s="295">
        <v>-239.7</v>
      </c>
      <c r="J48" s="67">
        <v>-192.4</v>
      </c>
      <c r="K48" s="67">
        <v>-152.1</v>
      </c>
      <c r="L48" s="67">
        <v>-111.1</v>
      </c>
      <c r="M48" s="67">
        <v>-68.900000000000006</v>
      </c>
      <c r="N48" s="67">
        <v>-47.2</v>
      </c>
      <c r="O48" s="67">
        <v>-31.3</v>
      </c>
      <c r="P48" s="67">
        <v>-16.501000000000001</v>
      </c>
      <c r="Q48" s="149"/>
      <c r="R48" s="9"/>
      <c r="S48" s="40" t="s">
        <v>180</v>
      </c>
      <c r="T48" s="73">
        <f>+T32+T46</f>
        <v>7797.3</v>
      </c>
      <c r="U48" s="73">
        <f>+U32+U46</f>
        <v>7118.4</v>
      </c>
      <c r="V48" s="73">
        <f>+V32+V46</f>
        <v>6364.7</v>
      </c>
      <c r="W48" s="73">
        <f>+W32+W46</f>
        <v>5709.4999999999982</v>
      </c>
      <c r="X48" s="73">
        <f t="shared" ref="X48:AF48" si="22">+X32+X46</f>
        <v>4839.8</v>
      </c>
      <c r="Y48" s="73">
        <f t="shared" si="22"/>
        <v>4028.2</v>
      </c>
      <c r="Z48" s="73">
        <f t="shared" si="22"/>
        <v>3844.1</v>
      </c>
      <c r="AA48" s="73">
        <f t="shared" si="22"/>
        <v>3504.4000000000005</v>
      </c>
      <c r="AB48" s="73">
        <f t="shared" si="22"/>
        <v>3147.6999999999994</v>
      </c>
      <c r="AC48" s="73">
        <f t="shared" si="22"/>
        <v>3334.5999999999995</v>
      </c>
      <c r="AD48" s="73">
        <f t="shared" si="22"/>
        <v>3261.5999999999995</v>
      </c>
      <c r="AE48" s="73">
        <f t="shared" si="22"/>
        <v>3155.8999999999992</v>
      </c>
      <c r="AF48" s="73">
        <f t="shared" si="22"/>
        <v>2431.3879999999995</v>
      </c>
      <c r="AG48" s="74"/>
    </row>
    <row r="49" spans="2:33" s="66" customFormat="1" ht="13.5" thickTop="1">
      <c r="B49" t="s">
        <v>46</v>
      </c>
      <c r="C49" s="29"/>
      <c r="D49" s="67">
        <v>5073.3</v>
      </c>
      <c r="E49" s="67">
        <v>4885.2</v>
      </c>
      <c r="F49" s="295">
        <v>4713.3999999999996</v>
      </c>
      <c r="G49" s="295">
        <v>4396.5</v>
      </c>
      <c r="H49" s="295">
        <v>3982.9</v>
      </c>
      <c r="I49" s="321">
        <v>3639.2</v>
      </c>
      <c r="J49" s="74">
        <v>3495</v>
      </c>
      <c r="K49" s="74">
        <v>3194.3</v>
      </c>
      <c r="L49" s="74">
        <v>2887</v>
      </c>
      <c r="M49" s="74">
        <v>3066.5</v>
      </c>
      <c r="N49" s="74">
        <v>3043.4</v>
      </c>
      <c r="O49" s="74">
        <v>2973.7</v>
      </c>
      <c r="P49" s="74">
        <v>2290.2130000000002</v>
      </c>
      <c r="Q49" s="216"/>
      <c r="R49" s="217"/>
      <c r="S49"/>
      <c r="T49"/>
      <c r="U49"/>
      <c r="V49"/>
      <c r="W49"/>
      <c r="X49"/>
      <c r="Y49"/>
      <c r="Z49"/>
      <c r="AA49"/>
      <c r="AB49" s="9"/>
      <c r="AC49"/>
      <c r="AD49"/>
      <c r="AE49"/>
      <c r="AF49"/>
      <c r="AG49" s="37"/>
    </row>
    <row r="50" spans="2:33">
      <c r="B50" s="66" t="s">
        <v>47</v>
      </c>
      <c r="C50" s="214" t="s">
        <v>160</v>
      </c>
      <c r="D50" s="72">
        <f>SUM(D44:D49)</f>
        <v>7825.3000000000011</v>
      </c>
      <c r="E50" s="72">
        <f>SUM(E44:E49)</f>
        <v>7025.4</v>
      </c>
      <c r="F50" s="236">
        <v>6285.2</v>
      </c>
      <c r="G50" s="236">
        <v>5644.2</v>
      </c>
      <c r="H50" s="236">
        <v>4781.7</v>
      </c>
      <c r="I50" s="335">
        <v>3990.7</v>
      </c>
      <c r="J50" s="215">
        <v>3839</v>
      </c>
      <c r="K50" s="215">
        <v>3494.5</v>
      </c>
      <c r="L50" s="215">
        <v>3136</v>
      </c>
      <c r="M50" s="215">
        <v>3334.6</v>
      </c>
      <c r="N50" s="215">
        <v>3261.6</v>
      </c>
      <c r="O50" s="215">
        <v>3155.9</v>
      </c>
      <c r="P50" s="215">
        <v>2431.4</v>
      </c>
      <c r="Q50" s="149"/>
      <c r="R50" s="9"/>
    </row>
    <row r="51" spans="2:33" ht="13.5" thickBot="1">
      <c r="B51" s="7" t="s">
        <v>48</v>
      </c>
      <c r="C51" s="34"/>
      <c r="D51" s="73">
        <f>D37+D50+SUM(D38:D41)</f>
        <v>12442.7</v>
      </c>
      <c r="E51" s="73">
        <f>E37+E50+SUM(E38:E41)</f>
        <v>10688.3</v>
      </c>
      <c r="F51" s="336">
        <f>F37+F50+SUM(F38:F41)</f>
        <v>9869.6</v>
      </c>
      <c r="G51" s="336">
        <v>8793.6</v>
      </c>
      <c r="H51" s="336">
        <v>7908.7</v>
      </c>
      <c r="I51" s="323">
        <v>6821.1</v>
      </c>
      <c r="J51" s="78">
        <v>6440</v>
      </c>
      <c r="K51" s="78">
        <v>5819.6</v>
      </c>
      <c r="L51" s="78">
        <v>5856.9</v>
      </c>
      <c r="M51" s="78">
        <v>5247.7</v>
      </c>
      <c r="N51" s="78">
        <v>5397.4</v>
      </c>
      <c r="O51" s="78">
        <v>5361.2</v>
      </c>
      <c r="P51" s="78">
        <v>3951.6280000000002</v>
      </c>
    </row>
    <row r="52" spans="2:33" ht="13.5" thickTop="1">
      <c r="F52" s="334"/>
      <c r="G52" s="334"/>
      <c r="H52" s="334"/>
      <c r="I52" s="334"/>
    </row>
    <row r="54" spans="2:33">
      <c r="H54" s="212"/>
    </row>
    <row r="55" spans="2:33">
      <c r="C55" s="210"/>
      <c r="D55" s="210"/>
      <c r="E55" s="210"/>
      <c r="F55" s="210"/>
      <c r="G55" s="210"/>
      <c r="H55" s="212"/>
      <c r="I55" s="210"/>
      <c r="J55" s="210"/>
      <c r="K55"/>
    </row>
    <row r="56" spans="2:33">
      <c r="C56"/>
      <c r="D56"/>
      <c r="E56"/>
      <c r="F56"/>
      <c r="G56"/>
      <c r="H56" s="212"/>
      <c r="I56"/>
      <c r="J56"/>
      <c r="K56"/>
    </row>
    <row r="57" spans="2:33">
      <c r="C57" s="212"/>
      <c r="D57" s="212"/>
      <c r="E57" s="212"/>
      <c r="F57" s="212"/>
      <c r="G57" s="212"/>
      <c r="H57" s="212"/>
      <c r="I57" s="212"/>
      <c r="J57" s="212"/>
      <c r="K57"/>
    </row>
    <row r="58" spans="2:33">
      <c r="C58" s="212"/>
      <c r="D58" s="212"/>
      <c r="E58" s="212"/>
      <c r="F58" s="212"/>
      <c r="G58" s="212"/>
      <c r="H58" s="212"/>
      <c r="I58" s="212"/>
      <c r="J58" s="212"/>
      <c r="K58"/>
    </row>
    <row r="59" spans="2:33">
      <c r="C59" s="212"/>
      <c r="D59" s="212"/>
      <c r="E59" s="212"/>
      <c r="F59" s="212"/>
      <c r="G59" s="212"/>
      <c r="H59" s="212"/>
      <c r="I59" s="212"/>
      <c r="J59" s="212"/>
      <c r="K59"/>
    </row>
    <row r="60" spans="2:33">
      <c r="C60" s="212"/>
      <c r="D60" s="212"/>
      <c r="E60" s="212"/>
      <c r="F60" s="212"/>
      <c r="G60" s="212"/>
      <c r="H60" s="212"/>
      <c r="I60" s="212"/>
      <c r="J60" s="212"/>
      <c r="K60"/>
    </row>
    <row r="61" spans="2:33">
      <c r="C61" s="212"/>
      <c r="D61" s="212"/>
      <c r="E61" s="212"/>
      <c r="F61" s="212"/>
      <c r="G61" s="212"/>
      <c r="H61" s="212"/>
      <c r="I61" s="212"/>
      <c r="J61" s="212"/>
      <c r="K61"/>
    </row>
    <row r="62" spans="2:33">
      <c r="C62" s="212"/>
      <c r="D62" s="212"/>
      <c r="E62" s="212"/>
      <c r="F62" s="212"/>
      <c r="G62" s="212"/>
      <c r="H62" s="212"/>
      <c r="I62" s="212"/>
      <c r="J62" s="212"/>
      <c r="K62"/>
    </row>
    <row r="63" spans="2:33">
      <c r="C63" s="212"/>
      <c r="D63" s="212"/>
      <c r="E63" s="212"/>
      <c r="F63" s="212"/>
      <c r="G63" s="212"/>
      <c r="H63" s="212"/>
      <c r="I63" s="212"/>
      <c r="J63" s="212"/>
      <c r="K63"/>
    </row>
    <row r="64" spans="2:33">
      <c r="C64" s="212"/>
      <c r="D64" s="212"/>
      <c r="E64" s="212"/>
      <c r="F64" s="212"/>
      <c r="G64" s="212"/>
      <c r="H64"/>
      <c r="I64" s="212"/>
      <c r="J64" s="212"/>
      <c r="K64"/>
    </row>
    <row r="65" spans="3:11">
      <c r="C65" s="212"/>
      <c r="D65" s="212"/>
      <c r="E65" s="212"/>
      <c r="F65" s="212"/>
      <c r="G65" s="212"/>
      <c r="H65"/>
      <c r="I65" s="212"/>
      <c r="J65" s="212"/>
      <c r="K65"/>
    </row>
    <row r="66" spans="3:11">
      <c r="C66" s="212"/>
      <c r="D66" s="212"/>
      <c r="E66" s="212"/>
      <c r="F66" s="212"/>
      <c r="G66" s="212"/>
      <c r="H66" s="212"/>
      <c r="I66" s="212"/>
      <c r="J66" s="212"/>
      <c r="K66"/>
    </row>
    <row r="67" spans="3:11">
      <c r="C67" s="212"/>
      <c r="D67" s="212"/>
      <c r="E67" s="212"/>
      <c r="F67" s="212"/>
      <c r="G67" s="212"/>
      <c r="H67" s="212"/>
      <c r="I67" s="212"/>
      <c r="J67" s="212"/>
      <c r="K67"/>
    </row>
    <row r="68" spans="3:11">
      <c r="C68"/>
      <c r="D68"/>
      <c r="E68"/>
      <c r="F68"/>
      <c r="G68"/>
      <c r="H68" s="212"/>
      <c r="I68"/>
      <c r="J68"/>
      <c r="K68"/>
    </row>
    <row r="69" spans="3:11">
      <c r="C69"/>
      <c r="D69"/>
      <c r="E69"/>
      <c r="F69"/>
      <c r="G69"/>
      <c r="H69" s="212"/>
      <c r="I69"/>
      <c r="J69"/>
      <c r="K69"/>
    </row>
    <row r="70" spans="3:11">
      <c r="C70" s="212"/>
      <c r="D70" s="212"/>
      <c r="E70" s="212"/>
      <c r="F70" s="212"/>
      <c r="G70" s="212"/>
      <c r="H70" s="212"/>
      <c r="I70" s="212"/>
      <c r="J70" s="212"/>
      <c r="K70"/>
    </row>
    <row r="71" spans="3:11">
      <c r="C71" s="212"/>
      <c r="D71" s="212"/>
      <c r="E71" s="212"/>
      <c r="F71" s="212"/>
      <c r="G71" s="212"/>
      <c r="H71" s="212"/>
      <c r="I71" s="212"/>
      <c r="J71" s="212"/>
      <c r="K71"/>
    </row>
    <row r="72" spans="3:11">
      <c r="C72" s="212"/>
      <c r="D72" s="212"/>
      <c r="E72" s="212"/>
      <c r="F72" s="212"/>
      <c r="G72" s="212"/>
      <c r="H72" s="212"/>
      <c r="I72" s="212"/>
      <c r="J72" s="212"/>
      <c r="K72"/>
    </row>
    <row r="73" spans="3:11">
      <c r="C73" s="212"/>
      <c r="D73" s="212"/>
      <c r="E73" s="212"/>
      <c r="F73" s="212"/>
      <c r="G73" s="212"/>
      <c r="H73" s="212"/>
      <c r="I73" s="212"/>
      <c r="J73" s="212"/>
      <c r="K73"/>
    </row>
    <row r="74" spans="3:11">
      <c r="C74" s="212"/>
      <c r="D74" s="212"/>
      <c r="E74" s="212"/>
      <c r="F74" s="212"/>
      <c r="G74" s="212"/>
      <c r="H74" s="212"/>
      <c r="I74" s="212"/>
      <c r="J74" s="212"/>
      <c r="K74"/>
    </row>
    <row r="75" spans="3:11">
      <c r="C75" s="212"/>
      <c r="D75" s="212"/>
      <c r="E75" s="212"/>
      <c r="F75" s="212"/>
      <c r="G75" s="212"/>
      <c r="H75" s="212"/>
      <c r="I75" s="212"/>
      <c r="J75" s="212"/>
      <c r="K75"/>
    </row>
    <row r="76" spans="3:11">
      <c r="C76" s="212"/>
      <c r="D76" s="212"/>
      <c r="E76" s="212"/>
      <c r="F76" s="212"/>
      <c r="G76" s="212"/>
      <c r="H76"/>
      <c r="I76" s="212"/>
      <c r="J76" s="212"/>
      <c r="K76"/>
    </row>
    <row r="77" spans="3:11">
      <c r="C77" s="212"/>
      <c r="D77" s="212"/>
      <c r="E77" s="212"/>
      <c r="F77" s="212"/>
      <c r="G77" s="212"/>
      <c r="H77"/>
      <c r="I77" s="212"/>
      <c r="J77" s="212"/>
      <c r="K77"/>
    </row>
    <row r="78" spans="3:11">
      <c r="C78" s="212"/>
      <c r="D78" s="212"/>
      <c r="E78" s="212"/>
      <c r="F78" s="212"/>
      <c r="G78" s="212"/>
      <c r="H78" s="212"/>
      <c r="I78" s="212"/>
      <c r="J78" s="212"/>
      <c r="K78"/>
    </row>
    <row r="79" spans="3:11">
      <c r="C79" s="212"/>
      <c r="D79" s="212"/>
      <c r="E79" s="212"/>
      <c r="F79" s="212"/>
      <c r="G79" s="212"/>
      <c r="H79" s="212"/>
      <c r="I79" s="212"/>
      <c r="J79" s="212"/>
      <c r="K79"/>
    </row>
    <row r="80" spans="3:11">
      <c r="C80"/>
      <c r="D80"/>
      <c r="E80"/>
      <c r="F80"/>
      <c r="G80"/>
      <c r="H80" s="212"/>
      <c r="I80"/>
      <c r="J80"/>
      <c r="K80"/>
    </row>
    <row r="81" spans="3:11">
      <c r="C81"/>
      <c r="D81"/>
      <c r="E81"/>
      <c r="F81"/>
      <c r="G81"/>
      <c r="H81" s="212"/>
      <c r="I81"/>
      <c r="J81"/>
      <c r="K81"/>
    </row>
    <row r="82" spans="3:11">
      <c r="C82" s="212"/>
      <c r="D82" s="212"/>
      <c r="E82" s="212"/>
      <c r="F82" s="212"/>
      <c r="G82" s="212"/>
      <c r="H82" s="212"/>
      <c r="I82" s="212"/>
      <c r="J82" s="212"/>
      <c r="K82"/>
    </row>
    <row r="83" spans="3:11">
      <c r="C83" s="212"/>
      <c r="D83" s="212"/>
      <c r="E83" s="212"/>
      <c r="F83" s="212"/>
      <c r="G83" s="212"/>
      <c r="H83" s="212"/>
      <c r="I83" s="212"/>
      <c r="J83" s="212"/>
      <c r="K83"/>
    </row>
    <row r="84" spans="3:11">
      <c r="C84" s="212"/>
      <c r="D84" s="212"/>
      <c r="E84" s="212"/>
      <c r="F84" s="212"/>
      <c r="G84" s="212"/>
      <c r="H84" s="212"/>
      <c r="I84" s="212"/>
      <c r="J84" s="212"/>
      <c r="K84"/>
    </row>
    <row r="85" spans="3:11">
      <c r="C85" s="212"/>
      <c r="D85" s="212"/>
      <c r="E85" s="212"/>
      <c r="F85" s="212"/>
      <c r="G85" s="212"/>
      <c r="H85" s="212"/>
      <c r="I85" s="212"/>
      <c r="J85" s="212"/>
      <c r="K85"/>
    </row>
    <row r="86" spans="3:11">
      <c r="C86" s="212"/>
      <c r="D86" s="212"/>
      <c r="E86" s="212"/>
      <c r="F86" s="212"/>
      <c r="G86" s="212"/>
      <c r="H86"/>
      <c r="I86" s="212"/>
      <c r="J86" s="212"/>
      <c r="K86"/>
    </row>
    <row r="87" spans="3:11">
      <c r="C87" s="212"/>
      <c r="D87" s="212"/>
      <c r="E87" s="212"/>
      <c r="F87" s="212"/>
      <c r="G87" s="212"/>
      <c r="H87"/>
      <c r="I87" s="212"/>
      <c r="J87" s="212"/>
      <c r="K87"/>
    </row>
    <row r="88" spans="3:11">
      <c r="C88" s="212"/>
      <c r="D88" s="212"/>
      <c r="E88" s="212"/>
      <c r="F88" s="212"/>
      <c r="G88" s="212"/>
      <c r="H88"/>
      <c r="I88" s="212"/>
      <c r="J88" s="212"/>
      <c r="K88"/>
    </row>
    <row r="89" spans="3:11">
      <c r="C89" s="212"/>
      <c r="D89" s="212"/>
      <c r="E89" s="212"/>
      <c r="F89" s="212"/>
      <c r="G89" s="212"/>
      <c r="H89"/>
      <c r="I89" s="212"/>
      <c r="J89" s="212"/>
      <c r="K89"/>
    </row>
    <row r="90" spans="3:11">
      <c r="C90"/>
      <c r="D90"/>
      <c r="E90"/>
      <c r="F90"/>
      <c r="G90"/>
      <c r="H90"/>
      <c r="I90"/>
      <c r="J90"/>
      <c r="K90"/>
    </row>
    <row r="91" spans="3:11">
      <c r="C91"/>
      <c r="D91"/>
      <c r="E91"/>
      <c r="F91"/>
      <c r="G91"/>
      <c r="H91"/>
      <c r="I91"/>
      <c r="J91"/>
      <c r="K91"/>
    </row>
    <row r="92" spans="3:11">
      <c r="C92"/>
      <c r="D92"/>
      <c r="E92"/>
      <c r="F92"/>
      <c r="G92"/>
      <c r="H92"/>
      <c r="I92"/>
      <c r="J92"/>
      <c r="K92"/>
    </row>
    <row r="93" spans="3:11">
      <c r="C93"/>
      <c r="D93"/>
      <c r="E93"/>
      <c r="F93"/>
      <c r="G93"/>
      <c r="H93"/>
      <c r="I93"/>
      <c r="J93"/>
      <c r="K93"/>
    </row>
    <row r="94" spans="3:11">
      <c r="C94"/>
      <c r="D94"/>
      <c r="E94"/>
      <c r="F94"/>
      <c r="G94"/>
      <c r="H94"/>
      <c r="I94"/>
      <c r="J94"/>
      <c r="K94"/>
    </row>
    <row r="95" spans="3:11">
      <c r="C95"/>
      <c r="D95"/>
      <c r="E95"/>
      <c r="F95"/>
      <c r="G95"/>
      <c r="H95"/>
      <c r="I95"/>
      <c r="J95"/>
      <c r="K95"/>
    </row>
    <row r="96" spans="3:11">
      <c r="C96"/>
      <c r="D96"/>
      <c r="E96"/>
      <c r="F96"/>
      <c r="G96"/>
      <c r="H96"/>
      <c r="I96"/>
      <c r="J96"/>
      <c r="K96"/>
    </row>
    <row r="97" spans="3:11">
      <c r="C97"/>
      <c r="D97"/>
      <c r="E97"/>
      <c r="F97"/>
      <c r="G97"/>
      <c r="H97"/>
      <c r="I97"/>
      <c r="J97"/>
      <c r="K97"/>
    </row>
    <row r="98" spans="3:11">
      <c r="C98"/>
      <c r="D98"/>
      <c r="E98"/>
      <c r="F98"/>
      <c r="G98"/>
      <c r="H98"/>
      <c r="I98"/>
      <c r="J98"/>
      <c r="K98"/>
    </row>
    <row r="99" spans="3:11">
      <c r="C99"/>
      <c r="D99"/>
      <c r="E99"/>
      <c r="F99"/>
      <c r="G99"/>
      <c r="H99"/>
      <c r="I99"/>
      <c r="J99"/>
      <c r="K99"/>
    </row>
    <row r="100" spans="3:11">
      <c r="C100"/>
      <c r="D100"/>
      <c r="E100"/>
      <c r="F100"/>
      <c r="G100"/>
      <c r="H100"/>
      <c r="I100"/>
      <c r="J100"/>
      <c r="K100"/>
    </row>
    <row r="101" spans="3:11">
      <c r="C101"/>
      <c r="D101"/>
      <c r="E101"/>
      <c r="F101"/>
      <c r="G101"/>
      <c r="H101"/>
      <c r="I101"/>
      <c r="J101"/>
      <c r="K101"/>
    </row>
    <row r="102" spans="3:11">
      <c r="C102"/>
      <c r="D102"/>
      <c r="E102"/>
      <c r="F102"/>
      <c r="G102"/>
      <c r="H102"/>
      <c r="I102"/>
      <c r="J102"/>
      <c r="K102"/>
    </row>
    <row r="103" spans="3:11">
      <c r="C103"/>
      <c r="D103"/>
      <c r="E103"/>
      <c r="F103"/>
      <c r="G103"/>
      <c r="H103"/>
      <c r="I103"/>
      <c r="J103"/>
      <c r="K103"/>
    </row>
    <row r="104" spans="3:11">
      <c r="C104"/>
      <c r="D104"/>
      <c r="E104"/>
      <c r="F104"/>
      <c r="G104"/>
      <c r="H104"/>
      <c r="I104"/>
      <c r="J104"/>
      <c r="K104"/>
    </row>
    <row r="105" spans="3:11">
      <c r="C105"/>
      <c r="D105"/>
      <c r="E105"/>
      <c r="F105"/>
      <c r="G105"/>
      <c r="H105"/>
      <c r="I105"/>
      <c r="J105"/>
      <c r="K105"/>
    </row>
    <row r="106" spans="3:11">
      <c r="C106"/>
      <c r="D106"/>
      <c r="E106"/>
      <c r="F106"/>
      <c r="G106"/>
      <c r="H106"/>
      <c r="I106"/>
      <c r="J106"/>
      <c r="K106"/>
    </row>
    <row r="107" spans="3:11">
      <c r="C107"/>
      <c r="D107"/>
      <c r="E107"/>
      <c r="F107"/>
      <c r="G107"/>
      <c r="H107"/>
      <c r="I107"/>
      <c r="J107"/>
      <c r="K107"/>
    </row>
    <row r="108" spans="3:11">
      <c r="C108"/>
      <c r="D108"/>
      <c r="E108"/>
      <c r="F108"/>
      <c r="G108"/>
      <c r="H108"/>
      <c r="I108"/>
      <c r="J108"/>
      <c r="K108"/>
    </row>
    <row r="109" spans="3:11">
      <c r="C109"/>
      <c r="D109"/>
      <c r="E109"/>
      <c r="F109"/>
      <c r="G109"/>
      <c r="H109"/>
      <c r="I109"/>
      <c r="J109"/>
      <c r="K109"/>
    </row>
    <row r="110" spans="3:11">
      <c r="C110"/>
      <c r="D110"/>
      <c r="E110"/>
      <c r="F110"/>
      <c r="G110"/>
      <c r="H110"/>
      <c r="I110"/>
      <c r="J110"/>
      <c r="K110"/>
    </row>
    <row r="111" spans="3:11">
      <c r="C111"/>
      <c r="D111"/>
      <c r="E111"/>
      <c r="F111"/>
      <c r="G111"/>
      <c r="H111"/>
      <c r="I111"/>
      <c r="J111"/>
      <c r="K111"/>
    </row>
    <row r="112" spans="3:11">
      <c r="C112"/>
      <c r="D112"/>
      <c r="E112"/>
      <c r="F112"/>
      <c r="G112"/>
      <c r="H112"/>
      <c r="I112"/>
      <c r="J112"/>
      <c r="K112"/>
    </row>
    <row r="113" spans="3:11">
      <c r="C113"/>
      <c r="D113"/>
      <c r="E113"/>
      <c r="F113"/>
      <c r="G113"/>
      <c r="H113"/>
      <c r="I113"/>
      <c r="J113"/>
      <c r="K113"/>
    </row>
    <row r="114" spans="3:11">
      <c r="C114"/>
      <c r="D114"/>
      <c r="E114"/>
      <c r="F114"/>
      <c r="G114"/>
      <c r="H114"/>
      <c r="I114"/>
      <c r="J114"/>
      <c r="K114"/>
    </row>
    <row r="115" spans="3:11">
      <c r="C115"/>
      <c r="D115"/>
      <c r="E115"/>
      <c r="F115"/>
      <c r="G115"/>
      <c r="H115"/>
      <c r="I115"/>
      <c r="J115"/>
      <c r="K115"/>
    </row>
    <row r="116" spans="3:11">
      <c r="C116"/>
      <c r="D116"/>
      <c r="E116"/>
      <c r="F116"/>
      <c r="G116"/>
      <c r="H116"/>
      <c r="I116"/>
      <c r="J116"/>
      <c r="K116"/>
    </row>
    <row r="117" spans="3:11">
      <c r="C117"/>
      <c r="D117"/>
      <c r="E117"/>
      <c r="F117"/>
      <c r="G117"/>
      <c r="H117"/>
      <c r="I117"/>
      <c r="J117"/>
      <c r="K117"/>
    </row>
    <row r="118" spans="3:11">
      <c r="C118"/>
      <c r="D118"/>
      <c r="E118"/>
      <c r="F118"/>
      <c r="G118"/>
      <c r="H118"/>
      <c r="I118"/>
      <c r="J118"/>
      <c r="K118"/>
    </row>
    <row r="119" spans="3:11">
      <c r="C119"/>
      <c r="D119"/>
      <c r="E119"/>
      <c r="F119"/>
      <c r="G119"/>
      <c r="H119"/>
      <c r="I119"/>
      <c r="J119"/>
      <c r="K119"/>
    </row>
    <row r="120" spans="3:11">
      <c r="C120"/>
      <c r="D120"/>
      <c r="E120"/>
      <c r="F120"/>
      <c r="G120"/>
      <c r="H120"/>
      <c r="I120"/>
      <c r="J120"/>
      <c r="K120"/>
    </row>
    <row r="121" spans="3:11">
      <c r="C121"/>
      <c r="D121"/>
      <c r="E121"/>
      <c r="F121"/>
      <c r="G121"/>
      <c r="H121"/>
      <c r="I121"/>
      <c r="J121"/>
      <c r="K121"/>
    </row>
    <row r="122" spans="3:11">
      <c r="C122"/>
      <c r="D122"/>
      <c r="E122"/>
      <c r="F122"/>
      <c r="G122"/>
      <c r="H122"/>
      <c r="I122"/>
      <c r="J122"/>
      <c r="K122"/>
    </row>
    <row r="123" spans="3:11">
      <c r="C123"/>
      <c r="D123"/>
      <c r="E123"/>
      <c r="F123"/>
      <c r="G123"/>
      <c r="H123"/>
      <c r="I123"/>
      <c r="J123"/>
      <c r="K123"/>
    </row>
    <row r="124" spans="3:11">
      <c r="C124"/>
      <c r="D124"/>
      <c r="E124"/>
      <c r="F124"/>
      <c r="G124"/>
      <c r="H124"/>
      <c r="I124"/>
      <c r="J124"/>
      <c r="K124"/>
    </row>
    <row r="125" spans="3:11">
      <c r="C125"/>
      <c r="D125"/>
      <c r="E125"/>
      <c r="F125"/>
      <c r="G125"/>
      <c r="H125"/>
      <c r="I125"/>
      <c r="J125"/>
      <c r="K125"/>
    </row>
    <row r="126" spans="3:11">
      <c r="C126"/>
      <c r="D126"/>
      <c r="E126"/>
      <c r="F126"/>
      <c r="G126"/>
      <c r="H126"/>
      <c r="I126"/>
      <c r="J126"/>
      <c r="K126"/>
    </row>
    <row r="127" spans="3:11">
      <c r="C127"/>
      <c r="D127"/>
      <c r="E127"/>
      <c r="F127"/>
      <c r="G127"/>
      <c r="H127"/>
      <c r="I127"/>
      <c r="J127"/>
      <c r="K127"/>
    </row>
    <row r="128" spans="3:11">
      <c r="C128"/>
      <c r="D128"/>
      <c r="E128"/>
      <c r="F128"/>
      <c r="G128"/>
      <c r="H128"/>
      <c r="I128"/>
      <c r="J128"/>
      <c r="K128"/>
    </row>
    <row r="129" spans="3:11">
      <c r="C129"/>
      <c r="D129"/>
      <c r="E129"/>
      <c r="F129"/>
      <c r="G129"/>
      <c r="H129"/>
      <c r="I129"/>
      <c r="J129"/>
      <c r="K129"/>
    </row>
    <row r="130" spans="3:11">
      <c r="C130"/>
      <c r="D130"/>
      <c r="E130"/>
      <c r="F130"/>
      <c r="G130"/>
      <c r="H130"/>
      <c r="I130"/>
      <c r="J130"/>
      <c r="K130"/>
    </row>
    <row r="131" spans="3:11">
      <c r="C131"/>
      <c r="D131"/>
      <c r="E131"/>
      <c r="F131"/>
      <c r="G131"/>
      <c r="H131"/>
      <c r="I131"/>
      <c r="J131"/>
      <c r="K131"/>
    </row>
    <row r="132" spans="3:11">
      <c r="C132"/>
      <c r="D132"/>
      <c r="E132"/>
      <c r="F132"/>
      <c r="G132"/>
      <c r="H132"/>
      <c r="I132"/>
      <c r="J132"/>
      <c r="K132"/>
    </row>
    <row r="133" spans="3:11">
      <c r="C133"/>
      <c r="D133"/>
      <c r="E133"/>
      <c r="F133"/>
      <c r="G133"/>
      <c r="H133"/>
      <c r="I133"/>
      <c r="J133"/>
      <c r="K133"/>
    </row>
    <row r="134" spans="3:11">
      <c r="C134"/>
      <c r="D134"/>
      <c r="E134"/>
      <c r="F134"/>
      <c r="G134"/>
      <c r="H134"/>
      <c r="I134"/>
      <c r="J134"/>
      <c r="K134"/>
    </row>
    <row r="135" spans="3:11">
      <c r="C135"/>
      <c r="D135"/>
      <c r="E135"/>
      <c r="F135"/>
      <c r="G135"/>
      <c r="H135"/>
      <c r="I135"/>
      <c r="J135"/>
      <c r="K135"/>
    </row>
    <row r="136" spans="3:11">
      <c r="C136"/>
      <c r="D136"/>
      <c r="E136"/>
      <c r="F136"/>
      <c r="G136"/>
      <c r="H136"/>
      <c r="I136"/>
      <c r="J136"/>
      <c r="K136"/>
    </row>
    <row r="137" spans="3:11">
      <c r="C137"/>
      <c r="D137"/>
      <c r="E137"/>
      <c r="F137"/>
      <c r="G137"/>
      <c r="H137"/>
      <c r="I137"/>
      <c r="J137"/>
      <c r="K137"/>
    </row>
    <row r="138" spans="3:11">
      <c r="C138"/>
      <c r="D138"/>
      <c r="E138"/>
      <c r="F138"/>
      <c r="G138"/>
      <c r="H138"/>
      <c r="I138"/>
      <c r="J138"/>
      <c r="K138"/>
    </row>
    <row r="139" spans="3:11">
      <c r="C139"/>
      <c r="D139"/>
      <c r="E139"/>
      <c r="F139"/>
      <c r="G139"/>
      <c r="H139"/>
      <c r="I139"/>
      <c r="J139"/>
      <c r="K139"/>
    </row>
    <row r="140" spans="3:11">
      <c r="C140"/>
      <c r="D140"/>
      <c r="E140"/>
      <c r="F140"/>
      <c r="G140"/>
      <c r="H140"/>
      <c r="I140"/>
      <c r="J140"/>
      <c r="K140"/>
    </row>
    <row r="141" spans="3:11">
      <c r="C141"/>
      <c r="D141"/>
      <c r="E141"/>
      <c r="F141"/>
      <c r="G141"/>
      <c r="H141"/>
      <c r="I141"/>
      <c r="J141"/>
      <c r="K141"/>
    </row>
    <row r="142" spans="3:11">
      <c r="C142"/>
      <c r="D142"/>
      <c r="E142"/>
      <c r="F142"/>
      <c r="G142"/>
      <c r="H142"/>
      <c r="I142"/>
      <c r="J142"/>
      <c r="K142"/>
    </row>
    <row r="143" spans="3:11">
      <c r="C143"/>
      <c r="D143"/>
      <c r="E143"/>
      <c r="F143"/>
      <c r="G143"/>
      <c r="H143"/>
      <c r="I143"/>
      <c r="J143"/>
      <c r="K143"/>
    </row>
    <row r="144" spans="3:11">
      <c r="C144"/>
      <c r="D144"/>
      <c r="E144"/>
      <c r="F144"/>
      <c r="G144"/>
      <c r="H144"/>
      <c r="I144"/>
      <c r="J144"/>
      <c r="K144"/>
    </row>
    <row r="145" spans="3:11">
      <c r="C145"/>
      <c r="D145"/>
      <c r="E145"/>
      <c r="F145"/>
      <c r="G145"/>
      <c r="H145"/>
      <c r="I145"/>
      <c r="J145"/>
      <c r="K145"/>
    </row>
    <row r="146" spans="3:11">
      <c r="C146"/>
      <c r="D146"/>
      <c r="E146"/>
      <c r="F146"/>
      <c r="G146"/>
      <c r="H146"/>
      <c r="I146"/>
      <c r="J146"/>
      <c r="K146"/>
    </row>
    <row r="147" spans="3:11">
      <c r="C147"/>
      <c r="D147"/>
      <c r="E147"/>
      <c r="F147"/>
      <c r="G147"/>
      <c r="H147"/>
      <c r="I147"/>
      <c r="J147"/>
      <c r="K147"/>
    </row>
    <row r="148" spans="3:11">
      <c r="C148"/>
      <c r="D148"/>
      <c r="E148"/>
      <c r="F148"/>
      <c r="G148"/>
      <c r="H148"/>
      <c r="I148"/>
      <c r="J148"/>
      <c r="K148"/>
    </row>
    <row r="149" spans="3:11">
      <c r="C149"/>
      <c r="D149"/>
      <c r="E149"/>
      <c r="F149"/>
      <c r="G149"/>
      <c r="H149"/>
      <c r="I149"/>
      <c r="J149"/>
      <c r="K149"/>
    </row>
    <row r="150" spans="3:11">
      <c r="C150"/>
      <c r="D150"/>
      <c r="E150"/>
      <c r="F150"/>
      <c r="G150"/>
      <c r="H150"/>
      <c r="I150"/>
      <c r="J150"/>
      <c r="K150"/>
    </row>
    <row r="151" spans="3:11">
      <c r="C151"/>
      <c r="D151"/>
      <c r="E151"/>
      <c r="F151"/>
      <c r="G151"/>
      <c r="H151"/>
      <c r="I151"/>
      <c r="J151"/>
      <c r="K151"/>
    </row>
    <row r="152" spans="3:11">
      <c r="C152"/>
      <c r="D152"/>
      <c r="E152"/>
      <c r="F152"/>
      <c r="G152"/>
      <c r="H152"/>
      <c r="I152"/>
      <c r="J152"/>
      <c r="K152"/>
    </row>
    <row r="153" spans="3:11">
      <c r="C153"/>
      <c r="D153"/>
      <c r="E153"/>
      <c r="F153"/>
      <c r="G153"/>
      <c r="H153"/>
      <c r="I153"/>
      <c r="J153"/>
      <c r="K153"/>
    </row>
    <row r="154" spans="3:11">
      <c r="C154"/>
      <c r="D154"/>
      <c r="E154"/>
      <c r="F154"/>
      <c r="G154"/>
      <c r="H154"/>
      <c r="I154"/>
      <c r="J154"/>
      <c r="K154"/>
    </row>
    <row r="155" spans="3:11">
      <c r="C155"/>
      <c r="D155"/>
      <c r="E155"/>
      <c r="F155"/>
      <c r="G155"/>
      <c r="H155"/>
      <c r="I155"/>
      <c r="J155"/>
      <c r="K155"/>
    </row>
    <row r="156" spans="3:11">
      <c r="C156"/>
      <c r="D156"/>
      <c r="E156"/>
      <c r="F156"/>
      <c r="G156"/>
      <c r="H156"/>
      <c r="I156"/>
      <c r="J156"/>
      <c r="K156"/>
    </row>
    <row r="157" spans="3:11">
      <c r="C157"/>
      <c r="D157"/>
      <c r="E157"/>
      <c r="F157"/>
      <c r="G157"/>
      <c r="H157"/>
      <c r="I157"/>
      <c r="J157"/>
      <c r="K157"/>
    </row>
    <row r="158" spans="3:11">
      <c r="C158"/>
      <c r="D158"/>
      <c r="E158"/>
      <c r="F158"/>
      <c r="G158"/>
      <c r="H158"/>
      <c r="I158"/>
      <c r="J158"/>
      <c r="K158"/>
    </row>
    <row r="159" spans="3:11">
      <c r="C159"/>
      <c r="D159"/>
      <c r="E159"/>
      <c r="F159"/>
      <c r="G159"/>
      <c r="H159"/>
      <c r="I159"/>
      <c r="J159"/>
      <c r="K159"/>
    </row>
    <row r="160" spans="3:11">
      <c r="C160"/>
      <c r="D160"/>
      <c r="E160"/>
      <c r="F160"/>
      <c r="G160"/>
      <c r="H160"/>
      <c r="I160"/>
      <c r="J160"/>
      <c r="K160"/>
    </row>
    <row r="161" spans="3:11">
      <c r="C161"/>
      <c r="D161"/>
      <c r="E161"/>
      <c r="F161"/>
      <c r="G161"/>
      <c r="H161"/>
      <c r="I161"/>
      <c r="J161"/>
      <c r="K161"/>
    </row>
    <row r="162" spans="3:11">
      <c r="C162"/>
      <c r="D162"/>
      <c r="E162"/>
      <c r="F162"/>
      <c r="G162"/>
      <c r="H162"/>
      <c r="I162"/>
      <c r="J162"/>
      <c r="K162"/>
    </row>
    <row r="163" spans="3:11">
      <c r="C163"/>
      <c r="D163"/>
      <c r="E163"/>
      <c r="F163"/>
      <c r="G163"/>
      <c r="H163"/>
      <c r="I163"/>
      <c r="J163"/>
      <c r="K163"/>
    </row>
    <row r="164" spans="3:11">
      <c r="C164"/>
      <c r="D164"/>
      <c r="E164"/>
      <c r="F164"/>
      <c r="G164"/>
      <c r="H164"/>
      <c r="I164"/>
      <c r="J164"/>
      <c r="K164"/>
    </row>
    <row r="165" spans="3:11">
      <c r="C165"/>
      <c r="D165"/>
      <c r="E165"/>
      <c r="F165"/>
      <c r="G165"/>
      <c r="H165"/>
      <c r="I165"/>
      <c r="J165"/>
      <c r="K165"/>
    </row>
    <row r="166" spans="3:11">
      <c r="C166"/>
      <c r="D166"/>
      <c r="E166"/>
      <c r="F166"/>
      <c r="G166"/>
      <c r="H166"/>
      <c r="I166"/>
      <c r="J166"/>
      <c r="K166"/>
    </row>
    <row r="167" spans="3:11">
      <c r="C167"/>
      <c r="D167"/>
      <c r="E167"/>
      <c r="F167"/>
      <c r="G167"/>
      <c r="H167"/>
      <c r="I167"/>
      <c r="J167"/>
      <c r="K167"/>
    </row>
    <row r="168" spans="3:11">
      <c r="C168"/>
      <c r="D168"/>
      <c r="E168"/>
      <c r="F168"/>
      <c r="G168"/>
      <c r="H168"/>
      <c r="I168"/>
      <c r="J168"/>
      <c r="K168"/>
    </row>
    <row r="169" spans="3:11">
      <c r="C169"/>
      <c r="D169"/>
      <c r="E169"/>
      <c r="F169"/>
      <c r="G169"/>
      <c r="H169"/>
      <c r="I169"/>
      <c r="J169"/>
      <c r="K169"/>
    </row>
    <row r="170" spans="3:11">
      <c r="C170"/>
      <c r="D170"/>
      <c r="E170"/>
      <c r="F170"/>
      <c r="G170"/>
      <c r="H170"/>
      <c r="I170"/>
      <c r="J170"/>
      <c r="K170"/>
    </row>
    <row r="171" spans="3:11">
      <c r="C171"/>
      <c r="D171"/>
      <c r="E171"/>
      <c r="F171"/>
      <c r="G171"/>
      <c r="H171"/>
      <c r="I171"/>
      <c r="J171"/>
      <c r="K171"/>
    </row>
    <row r="172" spans="3:11">
      <c r="C172"/>
      <c r="D172"/>
      <c r="E172"/>
      <c r="F172"/>
      <c r="G172"/>
      <c r="H172"/>
      <c r="I172"/>
      <c r="J172"/>
      <c r="K172"/>
    </row>
    <row r="173" spans="3:11">
      <c r="C173"/>
      <c r="D173"/>
      <c r="E173"/>
      <c r="F173"/>
      <c r="G173"/>
      <c r="H173"/>
      <c r="I173"/>
      <c r="J173"/>
      <c r="K173"/>
    </row>
    <row r="174" spans="3:11">
      <c r="C174"/>
      <c r="D174"/>
      <c r="E174"/>
      <c r="F174"/>
      <c r="G174"/>
      <c r="H174"/>
      <c r="I174"/>
      <c r="J174"/>
      <c r="K174"/>
    </row>
    <row r="175" spans="3:11">
      <c r="C175"/>
      <c r="D175"/>
      <c r="E175"/>
      <c r="F175"/>
      <c r="G175"/>
      <c r="H175"/>
      <c r="I175"/>
      <c r="J175"/>
      <c r="K175"/>
    </row>
    <row r="176" spans="3:11">
      <c r="C176"/>
      <c r="D176"/>
      <c r="E176"/>
      <c r="F176"/>
      <c r="G176"/>
      <c r="H176"/>
      <c r="I176"/>
      <c r="J176"/>
      <c r="K176"/>
    </row>
    <row r="177" spans="3:11">
      <c r="C177"/>
      <c r="D177"/>
      <c r="E177"/>
      <c r="F177"/>
      <c r="G177"/>
      <c r="H177"/>
      <c r="I177"/>
      <c r="J177"/>
      <c r="K177"/>
    </row>
    <row r="178" spans="3:11">
      <c r="C178"/>
      <c r="D178"/>
      <c r="E178"/>
      <c r="F178"/>
      <c r="G178"/>
      <c r="H178"/>
      <c r="I178"/>
      <c r="J178"/>
      <c r="K178"/>
    </row>
    <row r="179" spans="3:11">
      <c r="C179"/>
      <c r="D179"/>
      <c r="E179"/>
      <c r="F179"/>
      <c r="G179"/>
      <c r="H179"/>
      <c r="I179"/>
      <c r="J179"/>
      <c r="K179"/>
    </row>
    <row r="180" spans="3:11">
      <c r="C180"/>
      <c r="D180"/>
      <c r="E180"/>
      <c r="F180"/>
      <c r="G180"/>
      <c r="H180"/>
      <c r="I180"/>
      <c r="J180"/>
      <c r="K180"/>
    </row>
    <row r="181" spans="3:11">
      <c r="C181"/>
      <c r="D181"/>
      <c r="E181"/>
      <c r="F181"/>
      <c r="G181"/>
      <c r="H181"/>
      <c r="I181"/>
      <c r="J181"/>
      <c r="K181"/>
    </row>
    <row r="182" spans="3:11">
      <c r="C182"/>
      <c r="D182"/>
      <c r="E182"/>
      <c r="F182"/>
      <c r="G182"/>
      <c r="H182"/>
      <c r="I182"/>
      <c r="J182"/>
      <c r="K182"/>
    </row>
    <row r="183" spans="3:11">
      <c r="C183"/>
      <c r="D183"/>
      <c r="E183"/>
      <c r="F183"/>
      <c r="G183"/>
      <c r="H183"/>
      <c r="I183"/>
      <c r="J183"/>
      <c r="K183"/>
    </row>
    <row r="184" spans="3:11">
      <c r="C184"/>
      <c r="D184"/>
      <c r="E184"/>
      <c r="F184"/>
      <c r="G184"/>
      <c r="H184"/>
      <c r="I184"/>
      <c r="J184"/>
      <c r="K184"/>
    </row>
    <row r="185" spans="3:11">
      <c r="C185"/>
      <c r="D185"/>
      <c r="E185"/>
      <c r="F185"/>
      <c r="G185"/>
      <c r="H185"/>
      <c r="I185"/>
      <c r="J185"/>
      <c r="K185"/>
    </row>
    <row r="186" spans="3:11">
      <c r="C186"/>
      <c r="D186"/>
      <c r="E186"/>
      <c r="F186"/>
      <c r="G186"/>
      <c r="H186"/>
      <c r="I186"/>
      <c r="J186"/>
      <c r="K186"/>
    </row>
    <row r="187" spans="3:11">
      <c r="C187"/>
      <c r="D187"/>
      <c r="E187"/>
      <c r="F187"/>
      <c r="G187"/>
      <c r="H187"/>
      <c r="I187"/>
      <c r="J187"/>
      <c r="K187"/>
    </row>
    <row r="188" spans="3:11">
      <c r="C188"/>
      <c r="D188"/>
      <c r="E188"/>
      <c r="F188"/>
      <c r="G188"/>
      <c r="H188"/>
      <c r="I188"/>
      <c r="J188"/>
      <c r="K188"/>
    </row>
    <row r="189" spans="3:11">
      <c r="C189"/>
      <c r="D189"/>
      <c r="E189"/>
      <c r="F189"/>
      <c r="G189"/>
      <c r="H189"/>
      <c r="I189"/>
      <c r="J189"/>
      <c r="K189"/>
    </row>
    <row r="190" spans="3:11">
      <c r="C190"/>
      <c r="D190"/>
      <c r="E190"/>
      <c r="F190"/>
      <c r="G190"/>
      <c r="H190"/>
      <c r="I190"/>
      <c r="J190"/>
      <c r="K190"/>
    </row>
    <row r="191" spans="3:11">
      <c r="C191"/>
      <c r="D191"/>
      <c r="E191"/>
      <c r="F191"/>
      <c r="G191"/>
      <c r="H191"/>
      <c r="I191"/>
      <c r="J191"/>
      <c r="K191"/>
    </row>
    <row r="192" spans="3:11">
      <c r="C192"/>
      <c r="D192"/>
      <c r="E192"/>
      <c r="F192"/>
      <c r="G192"/>
      <c r="H192"/>
      <c r="I192"/>
      <c r="J192"/>
      <c r="K192"/>
    </row>
    <row r="193" spans="3:11">
      <c r="C193"/>
      <c r="D193"/>
      <c r="E193"/>
      <c r="F193"/>
      <c r="G193"/>
      <c r="H193"/>
      <c r="I193"/>
      <c r="J193"/>
      <c r="K193"/>
    </row>
    <row r="194" spans="3:11">
      <c r="C194"/>
      <c r="D194"/>
      <c r="E194"/>
      <c r="F194"/>
      <c r="G194"/>
      <c r="H194"/>
      <c r="I194"/>
      <c r="J194"/>
      <c r="K194"/>
    </row>
    <row r="195" spans="3:11">
      <c r="C195"/>
      <c r="D195"/>
      <c r="E195"/>
      <c r="F195"/>
      <c r="G195"/>
      <c r="H195"/>
      <c r="I195"/>
      <c r="J195"/>
      <c r="K195"/>
    </row>
    <row r="196" spans="3:11">
      <c r="C196"/>
      <c r="D196"/>
      <c r="E196"/>
      <c r="F196"/>
      <c r="G196"/>
      <c r="H196"/>
      <c r="I196"/>
      <c r="J196"/>
      <c r="K196"/>
    </row>
    <row r="197" spans="3:11">
      <c r="C197"/>
      <c r="D197"/>
      <c r="E197"/>
      <c r="F197"/>
      <c r="G197"/>
      <c r="H197"/>
      <c r="I197"/>
      <c r="J197"/>
      <c r="K197"/>
    </row>
    <row r="198" spans="3:11">
      <c r="C198"/>
      <c r="D198"/>
      <c r="E198"/>
      <c r="F198"/>
      <c r="G198"/>
      <c r="H198"/>
      <c r="I198"/>
      <c r="J198"/>
      <c r="K198"/>
    </row>
    <row r="199" spans="3:11">
      <c r="C199"/>
      <c r="D199"/>
      <c r="E199"/>
      <c r="F199"/>
      <c r="G199"/>
      <c r="H199"/>
      <c r="I199"/>
      <c r="J199"/>
      <c r="K199"/>
    </row>
    <row r="200" spans="3:11">
      <c r="C200"/>
      <c r="D200"/>
      <c r="E200"/>
      <c r="F200"/>
      <c r="G200"/>
      <c r="H200"/>
      <c r="I200"/>
      <c r="J200"/>
      <c r="K200"/>
    </row>
    <row r="201" spans="3:11">
      <c r="C201"/>
      <c r="D201"/>
      <c r="E201"/>
      <c r="F201"/>
      <c r="G201"/>
      <c r="H201"/>
      <c r="I201"/>
      <c r="J201"/>
      <c r="K201"/>
    </row>
    <row r="202" spans="3:11">
      <c r="C202"/>
      <c r="D202"/>
      <c r="E202"/>
      <c r="F202"/>
      <c r="G202"/>
      <c r="H202"/>
      <c r="I202"/>
      <c r="J202"/>
      <c r="K202"/>
    </row>
    <row r="203" spans="3:11">
      <c r="C203"/>
      <c r="D203"/>
      <c r="E203"/>
      <c r="F203"/>
      <c r="G203"/>
      <c r="H203"/>
      <c r="I203"/>
      <c r="J203"/>
      <c r="K203"/>
    </row>
    <row r="204" spans="3:11">
      <c r="C204"/>
      <c r="D204"/>
      <c r="E204"/>
      <c r="F204"/>
      <c r="G204"/>
      <c r="H204"/>
      <c r="I204"/>
      <c r="J204"/>
      <c r="K204"/>
    </row>
    <row r="205" spans="3:11">
      <c r="C205"/>
      <c r="D205"/>
      <c r="E205"/>
      <c r="F205"/>
      <c r="G205"/>
      <c r="H205"/>
      <c r="I205"/>
      <c r="J205"/>
      <c r="K205"/>
    </row>
    <row r="206" spans="3:11">
      <c r="C206"/>
      <c r="D206"/>
      <c r="E206"/>
      <c r="F206"/>
      <c r="G206"/>
      <c r="H206"/>
      <c r="I206"/>
      <c r="J206"/>
      <c r="K206"/>
    </row>
    <row r="207" spans="3:11">
      <c r="C207"/>
      <c r="D207"/>
      <c r="E207"/>
      <c r="F207"/>
      <c r="G207"/>
      <c r="H207"/>
      <c r="I207"/>
      <c r="J207"/>
      <c r="K207"/>
    </row>
    <row r="208" spans="3:11">
      <c r="C208"/>
      <c r="D208"/>
      <c r="E208"/>
      <c r="F208"/>
      <c r="G208"/>
      <c r="H208"/>
      <c r="I208"/>
      <c r="J208"/>
      <c r="K208"/>
    </row>
    <row r="209" spans="3:11">
      <c r="C209"/>
      <c r="D209"/>
      <c r="E209"/>
      <c r="F209"/>
      <c r="G209"/>
      <c r="H209"/>
      <c r="I209"/>
      <c r="J209"/>
      <c r="K209"/>
    </row>
    <row r="210" spans="3:11">
      <c r="C210"/>
      <c r="D210"/>
      <c r="E210"/>
      <c r="F210"/>
      <c r="G210"/>
      <c r="H210"/>
      <c r="I210"/>
      <c r="J210"/>
      <c r="K210"/>
    </row>
    <row r="211" spans="3:11">
      <c r="C211"/>
      <c r="D211"/>
      <c r="E211"/>
      <c r="F211"/>
      <c r="G211"/>
      <c r="H211"/>
      <c r="I211"/>
      <c r="J211"/>
      <c r="K211"/>
    </row>
    <row r="212" spans="3:11">
      <c r="C212"/>
      <c r="D212"/>
      <c r="E212"/>
      <c r="F212"/>
      <c r="G212"/>
      <c r="H212"/>
      <c r="I212"/>
      <c r="J212"/>
      <c r="K212"/>
    </row>
    <row r="213" spans="3:11">
      <c r="C213"/>
      <c r="D213"/>
      <c r="E213"/>
      <c r="F213"/>
      <c r="G213"/>
      <c r="H213"/>
      <c r="I213"/>
      <c r="J213"/>
      <c r="K213"/>
    </row>
    <row r="214" spans="3:11">
      <c r="C214"/>
      <c r="D214"/>
      <c r="E214"/>
      <c r="F214"/>
      <c r="G214"/>
      <c r="H214"/>
      <c r="I214"/>
      <c r="J214"/>
      <c r="K214"/>
    </row>
    <row r="215" spans="3:11">
      <c r="C215"/>
      <c r="D215"/>
      <c r="E215"/>
      <c r="F215"/>
      <c r="G215"/>
      <c r="H215"/>
      <c r="I215"/>
      <c r="J215"/>
      <c r="K215"/>
    </row>
    <row r="216" spans="3:11">
      <c r="C216"/>
      <c r="D216"/>
      <c r="E216"/>
      <c r="F216"/>
      <c r="G216"/>
      <c r="H216"/>
      <c r="I216"/>
      <c r="J216"/>
      <c r="K216"/>
    </row>
    <row r="217" spans="3:11">
      <c r="C217"/>
      <c r="D217"/>
      <c r="E217"/>
      <c r="F217"/>
      <c r="G217"/>
      <c r="H217"/>
      <c r="I217"/>
      <c r="J217"/>
      <c r="K217"/>
    </row>
    <row r="218" spans="3:11">
      <c r="C218"/>
      <c r="D218"/>
      <c r="E218"/>
      <c r="F218"/>
      <c r="G218"/>
      <c r="H218"/>
      <c r="I218"/>
      <c r="J218"/>
      <c r="K218"/>
    </row>
    <row r="219" spans="3:11">
      <c r="C219"/>
      <c r="D219"/>
      <c r="E219"/>
      <c r="F219"/>
      <c r="G219"/>
      <c r="H219"/>
      <c r="I219"/>
      <c r="J219"/>
      <c r="K219"/>
    </row>
    <row r="220" spans="3:11">
      <c r="C220"/>
      <c r="D220"/>
      <c r="E220"/>
      <c r="F220"/>
      <c r="G220"/>
      <c r="H220"/>
      <c r="I220"/>
      <c r="J220"/>
      <c r="K220"/>
    </row>
    <row r="221" spans="3:11">
      <c r="C221"/>
      <c r="D221"/>
      <c r="E221"/>
      <c r="F221"/>
      <c r="G221"/>
      <c r="H221"/>
      <c r="I221"/>
      <c r="J221"/>
      <c r="K221"/>
    </row>
    <row r="222" spans="3:11">
      <c r="C222"/>
      <c r="D222"/>
      <c r="E222"/>
      <c r="F222"/>
      <c r="G222"/>
      <c r="H222"/>
      <c r="I222"/>
      <c r="J222"/>
      <c r="K222"/>
    </row>
    <row r="223" spans="3:11">
      <c r="C223"/>
      <c r="D223"/>
      <c r="E223"/>
      <c r="F223"/>
      <c r="G223"/>
      <c r="H223"/>
      <c r="I223"/>
      <c r="J223"/>
      <c r="K223"/>
    </row>
    <row r="224" spans="3:11">
      <c r="C224"/>
      <c r="D224"/>
      <c r="E224"/>
      <c r="F224"/>
      <c r="G224"/>
      <c r="H224"/>
      <c r="I224"/>
      <c r="J224"/>
      <c r="K224"/>
    </row>
    <row r="225" spans="3:11">
      <c r="C225"/>
      <c r="D225"/>
      <c r="E225"/>
      <c r="F225"/>
      <c r="G225"/>
      <c r="H225"/>
      <c r="I225"/>
      <c r="J225"/>
      <c r="K225"/>
    </row>
    <row r="226" spans="3:11">
      <c r="C226"/>
      <c r="D226"/>
      <c r="E226"/>
      <c r="F226"/>
      <c r="G226"/>
      <c r="H226"/>
      <c r="I226"/>
      <c r="J226"/>
      <c r="K226"/>
    </row>
    <row r="227" spans="3:11">
      <c r="C227"/>
      <c r="D227"/>
      <c r="E227"/>
      <c r="F227"/>
      <c r="G227"/>
      <c r="H227"/>
      <c r="I227"/>
      <c r="J227"/>
      <c r="K227"/>
    </row>
    <row r="228" spans="3:11">
      <c r="C228"/>
      <c r="D228"/>
      <c r="E228"/>
      <c r="F228"/>
      <c r="G228"/>
      <c r="H228"/>
      <c r="I228"/>
      <c r="J228"/>
      <c r="K228"/>
    </row>
    <row r="229" spans="3:11">
      <c r="C229"/>
      <c r="D229"/>
      <c r="E229"/>
      <c r="F229"/>
      <c r="G229"/>
      <c r="H229"/>
      <c r="I229"/>
      <c r="J229"/>
      <c r="K229"/>
    </row>
    <row r="230" spans="3:11">
      <c r="C230"/>
      <c r="D230"/>
      <c r="E230"/>
      <c r="F230"/>
      <c r="G230"/>
      <c r="H230"/>
      <c r="I230"/>
      <c r="J230"/>
      <c r="K230"/>
    </row>
    <row r="231" spans="3:11">
      <c r="C231"/>
      <c r="D231"/>
      <c r="E231"/>
      <c r="F231"/>
      <c r="G231"/>
      <c r="H231"/>
      <c r="I231"/>
      <c r="J231"/>
      <c r="K231"/>
    </row>
    <row r="232" spans="3:11">
      <c r="C232"/>
      <c r="D232"/>
      <c r="E232"/>
      <c r="F232"/>
      <c r="G232"/>
      <c r="H232"/>
      <c r="I232"/>
      <c r="J232"/>
      <c r="K232"/>
    </row>
    <row r="233" spans="3:11">
      <c r="C233"/>
      <c r="D233"/>
      <c r="E233"/>
      <c r="F233"/>
      <c r="G233"/>
      <c r="H233"/>
      <c r="I233"/>
      <c r="J233"/>
      <c r="K233"/>
    </row>
    <row r="234" spans="3:11">
      <c r="C234"/>
      <c r="D234"/>
      <c r="E234"/>
      <c r="F234"/>
      <c r="G234"/>
      <c r="H234"/>
      <c r="I234"/>
      <c r="J234"/>
      <c r="K234"/>
    </row>
    <row r="235" spans="3:11">
      <c r="C235"/>
      <c r="D235"/>
      <c r="E235"/>
      <c r="F235"/>
      <c r="G235"/>
      <c r="H235"/>
      <c r="I235"/>
      <c r="J235"/>
      <c r="K235"/>
    </row>
    <row r="236" spans="3:11">
      <c r="C236"/>
      <c r="D236"/>
      <c r="E236"/>
      <c r="F236"/>
      <c r="G236"/>
      <c r="H236"/>
      <c r="I236"/>
      <c r="J236"/>
      <c r="K236"/>
    </row>
    <row r="237" spans="3:11">
      <c r="C237"/>
      <c r="D237"/>
      <c r="E237"/>
      <c r="F237"/>
      <c r="G237"/>
      <c r="H237"/>
      <c r="I237"/>
      <c r="J237"/>
      <c r="K237"/>
    </row>
    <row r="238" spans="3:11">
      <c r="C238"/>
      <c r="D238"/>
      <c r="E238"/>
      <c r="F238"/>
      <c r="G238"/>
      <c r="H238"/>
      <c r="I238"/>
      <c r="J238"/>
      <c r="K238"/>
    </row>
    <row r="239" spans="3:11">
      <c r="C239"/>
      <c r="D239"/>
      <c r="E239"/>
      <c r="F239"/>
      <c r="G239"/>
      <c r="H239"/>
      <c r="I239"/>
      <c r="J239"/>
      <c r="K239"/>
    </row>
    <row r="240" spans="3:11">
      <c r="C240"/>
      <c r="D240"/>
      <c r="E240"/>
      <c r="F240"/>
      <c r="G240"/>
      <c r="H240"/>
      <c r="I240"/>
      <c r="J240"/>
      <c r="K240"/>
    </row>
    <row r="241" spans="3:11">
      <c r="C241"/>
      <c r="D241"/>
      <c r="E241"/>
      <c r="F241"/>
      <c r="G241"/>
      <c r="H241"/>
      <c r="I241"/>
      <c r="J241"/>
      <c r="K241"/>
    </row>
    <row r="242" spans="3:11">
      <c r="C242"/>
      <c r="D242"/>
      <c r="E242"/>
      <c r="F242"/>
      <c r="G242"/>
      <c r="H242"/>
      <c r="I242"/>
      <c r="J242"/>
      <c r="K242"/>
    </row>
    <row r="243" spans="3:11">
      <c r="C243"/>
      <c r="D243"/>
      <c r="E243"/>
      <c r="F243"/>
      <c r="G243"/>
      <c r="H243"/>
      <c r="I243"/>
      <c r="J243"/>
      <c r="K243"/>
    </row>
    <row r="244" spans="3:11">
      <c r="C244"/>
      <c r="D244"/>
      <c r="E244"/>
      <c r="F244"/>
      <c r="G244"/>
      <c r="H244"/>
      <c r="I244"/>
      <c r="J244"/>
      <c r="K244"/>
    </row>
    <row r="245" spans="3:11">
      <c r="C245"/>
      <c r="D245"/>
      <c r="E245"/>
      <c r="F245"/>
      <c r="G245"/>
      <c r="H245"/>
      <c r="I245"/>
      <c r="J245"/>
      <c r="K245"/>
    </row>
    <row r="246" spans="3:11">
      <c r="C246"/>
      <c r="D246"/>
      <c r="E246"/>
      <c r="F246"/>
      <c r="G246"/>
      <c r="H246"/>
      <c r="I246"/>
      <c r="J246"/>
      <c r="K246"/>
    </row>
    <row r="247" spans="3:11">
      <c r="C247"/>
      <c r="D247"/>
      <c r="E247"/>
      <c r="F247"/>
      <c r="G247"/>
      <c r="H247"/>
      <c r="I247"/>
      <c r="J247"/>
      <c r="K247"/>
    </row>
    <row r="248" spans="3:11">
      <c r="C248"/>
      <c r="D248"/>
      <c r="E248"/>
      <c r="F248"/>
      <c r="G248"/>
      <c r="H248"/>
      <c r="I248"/>
      <c r="J248"/>
      <c r="K248"/>
    </row>
    <row r="249" spans="3:11">
      <c r="C249"/>
      <c r="D249"/>
      <c r="E249"/>
      <c r="F249"/>
      <c r="G249"/>
      <c r="H249"/>
      <c r="I249"/>
      <c r="J249"/>
      <c r="K249"/>
    </row>
    <row r="250" spans="3:11">
      <c r="C250"/>
      <c r="D250"/>
      <c r="E250"/>
      <c r="F250"/>
      <c r="G250"/>
      <c r="H250"/>
      <c r="I250"/>
      <c r="J250"/>
      <c r="K250"/>
    </row>
    <row r="251" spans="3:11">
      <c r="C251"/>
      <c r="D251"/>
      <c r="E251"/>
      <c r="F251"/>
      <c r="G251"/>
      <c r="H251"/>
      <c r="I251"/>
      <c r="J251"/>
      <c r="K251"/>
    </row>
    <row r="252" spans="3:11">
      <c r="C252"/>
      <c r="D252"/>
      <c r="E252"/>
      <c r="F252"/>
      <c r="G252"/>
      <c r="H252"/>
      <c r="I252"/>
      <c r="J252"/>
      <c r="K252"/>
    </row>
    <row r="253" spans="3:11">
      <c r="C253"/>
      <c r="D253"/>
      <c r="E253"/>
      <c r="F253"/>
      <c r="G253"/>
      <c r="H253"/>
      <c r="I253"/>
      <c r="J253"/>
      <c r="K253"/>
    </row>
    <row r="254" spans="3:11">
      <c r="C254"/>
      <c r="D254"/>
      <c r="E254"/>
      <c r="F254"/>
      <c r="G254"/>
      <c r="H254"/>
      <c r="I254"/>
      <c r="J254"/>
      <c r="K254"/>
    </row>
    <row r="255" spans="3:11">
      <c r="C255"/>
      <c r="D255"/>
      <c r="E255"/>
      <c r="F255"/>
      <c r="G255"/>
      <c r="H255"/>
      <c r="I255"/>
      <c r="J255"/>
      <c r="K255"/>
    </row>
    <row r="256" spans="3:11">
      <c r="C256"/>
      <c r="D256"/>
      <c r="E256"/>
      <c r="F256"/>
      <c r="G256"/>
      <c r="H256"/>
      <c r="I256"/>
      <c r="J256"/>
      <c r="K256"/>
    </row>
    <row r="257" spans="3:11">
      <c r="C257"/>
      <c r="D257"/>
      <c r="E257"/>
      <c r="F257"/>
      <c r="G257"/>
      <c r="H257"/>
      <c r="I257"/>
      <c r="J257"/>
      <c r="K257"/>
    </row>
    <row r="258" spans="3:11">
      <c r="C258"/>
      <c r="D258"/>
      <c r="E258"/>
      <c r="F258"/>
      <c r="G258"/>
      <c r="H258"/>
      <c r="I258"/>
      <c r="J258"/>
      <c r="K258"/>
    </row>
    <row r="259" spans="3:11">
      <c r="C259"/>
      <c r="D259"/>
      <c r="E259"/>
      <c r="F259"/>
      <c r="G259"/>
      <c r="H259"/>
      <c r="I259"/>
      <c r="J259"/>
      <c r="K259"/>
    </row>
    <row r="260" spans="3:11">
      <c r="C260"/>
      <c r="D260"/>
      <c r="E260"/>
      <c r="F260"/>
      <c r="G260"/>
      <c r="H260"/>
      <c r="I260"/>
      <c r="J260"/>
      <c r="K260"/>
    </row>
    <row r="261" spans="3:11">
      <c r="C261"/>
      <c r="D261"/>
      <c r="E261"/>
      <c r="F261"/>
      <c r="G261"/>
      <c r="H261"/>
      <c r="I261"/>
      <c r="J261"/>
      <c r="K261"/>
    </row>
    <row r="262" spans="3:11">
      <c r="C262"/>
      <c r="D262"/>
      <c r="E262"/>
      <c r="F262"/>
      <c r="G262"/>
      <c r="H262"/>
      <c r="I262"/>
      <c r="J262"/>
      <c r="K262"/>
    </row>
    <row r="263" spans="3:11">
      <c r="C263"/>
      <c r="D263"/>
      <c r="E263"/>
      <c r="F263"/>
      <c r="G263"/>
      <c r="H263"/>
      <c r="I263"/>
      <c r="J263"/>
      <c r="K263"/>
    </row>
    <row r="264" spans="3:11">
      <c r="C264"/>
      <c r="D264"/>
      <c r="E264"/>
      <c r="F264"/>
      <c r="G264"/>
      <c r="H264"/>
      <c r="I264"/>
      <c r="J264"/>
      <c r="K264"/>
    </row>
    <row r="265" spans="3:11">
      <c r="C265"/>
      <c r="D265"/>
      <c r="E265"/>
      <c r="F265"/>
      <c r="G265"/>
      <c r="H265"/>
      <c r="I265"/>
      <c r="J265"/>
      <c r="K265"/>
    </row>
    <row r="266" spans="3:11">
      <c r="C266"/>
      <c r="D266"/>
      <c r="E266"/>
      <c r="F266"/>
      <c r="G266"/>
      <c r="H266"/>
      <c r="I266"/>
      <c r="J266"/>
      <c r="K266"/>
    </row>
    <row r="267" spans="3:11">
      <c r="C267"/>
      <c r="D267"/>
      <c r="E267"/>
      <c r="F267"/>
      <c r="G267"/>
      <c r="H267"/>
      <c r="I267"/>
      <c r="J267"/>
      <c r="K267"/>
    </row>
    <row r="268" spans="3:11">
      <c r="C268"/>
      <c r="D268"/>
      <c r="E268"/>
      <c r="F268"/>
      <c r="G268"/>
      <c r="H268"/>
      <c r="I268"/>
      <c r="J268"/>
      <c r="K268"/>
    </row>
    <row r="269" spans="3:11">
      <c r="C269"/>
      <c r="D269"/>
      <c r="E269"/>
      <c r="F269"/>
      <c r="G269"/>
      <c r="H269"/>
      <c r="I269"/>
      <c r="J269"/>
      <c r="K269"/>
    </row>
    <row r="270" spans="3:11">
      <c r="C270"/>
      <c r="D270"/>
      <c r="E270"/>
      <c r="F270"/>
      <c r="G270"/>
      <c r="H270"/>
      <c r="I270"/>
      <c r="J270"/>
      <c r="K270"/>
    </row>
    <row r="271" spans="3:11">
      <c r="C271"/>
      <c r="D271"/>
      <c r="E271"/>
      <c r="F271"/>
      <c r="G271"/>
      <c r="H271"/>
      <c r="I271"/>
      <c r="J271"/>
      <c r="K271"/>
    </row>
    <row r="272" spans="3:11">
      <c r="C272"/>
      <c r="D272"/>
      <c r="E272"/>
      <c r="F272"/>
      <c r="G272"/>
      <c r="H272"/>
      <c r="I272"/>
      <c r="J272"/>
      <c r="K272"/>
    </row>
    <row r="273" spans="3:11">
      <c r="C273"/>
      <c r="D273"/>
      <c r="E273"/>
      <c r="F273"/>
      <c r="G273"/>
      <c r="H273"/>
      <c r="I273"/>
      <c r="J273"/>
      <c r="K273"/>
    </row>
    <row r="274" spans="3:11">
      <c r="C274"/>
      <c r="D274"/>
      <c r="E274"/>
      <c r="F274"/>
      <c r="G274"/>
      <c r="H274"/>
      <c r="I274"/>
      <c r="J274"/>
      <c r="K274"/>
    </row>
    <row r="275" spans="3:11">
      <c r="C275"/>
      <c r="D275"/>
      <c r="E275"/>
      <c r="F275"/>
      <c r="G275"/>
      <c r="H275"/>
      <c r="I275"/>
      <c r="J275"/>
      <c r="K275"/>
    </row>
    <row r="276" spans="3:11">
      <c r="C276"/>
      <c r="D276"/>
      <c r="E276"/>
      <c r="F276"/>
      <c r="G276"/>
      <c r="H276"/>
      <c r="I276"/>
      <c r="J276"/>
      <c r="K276"/>
    </row>
    <row r="277" spans="3:11">
      <c r="C277"/>
      <c r="D277"/>
      <c r="E277"/>
      <c r="F277"/>
      <c r="G277"/>
      <c r="H277"/>
      <c r="I277"/>
      <c r="J277"/>
      <c r="K277"/>
    </row>
    <row r="278" spans="3:11">
      <c r="C278"/>
      <c r="D278"/>
      <c r="E278"/>
      <c r="F278"/>
      <c r="G278"/>
      <c r="H278"/>
      <c r="I278"/>
      <c r="J278"/>
      <c r="K278"/>
    </row>
    <row r="279" spans="3:11">
      <c r="C279"/>
      <c r="D279"/>
      <c r="E279"/>
      <c r="F279"/>
      <c r="G279"/>
      <c r="H279"/>
      <c r="I279"/>
      <c r="J279"/>
      <c r="K279"/>
    </row>
    <row r="280" spans="3:11">
      <c r="C280"/>
      <c r="D280"/>
      <c r="E280"/>
      <c r="F280"/>
      <c r="G280"/>
      <c r="H280"/>
      <c r="I280"/>
      <c r="J280"/>
      <c r="K280"/>
    </row>
    <row r="281" spans="3:11">
      <c r="C281"/>
      <c r="D281"/>
      <c r="E281"/>
      <c r="F281"/>
      <c r="G281"/>
      <c r="H281"/>
      <c r="I281"/>
      <c r="J281"/>
      <c r="K281"/>
    </row>
    <row r="282" spans="3:11">
      <c r="C282"/>
      <c r="D282"/>
      <c r="E282"/>
      <c r="F282"/>
      <c r="G282"/>
      <c r="H282"/>
      <c r="I282"/>
      <c r="J282"/>
      <c r="K282"/>
    </row>
    <row r="283" spans="3:11">
      <c r="C283"/>
      <c r="D283"/>
      <c r="E283"/>
      <c r="F283"/>
      <c r="G283"/>
      <c r="H283"/>
      <c r="I283"/>
      <c r="J283"/>
      <c r="K283"/>
    </row>
    <row r="284" spans="3:11">
      <c r="C284"/>
      <c r="D284"/>
      <c r="E284"/>
      <c r="F284"/>
      <c r="G284"/>
      <c r="H284"/>
      <c r="I284"/>
      <c r="J284"/>
      <c r="K284"/>
    </row>
    <row r="285" spans="3:11">
      <c r="C285"/>
      <c r="D285"/>
      <c r="E285"/>
      <c r="F285"/>
      <c r="G285"/>
      <c r="H285"/>
      <c r="I285"/>
      <c r="J285"/>
      <c r="K285"/>
    </row>
    <row r="286" spans="3:11">
      <c r="C286"/>
      <c r="D286"/>
      <c r="E286"/>
      <c r="F286"/>
      <c r="G286"/>
      <c r="H286"/>
      <c r="I286"/>
      <c r="J286"/>
      <c r="K286"/>
    </row>
    <row r="287" spans="3:11">
      <c r="C287"/>
      <c r="D287"/>
      <c r="E287"/>
      <c r="F287"/>
      <c r="G287"/>
      <c r="H287"/>
      <c r="I287"/>
      <c r="J287"/>
      <c r="K287"/>
    </row>
    <row r="288" spans="3:11">
      <c r="C288"/>
      <c r="D288"/>
      <c r="E288"/>
      <c r="F288"/>
      <c r="G288"/>
      <c r="H288"/>
      <c r="I288"/>
      <c r="J288"/>
      <c r="K288"/>
    </row>
    <row r="289" spans="3:11">
      <c r="C289"/>
      <c r="D289"/>
      <c r="E289"/>
      <c r="F289"/>
      <c r="G289"/>
      <c r="H289"/>
      <c r="I289"/>
      <c r="J289"/>
      <c r="K289"/>
    </row>
    <row r="290" spans="3:11">
      <c r="C290"/>
      <c r="D290"/>
      <c r="E290"/>
      <c r="F290"/>
      <c r="G290"/>
      <c r="H290"/>
      <c r="I290"/>
      <c r="J290"/>
      <c r="K290"/>
    </row>
    <row r="291" spans="3:11">
      <c r="C291"/>
      <c r="D291"/>
      <c r="E291"/>
      <c r="F291"/>
      <c r="G291"/>
      <c r="H291"/>
      <c r="I291"/>
      <c r="J291"/>
      <c r="K291"/>
    </row>
    <row r="292" spans="3:11">
      <c r="C292"/>
      <c r="D292"/>
      <c r="E292"/>
      <c r="F292"/>
      <c r="G292"/>
      <c r="H292"/>
      <c r="I292"/>
      <c r="J292"/>
      <c r="K292"/>
    </row>
    <row r="293" spans="3:11">
      <c r="C293"/>
      <c r="D293"/>
      <c r="E293"/>
      <c r="F293"/>
      <c r="G293"/>
      <c r="H293"/>
      <c r="I293"/>
      <c r="J293"/>
      <c r="K293"/>
    </row>
    <row r="294" spans="3:11">
      <c r="C294"/>
      <c r="D294"/>
      <c r="E294"/>
      <c r="F294"/>
      <c r="G294"/>
      <c r="H294"/>
      <c r="I294"/>
      <c r="J294"/>
      <c r="K294"/>
    </row>
    <row r="295" spans="3:11">
      <c r="C295"/>
      <c r="D295"/>
      <c r="E295"/>
      <c r="F295"/>
      <c r="G295"/>
      <c r="H295"/>
      <c r="I295"/>
      <c r="J295"/>
      <c r="K295"/>
    </row>
    <row r="296" spans="3:11">
      <c r="C296"/>
      <c r="D296"/>
      <c r="E296"/>
      <c r="F296"/>
      <c r="G296"/>
      <c r="H296"/>
      <c r="I296"/>
      <c r="J296"/>
      <c r="K296"/>
    </row>
    <row r="297" spans="3:11">
      <c r="C297"/>
      <c r="D297"/>
      <c r="E297"/>
      <c r="F297"/>
      <c r="G297"/>
      <c r="H297"/>
      <c r="I297"/>
      <c r="J297"/>
      <c r="K297"/>
    </row>
    <row r="298" spans="3:11">
      <c r="C298"/>
      <c r="D298"/>
      <c r="E298"/>
      <c r="F298"/>
      <c r="G298"/>
      <c r="H298"/>
      <c r="I298"/>
      <c r="J298"/>
      <c r="K298"/>
    </row>
    <row r="299" spans="3:11">
      <c r="C299"/>
      <c r="D299"/>
      <c r="E299"/>
      <c r="F299"/>
      <c r="G299"/>
      <c r="H299"/>
      <c r="I299"/>
      <c r="J299"/>
      <c r="K299"/>
    </row>
    <row r="300" spans="3:11">
      <c r="C300"/>
      <c r="D300"/>
      <c r="E300"/>
      <c r="F300"/>
      <c r="G300"/>
      <c r="H300"/>
      <c r="I300"/>
      <c r="J300"/>
      <c r="K300"/>
    </row>
    <row r="301" spans="3:11">
      <c r="C301"/>
      <c r="D301"/>
      <c r="E301"/>
      <c r="F301"/>
      <c r="G301"/>
      <c r="H301"/>
      <c r="I301"/>
      <c r="J301"/>
      <c r="K301"/>
    </row>
    <row r="302" spans="3:11">
      <c r="C302"/>
      <c r="D302"/>
      <c r="E302"/>
      <c r="F302"/>
      <c r="G302"/>
      <c r="H302"/>
      <c r="I302"/>
      <c r="J302"/>
      <c r="K302"/>
    </row>
    <row r="303" spans="3:11">
      <c r="C303"/>
      <c r="D303"/>
      <c r="E303"/>
      <c r="F303"/>
      <c r="G303"/>
      <c r="H303"/>
      <c r="I303"/>
      <c r="J303"/>
      <c r="K303"/>
    </row>
    <row r="304" spans="3:11">
      <c r="C304"/>
      <c r="D304"/>
      <c r="E304"/>
      <c r="F304"/>
      <c r="G304"/>
      <c r="H304"/>
      <c r="I304"/>
      <c r="J304"/>
      <c r="K304"/>
    </row>
    <row r="305" spans="3:11">
      <c r="C305"/>
      <c r="D305"/>
      <c r="E305"/>
      <c r="F305"/>
      <c r="G305"/>
      <c r="H305"/>
      <c r="I305"/>
      <c r="J305"/>
      <c r="K305"/>
    </row>
    <row r="306" spans="3:11">
      <c r="C306"/>
      <c r="D306"/>
      <c r="E306"/>
      <c r="F306"/>
      <c r="G306"/>
      <c r="H306"/>
      <c r="I306"/>
      <c r="J306"/>
      <c r="K306"/>
    </row>
    <row r="307" spans="3:11">
      <c r="C307"/>
      <c r="D307"/>
      <c r="E307"/>
      <c r="F307"/>
      <c r="G307"/>
      <c r="H307"/>
      <c r="I307"/>
      <c r="J307"/>
      <c r="K307"/>
    </row>
    <row r="308" spans="3:11">
      <c r="C308"/>
      <c r="D308"/>
      <c r="E308"/>
      <c r="F308"/>
      <c r="G308"/>
      <c r="H308"/>
      <c r="I308"/>
      <c r="J308"/>
      <c r="K308"/>
    </row>
    <row r="309" spans="3:11">
      <c r="C309"/>
      <c r="D309"/>
      <c r="E309"/>
      <c r="F309"/>
      <c r="G309"/>
      <c r="H309"/>
      <c r="I309"/>
      <c r="J309"/>
      <c r="K309"/>
    </row>
    <row r="310" spans="3:11">
      <c r="C310"/>
      <c r="D310"/>
      <c r="E310"/>
      <c r="F310"/>
      <c r="G310"/>
      <c r="H310"/>
      <c r="I310"/>
      <c r="J310"/>
      <c r="K310"/>
    </row>
    <row r="311" spans="3:11">
      <c r="C311"/>
      <c r="D311"/>
      <c r="E311"/>
      <c r="F311"/>
      <c r="G311"/>
      <c r="H311"/>
      <c r="I311"/>
      <c r="J311"/>
      <c r="K311"/>
    </row>
    <row r="312" spans="3:11">
      <c r="C312"/>
      <c r="D312"/>
      <c r="E312"/>
      <c r="F312"/>
      <c r="G312"/>
      <c r="H312"/>
      <c r="I312"/>
      <c r="J312"/>
      <c r="K312"/>
    </row>
    <row r="313" spans="3:11">
      <c r="C313"/>
      <c r="D313"/>
      <c r="E313"/>
      <c r="F313"/>
      <c r="G313"/>
      <c r="H313"/>
      <c r="I313"/>
      <c r="J313"/>
      <c r="K313"/>
    </row>
    <row r="314" spans="3:11">
      <c r="C314"/>
      <c r="D314"/>
      <c r="E314"/>
      <c r="F314"/>
      <c r="G314"/>
      <c r="H314"/>
      <c r="I314"/>
      <c r="J314"/>
      <c r="K314"/>
    </row>
    <row r="315" spans="3:11">
      <c r="C315"/>
      <c r="D315"/>
      <c r="E315"/>
      <c r="F315"/>
      <c r="G315"/>
      <c r="H315"/>
      <c r="I315"/>
      <c r="J315"/>
      <c r="K315"/>
    </row>
    <row r="316" spans="3:11">
      <c r="C316"/>
      <c r="D316"/>
      <c r="E316"/>
      <c r="F316"/>
      <c r="G316"/>
      <c r="H316"/>
      <c r="I316"/>
      <c r="J316"/>
      <c r="K316"/>
    </row>
    <row r="317" spans="3:11">
      <c r="C317"/>
      <c r="D317"/>
      <c r="E317"/>
      <c r="F317"/>
      <c r="G317"/>
      <c r="H317"/>
      <c r="I317"/>
      <c r="J317"/>
      <c r="K317"/>
    </row>
    <row r="318" spans="3:11">
      <c r="C318"/>
      <c r="D318"/>
      <c r="E318"/>
      <c r="F318"/>
      <c r="G318"/>
      <c r="H318"/>
      <c r="I318"/>
      <c r="J318"/>
      <c r="K318"/>
    </row>
    <row r="319" spans="3:11">
      <c r="C319"/>
      <c r="D319"/>
      <c r="E319"/>
      <c r="F319"/>
      <c r="G319"/>
      <c r="H319"/>
      <c r="I319"/>
      <c r="J319"/>
      <c r="K319"/>
    </row>
    <row r="320" spans="3:11">
      <c r="C320"/>
      <c r="D320"/>
      <c r="E320"/>
      <c r="F320"/>
      <c r="G320"/>
      <c r="H320"/>
      <c r="I320"/>
      <c r="J320"/>
      <c r="K320"/>
    </row>
    <row r="321" spans="3:11">
      <c r="C321"/>
      <c r="D321"/>
      <c r="E321"/>
      <c r="F321"/>
      <c r="G321"/>
      <c r="H321"/>
      <c r="I321"/>
      <c r="J321"/>
      <c r="K321"/>
    </row>
    <row r="322" spans="3:11">
      <c r="C322"/>
      <c r="D322"/>
      <c r="E322"/>
      <c r="F322"/>
      <c r="G322"/>
      <c r="H322"/>
      <c r="I322"/>
      <c r="J322"/>
      <c r="K322"/>
    </row>
    <row r="323" spans="3:11">
      <c r="C323"/>
      <c r="D323"/>
      <c r="E323"/>
      <c r="F323"/>
      <c r="G323"/>
      <c r="H323"/>
      <c r="I323"/>
      <c r="J323"/>
      <c r="K323"/>
    </row>
    <row r="324" spans="3:11">
      <c r="C324"/>
      <c r="D324"/>
      <c r="E324"/>
      <c r="F324"/>
      <c r="G324"/>
      <c r="H324"/>
      <c r="I324"/>
      <c r="J324"/>
      <c r="K324"/>
    </row>
    <row r="325" spans="3:11">
      <c r="C325"/>
      <c r="D325"/>
      <c r="E325"/>
      <c r="F325"/>
      <c r="G325"/>
      <c r="H325"/>
      <c r="I325"/>
      <c r="J325"/>
      <c r="K325"/>
    </row>
    <row r="326" spans="3:11">
      <c r="C326"/>
      <c r="D326"/>
      <c r="E326"/>
      <c r="F326"/>
      <c r="G326"/>
      <c r="H326"/>
      <c r="I326"/>
      <c r="J326"/>
      <c r="K326"/>
    </row>
    <row r="327" spans="3:11">
      <c r="C327"/>
      <c r="D327"/>
      <c r="E327"/>
      <c r="F327"/>
      <c r="G327"/>
      <c r="H327"/>
      <c r="I327"/>
      <c r="J327"/>
      <c r="K327"/>
    </row>
    <row r="328" spans="3:11">
      <c r="C328"/>
      <c r="D328"/>
      <c r="E328"/>
      <c r="F328"/>
      <c r="G328"/>
      <c r="H328"/>
      <c r="I328"/>
      <c r="J328"/>
      <c r="K328"/>
    </row>
    <row r="329" spans="3:11">
      <c r="C329"/>
      <c r="D329"/>
      <c r="E329"/>
      <c r="F329"/>
      <c r="G329"/>
      <c r="H329"/>
      <c r="I329"/>
      <c r="J329"/>
      <c r="K329"/>
    </row>
    <row r="330" spans="3:11">
      <c r="C330"/>
      <c r="D330"/>
      <c r="E330"/>
      <c r="F330"/>
      <c r="G330"/>
      <c r="H330"/>
      <c r="I330"/>
      <c r="J330"/>
      <c r="K330"/>
    </row>
    <row r="331" spans="3:11">
      <c r="C331"/>
      <c r="D331"/>
      <c r="E331"/>
      <c r="F331"/>
      <c r="G331"/>
      <c r="H331"/>
      <c r="I331"/>
      <c r="J331"/>
      <c r="K331"/>
    </row>
    <row r="332" spans="3:11">
      <c r="C332"/>
      <c r="D332"/>
      <c r="E332"/>
      <c r="F332"/>
      <c r="G332"/>
      <c r="H332"/>
      <c r="I332"/>
      <c r="J332"/>
      <c r="K332"/>
    </row>
    <row r="333" spans="3:11">
      <c r="C333"/>
      <c r="D333"/>
      <c r="E333"/>
      <c r="F333"/>
      <c r="G333"/>
      <c r="H333"/>
      <c r="I333"/>
      <c r="J333"/>
      <c r="K333"/>
    </row>
    <row r="334" spans="3:11">
      <c r="C334"/>
      <c r="D334"/>
      <c r="E334"/>
      <c r="F334"/>
      <c r="G334"/>
      <c r="H334"/>
      <c r="I334"/>
      <c r="J334"/>
      <c r="K334"/>
    </row>
    <row r="335" spans="3:11">
      <c r="C335"/>
      <c r="D335"/>
      <c r="E335"/>
      <c r="F335"/>
      <c r="G335"/>
      <c r="H335"/>
      <c r="I335"/>
      <c r="J335"/>
      <c r="K335"/>
    </row>
    <row r="336" spans="3:11">
      <c r="C336"/>
      <c r="D336"/>
      <c r="E336"/>
      <c r="F336"/>
      <c r="G336"/>
      <c r="H336"/>
      <c r="I336"/>
      <c r="J336"/>
      <c r="K336"/>
    </row>
    <row r="337" spans="3:11">
      <c r="C337"/>
      <c r="D337"/>
      <c r="E337"/>
      <c r="F337"/>
      <c r="G337"/>
      <c r="H337"/>
      <c r="I337"/>
      <c r="J337"/>
      <c r="K337"/>
    </row>
    <row r="338" spans="3:11">
      <c r="C338"/>
      <c r="D338"/>
      <c r="E338"/>
      <c r="F338"/>
      <c r="G338"/>
      <c r="H338"/>
      <c r="I338"/>
      <c r="J338"/>
      <c r="K338"/>
    </row>
    <row r="339" spans="3:11">
      <c r="C339"/>
      <c r="D339"/>
      <c r="E339"/>
      <c r="F339"/>
      <c r="G339"/>
      <c r="H339"/>
      <c r="I339"/>
      <c r="J339"/>
      <c r="K339"/>
    </row>
    <row r="340" spans="3:11">
      <c r="C340"/>
      <c r="D340"/>
      <c r="E340"/>
      <c r="F340"/>
      <c r="G340"/>
      <c r="H340"/>
      <c r="I340"/>
      <c r="J340"/>
      <c r="K340"/>
    </row>
    <row r="341" spans="3:11">
      <c r="C341"/>
      <c r="D341"/>
      <c r="E341"/>
      <c r="F341"/>
      <c r="G341"/>
      <c r="H341"/>
      <c r="I341"/>
      <c r="J341"/>
      <c r="K341"/>
    </row>
    <row r="342" spans="3:11">
      <c r="C342"/>
      <c r="D342"/>
      <c r="E342"/>
      <c r="F342"/>
      <c r="G342"/>
      <c r="H342"/>
      <c r="I342"/>
      <c r="J342"/>
      <c r="K342"/>
    </row>
    <row r="343" spans="3:11">
      <c r="C343"/>
      <c r="D343"/>
      <c r="E343"/>
      <c r="F343"/>
      <c r="G343"/>
      <c r="H343"/>
      <c r="I343"/>
      <c r="J343"/>
      <c r="K343"/>
    </row>
    <row r="344" spans="3:11">
      <c r="C344"/>
      <c r="D344"/>
      <c r="E344"/>
      <c r="F344"/>
      <c r="G344"/>
      <c r="H344"/>
      <c r="I344"/>
      <c r="J344"/>
      <c r="K344"/>
    </row>
    <row r="345" spans="3:11">
      <c r="C345"/>
      <c r="D345"/>
      <c r="E345"/>
      <c r="F345"/>
      <c r="G345"/>
      <c r="H345"/>
      <c r="I345"/>
      <c r="J345"/>
      <c r="K345"/>
    </row>
    <row r="346" spans="3:11">
      <c r="C346"/>
      <c r="D346"/>
      <c r="E346"/>
      <c r="F346"/>
      <c r="G346"/>
      <c r="H346"/>
      <c r="I346"/>
      <c r="J346"/>
      <c r="K346"/>
    </row>
    <row r="347" spans="3:11">
      <c r="C347"/>
      <c r="D347"/>
      <c r="E347"/>
      <c r="F347"/>
      <c r="G347"/>
      <c r="H347"/>
      <c r="I347"/>
      <c r="J347"/>
      <c r="K347"/>
    </row>
    <row r="348" spans="3:11">
      <c r="C348"/>
      <c r="D348"/>
      <c r="E348"/>
      <c r="F348"/>
      <c r="G348"/>
      <c r="H348"/>
      <c r="I348"/>
      <c r="J348"/>
      <c r="K348"/>
    </row>
    <row r="349" spans="3:11">
      <c r="C349"/>
      <c r="D349"/>
      <c r="E349"/>
      <c r="F349"/>
      <c r="G349"/>
      <c r="H349"/>
      <c r="I349"/>
      <c r="J349"/>
      <c r="K349"/>
    </row>
    <row r="350" spans="3:11">
      <c r="C350"/>
      <c r="D350"/>
      <c r="E350"/>
      <c r="F350"/>
      <c r="G350"/>
      <c r="H350"/>
      <c r="I350"/>
      <c r="J350"/>
      <c r="K350"/>
    </row>
    <row r="351" spans="3:11">
      <c r="C351"/>
      <c r="D351"/>
      <c r="E351"/>
      <c r="F351"/>
      <c r="G351"/>
      <c r="H351"/>
      <c r="I351"/>
      <c r="J351"/>
      <c r="K351"/>
    </row>
    <row r="352" spans="3:11">
      <c r="C352"/>
      <c r="D352"/>
      <c r="E352"/>
      <c r="F352"/>
      <c r="G352"/>
      <c r="H352"/>
      <c r="I352"/>
      <c r="J352"/>
      <c r="K352"/>
    </row>
    <row r="353" spans="3:11">
      <c r="C353"/>
      <c r="D353"/>
      <c r="E353"/>
      <c r="F353"/>
      <c r="G353"/>
      <c r="H353"/>
      <c r="I353"/>
      <c r="J353"/>
      <c r="K353"/>
    </row>
    <row r="354" spans="3:11">
      <c r="C354"/>
      <c r="D354"/>
      <c r="E354"/>
      <c r="F354"/>
      <c r="G354"/>
      <c r="H354"/>
      <c r="I354"/>
      <c r="J354"/>
      <c r="K354"/>
    </row>
    <row r="355" spans="3:11">
      <c r="C355"/>
      <c r="D355"/>
      <c r="E355"/>
      <c r="F355"/>
      <c r="G355"/>
      <c r="H355"/>
      <c r="I355"/>
      <c r="J355"/>
      <c r="K355"/>
    </row>
    <row r="356" spans="3:11">
      <c r="C356"/>
      <c r="D356"/>
      <c r="E356"/>
      <c r="F356"/>
      <c r="G356"/>
      <c r="H356"/>
      <c r="I356"/>
      <c r="J356"/>
      <c r="K356"/>
    </row>
    <row r="357" spans="3:11">
      <c r="C357"/>
      <c r="D357"/>
      <c r="E357"/>
      <c r="F357"/>
      <c r="G357"/>
      <c r="H357"/>
      <c r="I357"/>
      <c r="J357"/>
      <c r="K357"/>
    </row>
    <row r="358" spans="3:11">
      <c r="C358"/>
      <c r="D358"/>
      <c r="E358"/>
      <c r="F358"/>
      <c r="G358"/>
      <c r="H358"/>
      <c r="I358"/>
      <c r="J358"/>
      <c r="K358"/>
    </row>
    <row r="359" spans="3:11">
      <c r="C359"/>
      <c r="D359"/>
      <c r="E359"/>
      <c r="F359"/>
      <c r="G359"/>
      <c r="H359"/>
      <c r="I359"/>
      <c r="J359"/>
      <c r="K359"/>
    </row>
    <row r="360" spans="3:11">
      <c r="C360"/>
      <c r="D360"/>
      <c r="E360"/>
      <c r="F360"/>
      <c r="G360"/>
      <c r="H360"/>
      <c r="I360"/>
      <c r="J360"/>
      <c r="K360"/>
    </row>
    <row r="361" spans="3:11">
      <c r="C361"/>
      <c r="D361"/>
      <c r="E361"/>
      <c r="F361"/>
      <c r="G361"/>
      <c r="H361"/>
      <c r="I361"/>
      <c r="J361"/>
      <c r="K361"/>
    </row>
    <row r="362" spans="3:11">
      <c r="C362"/>
      <c r="D362"/>
      <c r="E362"/>
      <c r="F362"/>
      <c r="G362"/>
      <c r="H362"/>
      <c r="I362"/>
      <c r="J362"/>
      <c r="K362"/>
    </row>
    <row r="363" spans="3:11">
      <c r="C363"/>
      <c r="D363"/>
      <c r="E363"/>
      <c r="F363"/>
      <c r="G363"/>
      <c r="H363"/>
      <c r="I363"/>
      <c r="J363"/>
      <c r="K363"/>
    </row>
    <row r="364" spans="3:11">
      <c r="C364"/>
      <c r="D364"/>
      <c r="E364"/>
      <c r="F364"/>
      <c r="G364"/>
      <c r="H364"/>
      <c r="I364"/>
      <c r="J364"/>
      <c r="K364"/>
    </row>
    <row r="365" spans="3:11">
      <c r="C365"/>
      <c r="D365"/>
      <c r="E365"/>
      <c r="F365"/>
      <c r="G365"/>
      <c r="H365"/>
      <c r="I365"/>
      <c r="J365"/>
      <c r="K365"/>
    </row>
    <row r="366" spans="3:11">
      <c r="C366"/>
      <c r="D366"/>
      <c r="E366"/>
      <c r="F366"/>
      <c r="G366"/>
      <c r="H366"/>
      <c r="I366"/>
      <c r="J366"/>
      <c r="K366"/>
    </row>
    <row r="367" spans="3:11">
      <c r="C367"/>
      <c r="D367"/>
      <c r="E367"/>
      <c r="F367"/>
      <c r="G367"/>
      <c r="H367"/>
      <c r="I367"/>
      <c r="J367"/>
      <c r="K367"/>
    </row>
    <row r="368" spans="3:11">
      <c r="C368"/>
      <c r="D368"/>
      <c r="E368"/>
      <c r="F368"/>
      <c r="G368"/>
      <c r="H368"/>
      <c r="I368"/>
      <c r="J368"/>
      <c r="K368"/>
    </row>
    <row r="369" spans="3:11">
      <c r="C369"/>
      <c r="D369"/>
      <c r="E369"/>
      <c r="F369"/>
      <c r="G369"/>
      <c r="H369"/>
      <c r="I369"/>
      <c r="J369"/>
      <c r="K369"/>
    </row>
    <row r="370" spans="3:11">
      <c r="C370"/>
      <c r="D370"/>
      <c r="E370"/>
      <c r="F370"/>
      <c r="G370"/>
      <c r="H370"/>
      <c r="I370"/>
      <c r="J370"/>
      <c r="K370"/>
    </row>
    <row r="371" spans="3:11">
      <c r="C371"/>
      <c r="D371"/>
      <c r="E371"/>
      <c r="F371"/>
      <c r="G371"/>
      <c r="H371"/>
      <c r="I371"/>
      <c r="J371"/>
      <c r="K371"/>
    </row>
    <row r="372" spans="3:11">
      <c r="C372"/>
      <c r="D372"/>
      <c r="E372"/>
      <c r="F372"/>
      <c r="G372"/>
      <c r="H372"/>
      <c r="I372"/>
      <c r="J372"/>
      <c r="K372"/>
    </row>
    <row r="373" spans="3:11">
      <c r="C373"/>
      <c r="D373"/>
      <c r="E373"/>
      <c r="F373"/>
      <c r="G373"/>
      <c r="H373"/>
      <c r="I373"/>
      <c r="J373"/>
      <c r="K373"/>
    </row>
    <row r="374" spans="3:11">
      <c r="C374"/>
      <c r="D374"/>
      <c r="E374"/>
      <c r="F374"/>
      <c r="G374"/>
      <c r="H374"/>
      <c r="I374"/>
      <c r="J374"/>
      <c r="K374"/>
    </row>
    <row r="375" spans="3:11">
      <c r="C375"/>
      <c r="D375"/>
      <c r="E375"/>
      <c r="F375"/>
      <c r="G375"/>
      <c r="H375"/>
      <c r="I375"/>
      <c r="J375"/>
      <c r="K375"/>
    </row>
    <row r="376" spans="3:11">
      <c r="C376"/>
      <c r="D376"/>
      <c r="E376"/>
      <c r="F376"/>
      <c r="G376"/>
      <c r="H376"/>
      <c r="I376"/>
      <c r="J376"/>
      <c r="K376"/>
    </row>
    <row r="377" spans="3:11">
      <c r="C377"/>
      <c r="D377"/>
      <c r="E377"/>
      <c r="F377"/>
      <c r="G377"/>
      <c r="H377"/>
      <c r="I377"/>
      <c r="J377"/>
      <c r="K377"/>
    </row>
    <row r="378" spans="3:11">
      <c r="C378"/>
      <c r="D378"/>
      <c r="E378"/>
      <c r="F378"/>
      <c r="G378"/>
      <c r="H378"/>
      <c r="I378"/>
      <c r="J378"/>
      <c r="K378"/>
    </row>
    <row r="379" spans="3:11">
      <c r="C379"/>
      <c r="D379"/>
      <c r="E379"/>
      <c r="F379"/>
      <c r="G379"/>
      <c r="H379"/>
      <c r="I379"/>
      <c r="J379"/>
      <c r="K379"/>
    </row>
    <row r="380" spans="3:11">
      <c r="C380"/>
      <c r="D380"/>
      <c r="E380"/>
      <c r="F380"/>
      <c r="G380"/>
      <c r="H380"/>
      <c r="I380"/>
      <c r="J380"/>
      <c r="K380"/>
    </row>
    <row r="381" spans="3:11">
      <c r="C381"/>
      <c r="D381"/>
      <c r="E381"/>
      <c r="F381"/>
      <c r="G381"/>
      <c r="H381"/>
      <c r="I381"/>
      <c r="J381"/>
      <c r="K381"/>
    </row>
    <row r="382" spans="3:11">
      <c r="C382"/>
      <c r="D382"/>
      <c r="E382"/>
      <c r="F382"/>
      <c r="G382"/>
      <c r="H382"/>
      <c r="I382"/>
      <c r="J382"/>
      <c r="K382"/>
    </row>
    <row r="383" spans="3:11">
      <c r="C383"/>
      <c r="D383"/>
      <c r="E383"/>
      <c r="F383"/>
      <c r="G383"/>
      <c r="H383"/>
      <c r="I383"/>
      <c r="J383"/>
      <c r="K383"/>
    </row>
    <row r="384" spans="3:11">
      <c r="C384"/>
      <c r="D384"/>
      <c r="E384"/>
      <c r="F384"/>
      <c r="G384"/>
      <c r="H384"/>
      <c r="I384"/>
      <c r="J384"/>
      <c r="K384"/>
    </row>
    <row r="385" spans="3:11">
      <c r="C385"/>
      <c r="D385"/>
      <c r="E385"/>
      <c r="F385"/>
      <c r="G385"/>
      <c r="H385"/>
      <c r="I385"/>
      <c r="J385"/>
      <c r="K385"/>
    </row>
    <row r="386" spans="3:11">
      <c r="C386"/>
      <c r="D386"/>
      <c r="E386"/>
      <c r="F386"/>
      <c r="G386"/>
      <c r="H386"/>
      <c r="I386"/>
      <c r="J386"/>
      <c r="K386"/>
    </row>
    <row r="387" spans="3:11">
      <c r="C387"/>
      <c r="D387"/>
      <c r="E387"/>
      <c r="F387"/>
      <c r="G387"/>
      <c r="H387"/>
      <c r="I387"/>
      <c r="J387"/>
      <c r="K387"/>
    </row>
    <row r="388" spans="3:11">
      <c r="C388"/>
      <c r="D388"/>
      <c r="E388"/>
      <c r="F388"/>
      <c r="G388"/>
      <c r="H388"/>
      <c r="I388"/>
      <c r="J388"/>
      <c r="K388"/>
    </row>
    <row r="389" spans="3:11">
      <c r="C389"/>
      <c r="D389"/>
      <c r="E389"/>
      <c r="F389"/>
      <c r="G389"/>
      <c r="H389"/>
      <c r="I389"/>
      <c r="J389"/>
      <c r="K389"/>
    </row>
    <row r="390" spans="3:11">
      <c r="C390"/>
      <c r="D390"/>
      <c r="E390"/>
      <c r="F390"/>
      <c r="G390"/>
      <c r="H390"/>
      <c r="I390"/>
      <c r="J390"/>
      <c r="K390"/>
    </row>
    <row r="391" spans="3:11">
      <c r="C391"/>
      <c r="D391"/>
      <c r="E391"/>
      <c r="F391"/>
      <c r="G391"/>
      <c r="H391"/>
      <c r="I391"/>
      <c r="J391"/>
      <c r="K391"/>
    </row>
    <row r="392" spans="3:11">
      <c r="C392"/>
      <c r="D392"/>
      <c r="E392"/>
      <c r="F392"/>
      <c r="G392"/>
      <c r="H392"/>
      <c r="I392"/>
      <c r="J392"/>
      <c r="K392"/>
    </row>
    <row r="393" spans="3:11">
      <c r="C393"/>
      <c r="D393"/>
      <c r="E393"/>
      <c r="F393"/>
      <c r="G393"/>
      <c r="H393"/>
      <c r="I393"/>
      <c r="J393"/>
      <c r="K393"/>
    </row>
    <row r="394" spans="3:11">
      <c r="C394"/>
      <c r="D394"/>
      <c r="E394"/>
      <c r="F394"/>
      <c r="G394"/>
      <c r="H394"/>
      <c r="I394"/>
      <c r="J394"/>
      <c r="K394"/>
    </row>
    <row r="395" spans="3:11">
      <c r="C395"/>
      <c r="D395"/>
      <c r="E395"/>
      <c r="F395"/>
      <c r="G395"/>
      <c r="H395"/>
      <c r="I395"/>
      <c r="J395"/>
      <c r="K395"/>
    </row>
    <row r="396" spans="3:11">
      <c r="C396"/>
      <c r="D396"/>
      <c r="E396"/>
      <c r="F396"/>
      <c r="G396"/>
      <c r="H396"/>
      <c r="I396"/>
      <c r="J396"/>
      <c r="K396"/>
    </row>
    <row r="397" spans="3:11">
      <c r="C397"/>
      <c r="D397"/>
      <c r="E397"/>
      <c r="F397"/>
      <c r="G397"/>
      <c r="H397"/>
      <c r="I397"/>
      <c r="J397"/>
      <c r="K397"/>
    </row>
    <row r="398" spans="3:11">
      <c r="C398"/>
      <c r="D398"/>
      <c r="E398"/>
      <c r="F398"/>
      <c r="G398"/>
      <c r="H398"/>
      <c r="I398"/>
      <c r="J398"/>
      <c r="K398"/>
    </row>
    <row r="399" spans="3:11">
      <c r="C399"/>
      <c r="D399"/>
      <c r="E399"/>
      <c r="F399"/>
      <c r="G399"/>
      <c r="H399"/>
      <c r="I399"/>
      <c r="J399"/>
      <c r="K399"/>
    </row>
    <row r="400" spans="3:11">
      <c r="C400"/>
      <c r="D400"/>
      <c r="E400"/>
      <c r="F400"/>
      <c r="G400"/>
      <c r="H400"/>
      <c r="I400"/>
      <c r="J400"/>
      <c r="K400"/>
    </row>
    <row r="401" spans="3:11">
      <c r="C401"/>
      <c r="D401"/>
      <c r="E401"/>
      <c r="F401"/>
      <c r="G401"/>
      <c r="H401"/>
      <c r="I401"/>
      <c r="J401"/>
      <c r="K401"/>
    </row>
    <row r="402" spans="3:11">
      <c r="C402"/>
      <c r="D402"/>
      <c r="E402"/>
      <c r="F402"/>
      <c r="G402"/>
      <c r="H402"/>
      <c r="I402"/>
      <c r="J402"/>
      <c r="K402"/>
    </row>
    <row r="403" spans="3:11">
      <c r="C403"/>
      <c r="D403"/>
      <c r="E403"/>
      <c r="F403"/>
      <c r="G403"/>
      <c r="H403"/>
      <c r="I403"/>
      <c r="J403"/>
      <c r="K403"/>
    </row>
    <row r="404" spans="3:11">
      <c r="C404"/>
      <c r="D404"/>
      <c r="E404"/>
      <c r="F404"/>
      <c r="G404"/>
      <c r="H404"/>
      <c r="I404"/>
      <c r="J404"/>
      <c r="K404"/>
    </row>
    <row r="405" spans="3:11">
      <c r="C405"/>
      <c r="D405"/>
      <c r="E405"/>
      <c r="F405"/>
      <c r="G405"/>
      <c r="H405"/>
      <c r="I405"/>
      <c r="J405"/>
      <c r="K405"/>
    </row>
    <row r="406" spans="3:11">
      <c r="C406"/>
      <c r="D406"/>
      <c r="E406"/>
      <c r="F406"/>
      <c r="G406"/>
      <c r="H406"/>
      <c r="I406"/>
      <c r="J406"/>
      <c r="K406"/>
    </row>
    <row r="407" spans="3:11">
      <c r="C407"/>
      <c r="D407"/>
      <c r="E407"/>
      <c r="F407"/>
      <c r="G407"/>
      <c r="H407"/>
      <c r="I407"/>
      <c r="J407"/>
      <c r="K407"/>
    </row>
    <row r="408" spans="3:11">
      <c r="C408"/>
      <c r="D408"/>
      <c r="E408"/>
      <c r="F408"/>
      <c r="G408"/>
      <c r="H408"/>
      <c r="I408"/>
      <c r="J408"/>
      <c r="K408"/>
    </row>
    <row r="409" spans="3:11">
      <c r="C409"/>
      <c r="D409"/>
      <c r="E409"/>
      <c r="F409"/>
      <c r="G409"/>
      <c r="H409"/>
      <c r="I409"/>
      <c r="J409"/>
      <c r="K409"/>
    </row>
    <row r="410" spans="3:11">
      <c r="C410"/>
      <c r="D410"/>
      <c r="E410"/>
      <c r="F410"/>
      <c r="G410"/>
      <c r="H410"/>
      <c r="I410"/>
      <c r="J410"/>
      <c r="K410"/>
    </row>
    <row r="411" spans="3:11">
      <c r="C411"/>
      <c r="D411"/>
      <c r="E411"/>
      <c r="F411"/>
      <c r="G411"/>
      <c r="H411"/>
      <c r="I411"/>
      <c r="J411"/>
      <c r="K411"/>
    </row>
    <row r="412" spans="3:11">
      <c r="C412"/>
      <c r="D412"/>
      <c r="E412"/>
      <c r="F412"/>
      <c r="G412"/>
      <c r="H412"/>
      <c r="I412"/>
      <c r="J412"/>
      <c r="K412"/>
    </row>
    <row r="413" spans="3:11">
      <c r="C413"/>
      <c r="D413"/>
      <c r="E413"/>
      <c r="F413"/>
      <c r="G413"/>
      <c r="H413"/>
      <c r="I413"/>
      <c r="J413"/>
      <c r="K413"/>
    </row>
    <row r="414" spans="3:11">
      <c r="C414"/>
      <c r="D414"/>
      <c r="E414"/>
      <c r="F414"/>
      <c r="G414"/>
      <c r="H414"/>
      <c r="I414"/>
      <c r="J414"/>
      <c r="K414"/>
    </row>
    <row r="415" spans="3:11">
      <c r="C415"/>
      <c r="D415"/>
      <c r="E415"/>
      <c r="F415"/>
      <c r="G415"/>
      <c r="H415"/>
      <c r="I415"/>
      <c r="J415"/>
      <c r="K415"/>
    </row>
    <row r="416" spans="3:11">
      <c r="C416"/>
      <c r="D416"/>
      <c r="E416"/>
      <c r="F416"/>
      <c r="G416"/>
      <c r="H416"/>
      <c r="I416"/>
      <c r="J416"/>
      <c r="K416"/>
    </row>
    <row r="417" spans="3:11">
      <c r="C417"/>
      <c r="D417"/>
      <c r="E417"/>
      <c r="F417"/>
      <c r="G417"/>
      <c r="H417"/>
      <c r="I417"/>
      <c r="J417"/>
      <c r="K417"/>
    </row>
    <row r="418" spans="3:11">
      <c r="C418"/>
      <c r="D418"/>
      <c r="E418"/>
      <c r="F418"/>
      <c r="G418"/>
      <c r="H418"/>
      <c r="I418"/>
      <c r="J418"/>
      <c r="K418"/>
    </row>
    <row r="419" spans="3:11">
      <c r="C419"/>
      <c r="D419"/>
      <c r="E419"/>
      <c r="F419"/>
      <c r="G419"/>
      <c r="H419"/>
      <c r="I419"/>
      <c r="J419"/>
      <c r="K419"/>
    </row>
    <row r="420" spans="3:11">
      <c r="C420"/>
      <c r="D420"/>
      <c r="E420"/>
      <c r="F420"/>
      <c r="G420"/>
      <c r="H420"/>
      <c r="I420"/>
      <c r="J420"/>
      <c r="K420"/>
    </row>
    <row r="421" spans="3:11">
      <c r="C421"/>
      <c r="D421"/>
      <c r="E421"/>
      <c r="F421"/>
      <c r="G421"/>
      <c r="H421"/>
      <c r="I421"/>
      <c r="J421"/>
      <c r="K421"/>
    </row>
    <row r="422" spans="3:11">
      <c r="C422"/>
      <c r="D422"/>
      <c r="E422"/>
      <c r="F422"/>
      <c r="G422"/>
      <c r="H422"/>
      <c r="I422"/>
      <c r="J422"/>
      <c r="K422"/>
    </row>
    <row r="423" spans="3:11">
      <c r="C423"/>
      <c r="D423"/>
      <c r="E423"/>
      <c r="F423"/>
      <c r="G423"/>
      <c r="H423"/>
      <c r="I423"/>
      <c r="J423"/>
      <c r="K423"/>
    </row>
    <row r="424" spans="3:11">
      <c r="C424"/>
      <c r="D424"/>
      <c r="E424"/>
      <c r="F424"/>
      <c r="G424"/>
      <c r="H424"/>
      <c r="I424"/>
      <c r="J424"/>
      <c r="K424"/>
    </row>
    <row r="425" spans="3:11">
      <c r="C425"/>
      <c r="D425"/>
      <c r="E425"/>
      <c r="F425"/>
      <c r="G425"/>
      <c r="H425"/>
      <c r="I425"/>
      <c r="J425"/>
      <c r="K425"/>
    </row>
    <row r="426" spans="3:11">
      <c r="C426"/>
      <c r="D426"/>
      <c r="E426"/>
      <c r="F426"/>
      <c r="G426"/>
      <c r="H426"/>
      <c r="I426"/>
      <c r="J426"/>
      <c r="K426"/>
    </row>
    <row r="427" spans="3:11">
      <c r="C427"/>
      <c r="D427"/>
      <c r="E427"/>
      <c r="F427"/>
      <c r="G427"/>
      <c r="H427"/>
      <c r="I427"/>
      <c r="J427"/>
      <c r="K427"/>
    </row>
    <row r="428" spans="3:11">
      <c r="C428"/>
      <c r="D428"/>
      <c r="E428"/>
      <c r="F428"/>
      <c r="G428"/>
      <c r="H428"/>
      <c r="I428"/>
      <c r="J428"/>
      <c r="K428"/>
    </row>
    <row r="429" spans="3:11">
      <c r="C429"/>
      <c r="D429"/>
      <c r="E429"/>
      <c r="F429"/>
      <c r="G429"/>
      <c r="H429"/>
      <c r="I429"/>
      <c r="J429"/>
      <c r="K429"/>
    </row>
    <row r="430" spans="3:11">
      <c r="C430"/>
      <c r="D430"/>
      <c r="E430"/>
      <c r="F430"/>
      <c r="G430"/>
      <c r="H430"/>
      <c r="I430"/>
      <c r="J430"/>
      <c r="K430"/>
    </row>
    <row r="431" spans="3:11">
      <c r="C431"/>
      <c r="D431"/>
      <c r="E431"/>
      <c r="F431"/>
      <c r="G431"/>
      <c r="H431"/>
      <c r="I431"/>
      <c r="J431"/>
      <c r="K431"/>
    </row>
    <row r="432" spans="3:11">
      <c r="C432"/>
      <c r="D432"/>
      <c r="E432"/>
      <c r="F432"/>
      <c r="G432"/>
      <c r="H432"/>
      <c r="I432"/>
      <c r="J432"/>
      <c r="K432"/>
    </row>
    <row r="433" spans="3:11">
      <c r="C433"/>
      <c r="D433"/>
      <c r="E433"/>
      <c r="F433"/>
      <c r="G433"/>
      <c r="H433"/>
      <c r="I433"/>
      <c r="J433"/>
      <c r="K433"/>
    </row>
    <row r="434" spans="3:11">
      <c r="C434"/>
      <c r="D434"/>
      <c r="E434"/>
      <c r="F434"/>
      <c r="G434"/>
      <c r="H434"/>
      <c r="I434"/>
      <c r="J434"/>
      <c r="K434"/>
    </row>
    <row r="435" spans="3:11">
      <c r="C435"/>
      <c r="D435"/>
      <c r="E435"/>
      <c r="F435"/>
      <c r="G435"/>
      <c r="H435"/>
      <c r="I435"/>
      <c r="J435"/>
      <c r="K435"/>
    </row>
    <row r="436" spans="3:11">
      <c r="C436"/>
      <c r="D436"/>
      <c r="E436"/>
      <c r="F436"/>
      <c r="G436"/>
      <c r="H436"/>
      <c r="I436"/>
      <c r="J436"/>
      <c r="K436"/>
    </row>
    <row r="437" spans="3:11">
      <c r="C437"/>
      <c r="D437"/>
      <c r="E437"/>
      <c r="F437"/>
      <c r="G437"/>
      <c r="H437"/>
      <c r="I437"/>
      <c r="J437"/>
      <c r="K437"/>
    </row>
    <row r="438" spans="3:11">
      <c r="C438"/>
      <c r="D438"/>
      <c r="E438"/>
      <c r="F438"/>
      <c r="G438"/>
      <c r="H438"/>
      <c r="I438"/>
      <c r="J438"/>
      <c r="K438"/>
    </row>
    <row r="439" spans="3:11">
      <c r="C439"/>
      <c r="D439"/>
      <c r="E439"/>
      <c r="F439"/>
      <c r="G439"/>
      <c r="H439"/>
      <c r="I439"/>
      <c r="J439"/>
      <c r="K439"/>
    </row>
    <row r="440" spans="3:11">
      <c r="C440"/>
      <c r="D440"/>
      <c r="E440"/>
      <c r="F440"/>
      <c r="G440"/>
      <c r="H440"/>
      <c r="I440"/>
      <c r="J440"/>
      <c r="K440"/>
    </row>
    <row r="441" spans="3:11">
      <c r="C441"/>
      <c r="D441"/>
      <c r="E441"/>
      <c r="F441"/>
      <c r="G441"/>
      <c r="H441"/>
      <c r="I441"/>
      <c r="J441"/>
      <c r="K441"/>
    </row>
    <row r="442" spans="3:11">
      <c r="C442"/>
      <c r="D442"/>
      <c r="E442"/>
      <c r="F442"/>
      <c r="G442"/>
      <c r="H442"/>
      <c r="I442"/>
      <c r="J442"/>
      <c r="K442"/>
    </row>
    <row r="443" spans="3:11">
      <c r="C443"/>
      <c r="D443"/>
      <c r="E443"/>
      <c r="F443"/>
      <c r="G443"/>
      <c r="H443"/>
      <c r="I443"/>
      <c r="J443"/>
      <c r="K443"/>
    </row>
    <row r="444" spans="3:11">
      <c r="C444"/>
      <c r="D444"/>
      <c r="E444"/>
      <c r="F444"/>
      <c r="G444"/>
      <c r="H444"/>
      <c r="I444"/>
      <c r="J444"/>
      <c r="K444"/>
    </row>
    <row r="445" spans="3:11">
      <c r="C445"/>
      <c r="D445"/>
      <c r="E445"/>
      <c r="F445"/>
      <c r="G445"/>
      <c r="H445"/>
      <c r="I445"/>
      <c r="J445"/>
      <c r="K445"/>
    </row>
    <row r="446" spans="3:11">
      <c r="C446"/>
      <c r="D446"/>
      <c r="E446"/>
      <c r="F446"/>
      <c r="G446"/>
      <c r="H446"/>
      <c r="I446"/>
      <c r="J446"/>
      <c r="K446"/>
    </row>
    <row r="447" spans="3:11">
      <c r="C447"/>
      <c r="D447"/>
      <c r="E447"/>
      <c r="F447"/>
      <c r="G447"/>
      <c r="H447"/>
      <c r="I447"/>
      <c r="J447"/>
      <c r="K447"/>
    </row>
    <row r="448" spans="3:11">
      <c r="C448"/>
      <c r="D448"/>
      <c r="E448"/>
      <c r="F448"/>
      <c r="G448"/>
      <c r="H448"/>
      <c r="I448"/>
      <c r="J448"/>
      <c r="K448"/>
    </row>
    <row r="449" spans="3:11">
      <c r="C449"/>
      <c r="D449"/>
      <c r="E449"/>
      <c r="F449"/>
      <c r="G449"/>
      <c r="H449"/>
      <c r="I449"/>
      <c r="J449"/>
      <c r="K449"/>
    </row>
    <row r="450" spans="3:11">
      <c r="C450"/>
      <c r="D450"/>
      <c r="E450"/>
      <c r="F450"/>
      <c r="G450"/>
      <c r="H450"/>
      <c r="I450"/>
      <c r="J450"/>
      <c r="K450"/>
    </row>
    <row r="451" spans="3:11">
      <c r="C451"/>
      <c r="D451"/>
      <c r="E451"/>
      <c r="F451"/>
      <c r="G451"/>
      <c r="H451"/>
      <c r="I451"/>
      <c r="J451"/>
      <c r="K451"/>
    </row>
    <row r="452" spans="3:11">
      <c r="C452"/>
      <c r="D452"/>
      <c r="E452"/>
      <c r="F452"/>
      <c r="G452"/>
      <c r="H452"/>
      <c r="I452"/>
      <c r="J452"/>
      <c r="K452"/>
    </row>
    <row r="453" spans="3:11">
      <c r="C453"/>
      <c r="D453"/>
      <c r="E453"/>
      <c r="F453"/>
      <c r="G453"/>
      <c r="H453"/>
      <c r="I453"/>
      <c r="J453"/>
      <c r="K453"/>
    </row>
    <row r="454" spans="3:11">
      <c r="C454"/>
      <c r="D454"/>
      <c r="E454"/>
      <c r="F454"/>
      <c r="G454"/>
      <c r="H454"/>
      <c r="I454"/>
      <c r="J454"/>
      <c r="K454"/>
    </row>
    <row r="455" spans="3:11">
      <c r="C455"/>
      <c r="D455"/>
      <c r="E455"/>
      <c r="F455"/>
      <c r="G455"/>
      <c r="H455"/>
      <c r="I455"/>
      <c r="J455"/>
      <c r="K455"/>
    </row>
    <row r="456" spans="3:11">
      <c r="C456"/>
      <c r="D456"/>
      <c r="E456"/>
      <c r="F456"/>
      <c r="G456"/>
      <c r="H456"/>
      <c r="I456"/>
      <c r="J456"/>
      <c r="K456"/>
    </row>
    <row r="457" spans="3:11">
      <c r="C457"/>
      <c r="D457"/>
      <c r="E457"/>
      <c r="F457"/>
      <c r="G457"/>
      <c r="H457"/>
      <c r="I457"/>
      <c r="J457"/>
      <c r="K457"/>
    </row>
    <row r="458" spans="3:11">
      <c r="C458"/>
      <c r="D458"/>
      <c r="E458"/>
      <c r="F458"/>
      <c r="G458"/>
      <c r="H458"/>
      <c r="I458"/>
      <c r="J458"/>
      <c r="K458"/>
    </row>
    <row r="459" spans="3:11">
      <c r="C459"/>
      <c r="D459"/>
      <c r="E459"/>
      <c r="F459"/>
      <c r="G459"/>
      <c r="H459"/>
      <c r="I459"/>
      <c r="J459"/>
      <c r="K459"/>
    </row>
    <row r="460" spans="3:11">
      <c r="C460"/>
      <c r="D460"/>
      <c r="E460"/>
      <c r="F460"/>
      <c r="G460"/>
      <c r="H460"/>
      <c r="I460"/>
      <c r="J460"/>
      <c r="K460"/>
    </row>
    <row r="461" spans="3:11">
      <c r="C461"/>
      <c r="D461"/>
      <c r="E461"/>
      <c r="F461"/>
      <c r="G461"/>
      <c r="H461"/>
      <c r="I461"/>
      <c r="J461"/>
      <c r="K461"/>
    </row>
    <row r="462" spans="3:11">
      <c r="C462"/>
      <c r="D462"/>
      <c r="E462"/>
      <c r="F462"/>
      <c r="G462"/>
      <c r="H462"/>
      <c r="I462"/>
      <c r="J462"/>
      <c r="K462"/>
    </row>
    <row r="463" spans="3:11">
      <c r="C463"/>
      <c r="D463"/>
      <c r="E463"/>
      <c r="F463"/>
      <c r="G463"/>
      <c r="H463"/>
      <c r="I463"/>
      <c r="J463"/>
      <c r="K463"/>
    </row>
    <row r="464" spans="3:11">
      <c r="C464"/>
      <c r="D464"/>
      <c r="E464"/>
      <c r="F464"/>
      <c r="G464"/>
      <c r="H464"/>
      <c r="I464"/>
      <c r="J464"/>
      <c r="K464"/>
    </row>
    <row r="465" spans="3:11">
      <c r="C465"/>
      <c r="D465"/>
      <c r="E465"/>
      <c r="F465"/>
      <c r="G465"/>
      <c r="H465"/>
      <c r="I465"/>
      <c r="J465"/>
      <c r="K465"/>
    </row>
    <row r="466" spans="3:11">
      <c r="C466"/>
      <c r="D466"/>
      <c r="E466"/>
      <c r="F466"/>
      <c r="G466"/>
      <c r="H466"/>
      <c r="I466"/>
      <c r="J466"/>
      <c r="K466"/>
    </row>
    <row r="467" spans="3:11">
      <c r="C467"/>
      <c r="D467"/>
      <c r="E467"/>
      <c r="F467"/>
      <c r="G467"/>
      <c r="H467"/>
      <c r="I467"/>
      <c r="J467"/>
      <c r="K467"/>
    </row>
    <row r="468" spans="3:11">
      <c r="C468"/>
      <c r="D468"/>
      <c r="E468"/>
      <c r="F468"/>
      <c r="G468"/>
      <c r="H468"/>
      <c r="I468"/>
      <c r="J468"/>
      <c r="K468"/>
    </row>
    <row r="469" spans="3:11">
      <c r="C469"/>
      <c r="D469"/>
      <c r="E469"/>
      <c r="F469"/>
      <c r="G469"/>
      <c r="H469"/>
      <c r="I469"/>
      <c r="J469"/>
      <c r="K469"/>
    </row>
    <row r="470" spans="3:11">
      <c r="C470"/>
      <c r="D470"/>
      <c r="E470"/>
      <c r="F470"/>
      <c r="G470"/>
      <c r="H470"/>
      <c r="I470"/>
      <c r="J470"/>
      <c r="K470"/>
    </row>
    <row r="471" spans="3:11">
      <c r="C471"/>
      <c r="D471"/>
      <c r="E471"/>
      <c r="F471"/>
      <c r="G471"/>
      <c r="H471"/>
      <c r="I471"/>
      <c r="J471"/>
      <c r="K471"/>
    </row>
    <row r="472" spans="3:11">
      <c r="C472"/>
      <c r="D472"/>
      <c r="E472"/>
      <c r="F472"/>
      <c r="G472"/>
      <c r="H472"/>
      <c r="I472"/>
      <c r="J472"/>
      <c r="K472"/>
    </row>
    <row r="473" spans="3:11">
      <c r="C473"/>
      <c r="D473"/>
      <c r="E473"/>
      <c r="F473"/>
      <c r="G473"/>
      <c r="H473"/>
      <c r="I473"/>
      <c r="J473"/>
      <c r="K473"/>
    </row>
    <row r="474" spans="3:11">
      <c r="C474"/>
      <c r="D474"/>
      <c r="E474"/>
      <c r="F474"/>
      <c r="G474"/>
      <c r="H474"/>
      <c r="I474"/>
      <c r="J474"/>
      <c r="K474"/>
    </row>
    <row r="475" spans="3:11">
      <c r="C475"/>
      <c r="D475"/>
      <c r="E475"/>
      <c r="F475"/>
      <c r="G475"/>
      <c r="H475"/>
      <c r="I475"/>
      <c r="J475"/>
      <c r="K475"/>
    </row>
    <row r="476" spans="3:11">
      <c r="C476"/>
      <c r="D476"/>
      <c r="E476"/>
      <c r="F476"/>
      <c r="G476"/>
      <c r="H476"/>
      <c r="I476"/>
      <c r="J476"/>
      <c r="K476"/>
    </row>
    <row r="477" spans="3:11">
      <c r="C477"/>
      <c r="D477"/>
      <c r="E477"/>
      <c r="F477"/>
      <c r="G477"/>
      <c r="H477"/>
      <c r="I477"/>
      <c r="J477"/>
      <c r="K477"/>
    </row>
    <row r="478" spans="3:11">
      <c r="C478"/>
      <c r="D478"/>
      <c r="E478"/>
      <c r="F478"/>
      <c r="G478"/>
      <c r="H478"/>
      <c r="I478"/>
      <c r="J478"/>
      <c r="K478"/>
    </row>
    <row r="479" spans="3:11">
      <c r="C479"/>
      <c r="D479"/>
      <c r="E479"/>
      <c r="F479"/>
      <c r="G479"/>
      <c r="H479"/>
      <c r="I479"/>
      <c r="J479"/>
      <c r="K479"/>
    </row>
    <row r="480" spans="3:11">
      <c r="C480"/>
      <c r="D480"/>
      <c r="E480"/>
      <c r="F480"/>
      <c r="G480"/>
      <c r="H480"/>
      <c r="I480"/>
      <c r="J480"/>
      <c r="K480"/>
    </row>
    <row r="481" spans="3:11">
      <c r="C481"/>
      <c r="D481"/>
      <c r="E481"/>
      <c r="F481"/>
      <c r="G481"/>
      <c r="H481"/>
      <c r="I481"/>
      <c r="J481"/>
      <c r="K481"/>
    </row>
    <row r="482" spans="3:11">
      <c r="C482"/>
      <c r="D482"/>
      <c r="E482"/>
      <c r="F482"/>
      <c r="G482"/>
      <c r="H482"/>
      <c r="I482"/>
      <c r="J482"/>
      <c r="K482"/>
    </row>
    <row r="483" spans="3:11">
      <c r="C483"/>
      <c r="D483"/>
      <c r="E483"/>
      <c r="F483"/>
      <c r="G483"/>
      <c r="H483"/>
      <c r="I483"/>
      <c r="J483"/>
      <c r="K483"/>
    </row>
    <row r="484" spans="3:11">
      <c r="C484"/>
      <c r="D484"/>
      <c r="E484"/>
      <c r="F484"/>
      <c r="G484"/>
      <c r="H484"/>
      <c r="I484"/>
      <c r="J484"/>
      <c r="K484"/>
    </row>
    <row r="485" spans="3:11">
      <c r="C485"/>
      <c r="D485"/>
      <c r="E485"/>
      <c r="F485"/>
      <c r="G485"/>
      <c r="H485"/>
      <c r="I485"/>
      <c r="J485"/>
      <c r="K485"/>
    </row>
    <row r="486" spans="3:11">
      <c r="C486"/>
      <c r="D486"/>
      <c r="E486"/>
      <c r="F486"/>
      <c r="G486"/>
      <c r="H486"/>
      <c r="I486"/>
      <c r="J486"/>
      <c r="K486"/>
    </row>
    <row r="487" spans="3:11">
      <c r="C487"/>
      <c r="D487"/>
      <c r="E487"/>
      <c r="F487"/>
      <c r="G487"/>
      <c r="H487"/>
      <c r="I487"/>
      <c r="J487"/>
      <c r="K487"/>
    </row>
    <row r="488" spans="3:11">
      <c r="C488"/>
      <c r="D488"/>
      <c r="E488"/>
      <c r="F488"/>
      <c r="G488"/>
      <c r="H488"/>
      <c r="I488"/>
      <c r="J488"/>
      <c r="K488"/>
    </row>
    <row r="489" spans="3:11">
      <c r="C489"/>
      <c r="D489"/>
      <c r="E489"/>
      <c r="F489"/>
      <c r="G489"/>
      <c r="H489"/>
      <c r="I489"/>
      <c r="J489"/>
      <c r="K489"/>
    </row>
    <row r="490" spans="3:11">
      <c r="C490"/>
      <c r="D490"/>
      <c r="E490"/>
      <c r="F490"/>
      <c r="G490"/>
      <c r="H490"/>
      <c r="I490"/>
      <c r="J490"/>
      <c r="K490"/>
    </row>
    <row r="491" spans="3:11">
      <c r="C491"/>
      <c r="D491"/>
      <c r="E491"/>
      <c r="F491"/>
      <c r="G491"/>
      <c r="H491"/>
      <c r="I491"/>
      <c r="J491"/>
      <c r="K491"/>
    </row>
    <row r="492" spans="3:11">
      <c r="C492"/>
      <c r="D492"/>
      <c r="E492"/>
      <c r="F492"/>
      <c r="G492"/>
      <c r="H492"/>
      <c r="I492"/>
      <c r="J492"/>
      <c r="K492"/>
    </row>
    <row r="493" spans="3:11">
      <c r="C493"/>
      <c r="D493"/>
      <c r="E493"/>
      <c r="F493"/>
      <c r="G493"/>
      <c r="H493"/>
      <c r="I493"/>
      <c r="J493"/>
      <c r="K493"/>
    </row>
    <row r="494" spans="3:11">
      <c r="C494"/>
      <c r="D494"/>
      <c r="E494"/>
      <c r="F494"/>
      <c r="G494"/>
      <c r="H494"/>
      <c r="I494"/>
      <c r="J494"/>
      <c r="K494"/>
    </row>
    <row r="495" spans="3:11">
      <c r="C495"/>
      <c r="D495"/>
      <c r="E495"/>
      <c r="F495"/>
      <c r="G495"/>
      <c r="H495"/>
      <c r="I495"/>
      <c r="J495"/>
      <c r="K495"/>
    </row>
    <row r="496" spans="3:11">
      <c r="C496"/>
      <c r="D496"/>
      <c r="E496"/>
      <c r="F496"/>
      <c r="G496"/>
      <c r="H496"/>
      <c r="I496"/>
      <c r="J496"/>
      <c r="K496"/>
    </row>
    <row r="497" spans="3:11">
      <c r="C497"/>
      <c r="D497"/>
      <c r="E497"/>
      <c r="F497"/>
      <c r="G497"/>
      <c r="H497"/>
      <c r="I497"/>
      <c r="J497"/>
      <c r="K497"/>
    </row>
    <row r="498" spans="3:11">
      <c r="C498"/>
      <c r="D498"/>
      <c r="E498"/>
      <c r="F498"/>
      <c r="G498"/>
      <c r="H498"/>
      <c r="I498"/>
      <c r="J498"/>
      <c r="K498"/>
    </row>
    <row r="499" spans="3:11">
      <c r="C499"/>
      <c r="D499"/>
      <c r="E499"/>
      <c r="F499"/>
      <c r="G499"/>
      <c r="H499"/>
      <c r="I499"/>
      <c r="J499"/>
      <c r="K499"/>
    </row>
    <row r="500" spans="3:11">
      <c r="C500"/>
      <c r="D500"/>
      <c r="E500"/>
      <c r="F500"/>
      <c r="G500"/>
      <c r="H500"/>
      <c r="I500"/>
      <c r="J500"/>
      <c r="K500"/>
    </row>
    <row r="501" spans="3:11">
      <c r="C501"/>
      <c r="D501"/>
      <c r="E501"/>
      <c r="F501"/>
      <c r="G501"/>
      <c r="H501"/>
      <c r="I501"/>
      <c r="J501"/>
      <c r="K501"/>
    </row>
    <row r="502" spans="3:11">
      <c r="C502"/>
      <c r="D502"/>
      <c r="E502"/>
      <c r="F502"/>
      <c r="G502"/>
      <c r="H502"/>
      <c r="I502"/>
      <c r="J502"/>
      <c r="K502"/>
    </row>
    <row r="503" spans="3:11">
      <c r="C503"/>
      <c r="D503"/>
      <c r="E503"/>
      <c r="F503"/>
      <c r="G503"/>
      <c r="H503"/>
      <c r="I503"/>
      <c r="J503"/>
      <c r="K503"/>
    </row>
    <row r="504" spans="3:11">
      <c r="C504"/>
      <c r="D504"/>
      <c r="E504"/>
      <c r="F504"/>
      <c r="G504"/>
      <c r="H504"/>
      <c r="I504"/>
      <c r="J504"/>
      <c r="K504"/>
    </row>
    <row r="505" spans="3:11">
      <c r="C505"/>
      <c r="D505"/>
      <c r="E505"/>
      <c r="F505"/>
      <c r="G505"/>
      <c r="H505"/>
      <c r="I505"/>
      <c r="J505"/>
      <c r="K505"/>
    </row>
    <row r="506" spans="3:11">
      <c r="C506"/>
      <c r="D506"/>
      <c r="E506"/>
      <c r="F506"/>
      <c r="G506"/>
      <c r="H506"/>
      <c r="I506"/>
      <c r="J506"/>
      <c r="K506"/>
    </row>
    <row r="507" spans="3:11">
      <c r="C507"/>
      <c r="D507"/>
      <c r="E507"/>
      <c r="F507"/>
      <c r="G507"/>
      <c r="H507"/>
      <c r="I507"/>
      <c r="J507"/>
      <c r="K507"/>
    </row>
    <row r="508" spans="3:11">
      <c r="C508"/>
      <c r="D508"/>
      <c r="E508"/>
      <c r="F508"/>
      <c r="G508"/>
      <c r="H508"/>
      <c r="I508"/>
      <c r="J508"/>
      <c r="K508"/>
    </row>
    <row r="509" spans="3:11">
      <c r="C509"/>
      <c r="D509"/>
      <c r="E509"/>
      <c r="F509"/>
      <c r="G509"/>
      <c r="H509"/>
      <c r="I509"/>
      <c r="J509"/>
      <c r="K509"/>
    </row>
    <row r="510" spans="3:11">
      <c r="C510"/>
      <c r="D510"/>
      <c r="E510"/>
      <c r="F510"/>
      <c r="G510"/>
      <c r="H510"/>
      <c r="I510"/>
      <c r="J510"/>
      <c r="K510"/>
    </row>
    <row r="511" spans="3:11">
      <c r="C511"/>
      <c r="D511"/>
      <c r="E511"/>
      <c r="F511"/>
      <c r="G511"/>
      <c r="H511"/>
      <c r="I511"/>
      <c r="J511"/>
      <c r="K511"/>
    </row>
    <row r="512" spans="3:11">
      <c r="C512"/>
      <c r="D512"/>
      <c r="E512"/>
      <c r="F512"/>
      <c r="G512"/>
      <c r="H512"/>
      <c r="I512"/>
      <c r="J512"/>
      <c r="K512"/>
    </row>
    <row r="513" spans="3:11">
      <c r="C513"/>
      <c r="D513"/>
      <c r="E513"/>
      <c r="F513"/>
      <c r="G513"/>
      <c r="H513"/>
      <c r="I513"/>
      <c r="J513"/>
      <c r="K513"/>
    </row>
    <row r="514" spans="3:11">
      <c r="C514"/>
      <c r="D514"/>
      <c r="E514"/>
      <c r="F514"/>
      <c r="G514"/>
      <c r="H514"/>
      <c r="I514"/>
      <c r="J514"/>
      <c r="K514"/>
    </row>
    <row r="515" spans="3:11">
      <c r="C515"/>
      <c r="D515"/>
      <c r="E515"/>
      <c r="F515"/>
      <c r="G515"/>
      <c r="H515"/>
      <c r="I515"/>
      <c r="J515"/>
      <c r="K515"/>
    </row>
    <row r="516" spans="3:11">
      <c r="C516"/>
      <c r="D516"/>
      <c r="E516"/>
      <c r="F516"/>
      <c r="G516"/>
      <c r="H516"/>
      <c r="I516"/>
      <c r="J516"/>
      <c r="K516"/>
    </row>
    <row r="517" spans="3:11">
      <c r="C517"/>
      <c r="D517"/>
      <c r="E517"/>
      <c r="F517"/>
      <c r="G517"/>
      <c r="H517"/>
      <c r="I517"/>
      <c r="J517"/>
      <c r="K517"/>
    </row>
    <row r="518" spans="3:11">
      <c r="C518"/>
      <c r="D518"/>
      <c r="E518"/>
      <c r="F518"/>
      <c r="G518"/>
      <c r="H518"/>
      <c r="I518"/>
      <c r="J518"/>
      <c r="K518"/>
    </row>
    <row r="519" spans="3:11">
      <c r="C519"/>
      <c r="D519"/>
      <c r="E519"/>
      <c r="F519"/>
      <c r="G519"/>
      <c r="H519"/>
      <c r="I519"/>
      <c r="J519"/>
      <c r="K519"/>
    </row>
    <row r="520" spans="3:11">
      <c r="C520"/>
      <c r="D520"/>
      <c r="E520"/>
      <c r="F520"/>
      <c r="G520"/>
      <c r="H520"/>
      <c r="I520"/>
      <c r="J520"/>
      <c r="K520"/>
    </row>
    <row r="521" spans="3:11">
      <c r="C521"/>
      <c r="D521"/>
      <c r="E521"/>
      <c r="F521"/>
      <c r="G521"/>
      <c r="H521"/>
      <c r="I521"/>
      <c r="J521"/>
      <c r="K521"/>
    </row>
    <row r="522" spans="3:11">
      <c r="C522"/>
      <c r="D522"/>
      <c r="E522"/>
      <c r="F522"/>
      <c r="G522"/>
      <c r="H522"/>
      <c r="I522"/>
      <c r="J522"/>
      <c r="K522"/>
    </row>
    <row r="523" spans="3:11">
      <c r="C523"/>
      <c r="D523"/>
      <c r="E523"/>
      <c r="F523"/>
      <c r="G523"/>
      <c r="H523"/>
      <c r="I523"/>
      <c r="J523"/>
      <c r="K523"/>
    </row>
    <row r="524" spans="3:11">
      <c r="C524"/>
      <c r="D524"/>
      <c r="E524"/>
      <c r="F524"/>
      <c r="G524"/>
      <c r="H524"/>
      <c r="I524"/>
      <c r="J524"/>
      <c r="K524"/>
    </row>
    <row r="525" spans="3:11">
      <c r="C525"/>
      <c r="D525"/>
      <c r="E525"/>
      <c r="F525"/>
      <c r="G525"/>
      <c r="H525"/>
      <c r="I525"/>
      <c r="J525"/>
      <c r="K525"/>
    </row>
    <row r="526" spans="3:11">
      <c r="C526"/>
      <c r="D526"/>
      <c r="E526"/>
      <c r="F526"/>
      <c r="G526"/>
      <c r="H526"/>
      <c r="I526"/>
      <c r="J526"/>
      <c r="K526"/>
    </row>
    <row r="527" spans="3:11">
      <c r="C527"/>
      <c r="D527"/>
      <c r="E527"/>
      <c r="F527"/>
      <c r="G527"/>
      <c r="H527"/>
      <c r="I527"/>
      <c r="J527"/>
      <c r="K527"/>
    </row>
    <row r="528" spans="3:11">
      <c r="C528"/>
      <c r="D528"/>
      <c r="E528"/>
      <c r="F528"/>
      <c r="G528"/>
      <c r="H528"/>
      <c r="I528"/>
      <c r="J528"/>
      <c r="K528"/>
    </row>
    <row r="529" spans="3:11">
      <c r="C529"/>
      <c r="D529"/>
      <c r="E529"/>
      <c r="F529"/>
      <c r="G529"/>
      <c r="H529"/>
      <c r="I529"/>
      <c r="J529"/>
      <c r="K529"/>
    </row>
    <row r="530" spans="3:11">
      <c r="C530"/>
      <c r="D530"/>
      <c r="E530"/>
      <c r="F530"/>
      <c r="G530"/>
      <c r="H530"/>
      <c r="I530"/>
      <c r="J530"/>
      <c r="K530"/>
    </row>
    <row r="531" spans="3:11">
      <c r="C531"/>
      <c r="D531"/>
      <c r="E531"/>
      <c r="F531"/>
      <c r="G531"/>
      <c r="H531"/>
      <c r="I531"/>
      <c r="J531"/>
      <c r="K531"/>
    </row>
    <row r="532" spans="3:11">
      <c r="C532"/>
      <c r="D532"/>
      <c r="E532"/>
      <c r="F532"/>
      <c r="G532"/>
      <c r="H532"/>
      <c r="I532"/>
      <c r="J532"/>
      <c r="K532"/>
    </row>
    <row r="533" spans="3:11">
      <c r="C533"/>
      <c r="D533"/>
      <c r="E533"/>
      <c r="F533"/>
      <c r="G533"/>
      <c r="H533"/>
      <c r="I533"/>
      <c r="J533"/>
      <c r="K533"/>
    </row>
    <row r="534" spans="3:11">
      <c r="C534"/>
      <c r="D534"/>
      <c r="E534"/>
      <c r="F534"/>
      <c r="G534"/>
      <c r="H534"/>
      <c r="I534"/>
      <c r="J534"/>
      <c r="K534"/>
    </row>
    <row r="535" spans="3:11">
      <c r="C535"/>
      <c r="D535"/>
      <c r="E535"/>
      <c r="F535"/>
      <c r="G535"/>
      <c r="H535"/>
      <c r="I535"/>
      <c r="J535"/>
      <c r="K535"/>
    </row>
    <row r="536" spans="3:11">
      <c r="C536"/>
      <c r="D536"/>
      <c r="E536"/>
      <c r="F536"/>
      <c r="G536"/>
      <c r="H536"/>
      <c r="I536"/>
      <c r="J536"/>
      <c r="K536"/>
    </row>
    <row r="537" spans="3:11">
      <c r="C537"/>
      <c r="D537"/>
      <c r="E537"/>
      <c r="F537"/>
      <c r="G537"/>
      <c r="H537"/>
      <c r="I537"/>
      <c r="J537"/>
      <c r="K537"/>
    </row>
    <row r="538" spans="3:11">
      <c r="C538"/>
      <c r="D538"/>
      <c r="E538"/>
      <c r="F538"/>
      <c r="G538"/>
      <c r="H538"/>
      <c r="I538"/>
      <c r="J538"/>
      <c r="K538"/>
    </row>
    <row r="539" spans="3:11">
      <c r="C539"/>
      <c r="D539"/>
      <c r="E539"/>
      <c r="F539"/>
      <c r="G539"/>
      <c r="H539"/>
      <c r="I539"/>
      <c r="J539"/>
      <c r="K539"/>
    </row>
    <row r="540" spans="3:11">
      <c r="C540"/>
      <c r="D540"/>
      <c r="E540"/>
      <c r="F540"/>
      <c r="G540"/>
      <c r="H540"/>
      <c r="I540"/>
      <c r="J540"/>
      <c r="K540"/>
    </row>
    <row r="541" spans="3:11">
      <c r="C541"/>
      <c r="D541"/>
      <c r="E541"/>
      <c r="F541"/>
      <c r="G541"/>
      <c r="H541"/>
      <c r="I541"/>
      <c r="J541"/>
      <c r="K541"/>
    </row>
    <row r="542" spans="3:11">
      <c r="C542"/>
      <c r="D542"/>
      <c r="E542"/>
      <c r="F542"/>
      <c r="G542"/>
      <c r="H542"/>
      <c r="I542"/>
      <c r="J542"/>
      <c r="K542"/>
    </row>
    <row r="543" spans="3:11">
      <c r="C543"/>
      <c r="D543"/>
      <c r="E543"/>
      <c r="F543"/>
      <c r="G543"/>
      <c r="H543"/>
      <c r="I543"/>
      <c r="J543"/>
      <c r="K543"/>
    </row>
    <row r="544" spans="3:11">
      <c r="C544"/>
      <c r="D544"/>
      <c r="E544"/>
      <c r="F544"/>
      <c r="G544"/>
      <c r="H544"/>
      <c r="I544"/>
      <c r="J544"/>
      <c r="K544"/>
    </row>
    <row r="545" spans="3:11">
      <c r="C545"/>
      <c r="D545"/>
      <c r="E545"/>
      <c r="F545"/>
      <c r="G545"/>
      <c r="H545"/>
      <c r="I545"/>
      <c r="J545"/>
      <c r="K545"/>
    </row>
    <row r="546" spans="3:11">
      <c r="C546"/>
      <c r="D546"/>
      <c r="E546"/>
      <c r="F546"/>
      <c r="G546"/>
      <c r="H546"/>
      <c r="I546"/>
      <c r="J546"/>
      <c r="K546"/>
    </row>
    <row r="547" spans="3:11">
      <c r="C547"/>
      <c r="D547"/>
      <c r="E547"/>
      <c r="F547"/>
      <c r="G547"/>
      <c r="H547"/>
      <c r="I547"/>
      <c r="J547"/>
      <c r="K547"/>
    </row>
    <row r="548" spans="3:11">
      <c r="C548"/>
      <c r="D548"/>
      <c r="E548"/>
      <c r="F548"/>
      <c r="G548"/>
      <c r="H548"/>
      <c r="I548"/>
      <c r="J548"/>
      <c r="K548"/>
    </row>
    <row r="549" spans="3:11">
      <c r="C549"/>
      <c r="D549"/>
      <c r="E549"/>
      <c r="F549"/>
      <c r="G549"/>
      <c r="H549"/>
      <c r="I549"/>
      <c r="J549"/>
      <c r="K549"/>
    </row>
    <row r="550" spans="3:11">
      <c r="C550"/>
      <c r="D550"/>
      <c r="E550"/>
      <c r="F550"/>
      <c r="G550"/>
      <c r="H550"/>
      <c r="I550"/>
      <c r="J550"/>
      <c r="K550"/>
    </row>
    <row r="551" spans="3:11">
      <c r="C551"/>
      <c r="D551"/>
      <c r="E551"/>
      <c r="F551"/>
      <c r="G551"/>
      <c r="H551"/>
      <c r="I551"/>
      <c r="J551"/>
      <c r="K551"/>
    </row>
    <row r="552" spans="3:11">
      <c r="C552"/>
      <c r="D552"/>
      <c r="E552"/>
      <c r="F552"/>
      <c r="G552"/>
      <c r="H552"/>
      <c r="I552"/>
      <c r="J552"/>
      <c r="K552"/>
    </row>
    <row r="553" spans="3:11">
      <c r="C553"/>
      <c r="D553"/>
      <c r="E553"/>
      <c r="F553"/>
      <c r="G553"/>
      <c r="H553"/>
      <c r="I553"/>
      <c r="J553"/>
      <c r="K553"/>
    </row>
    <row r="554" spans="3:11">
      <c r="C554"/>
      <c r="D554"/>
      <c r="E554"/>
      <c r="F554"/>
      <c r="G554"/>
      <c r="H554"/>
      <c r="I554"/>
      <c r="J554"/>
      <c r="K554"/>
    </row>
    <row r="555" spans="3:11">
      <c r="C555"/>
      <c r="D555"/>
      <c r="E555"/>
      <c r="F555"/>
      <c r="G555"/>
      <c r="H555"/>
      <c r="I555"/>
      <c r="J555"/>
      <c r="K555"/>
    </row>
    <row r="556" spans="3:11">
      <c r="C556"/>
      <c r="D556"/>
      <c r="E556"/>
      <c r="F556"/>
      <c r="G556"/>
      <c r="H556"/>
      <c r="I556"/>
      <c r="J556"/>
      <c r="K556"/>
    </row>
    <row r="557" spans="3:11">
      <c r="C557"/>
      <c r="D557"/>
      <c r="E557"/>
      <c r="F557"/>
      <c r="G557"/>
      <c r="H557"/>
      <c r="I557"/>
      <c r="J557"/>
      <c r="K557"/>
    </row>
    <row r="558" spans="3:11">
      <c r="C558"/>
      <c r="D558"/>
      <c r="E558"/>
      <c r="F558"/>
      <c r="G558"/>
      <c r="H558"/>
      <c r="I558"/>
      <c r="J558"/>
      <c r="K558"/>
    </row>
    <row r="559" spans="3:11">
      <c r="C559"/>
      <c r="D559"/>
      <c r="E559"/>
      <c r="F559"/>
      <c r="G559"/>
      <c r="H559"/>
      <c r="I559"/>
      <c r="J559"/>
      <c r="K559"/>
    </row>
    <row r="560" spans="3:11">
      <c r="C560"/>
      <c r="D560"/>
      <c r="E560"/>
      <c r="F560"/>
      <c r="G560"/>
      <c r="H560"/>
      <c r="I560"/>
      <c r="J560"/>
      <c r="K560"/>
    </row>
    <row r="561" spans="3:11">
      <c r="C561"/>
      <c r="D561"/>
      <c r="E561"/>
      <c r="F561"/>
      <c r="G561"/>
      <c r="H561"/>
      <c r="I561"/>
      <c r="J561"/>
      <c r="K561"/>
    </row>
    <row r="562" spans="3:11">
      <c r="C562"/>
      <c r="D562"/>
      <c r="E562"/>
      <c r="F562"/>
      <c r="G562"/>
      <c r="H562"/>
      <c r="I562"/>
      <c r="J562"/>
      <c r="K562"/>
    </row>
    <row r="563" spans="3:11">
      <c r="C563"/>
      <c r="D563"/>
      <c r="E563"/>
      <c r="F563"/>
      <c r="G563"/>
      <c r="H563"/>
      <c r="I563"/>
      <c r="J563"/>
      <c r="K563"/>
    </row>
    <row r="564" spans="3:11">
      <c r="C564"/>
      <c r="D564"/>
      <c r="E564"/>
      <c r="F564"/>
      <c r="G564"/>
      <c r="H564"/>
      <c r="I564"/>
      <c r="J564"/>
      <c r="K564"/>
    </row>
    <row r="565" spans="3:11">
      <c r="C565"/>
      <c r="D565"/>
      <c r="E565"/>
      <c r="F565"/>
      <c r="G565"/>
      <c r="H565"/>
      <c r="I565"/>
      <c r="J565"/>
      <c r="K565"/>
    </row>
    <row r="566" spans="3:11">
      <c r="C566"/>
      <c r="D566"/>
      <c r="E566"/>
      <c r="F566"/>
      <c r="G566"/>
      <c r="H566"/>
      <c r="I566"/>
      <c r="J566"/>
      <c r="K566"/>
    </row>
    <row r="567" spans="3:11">
      <c r="C567"/>
      <c r="D567"/>
      <c r="E567"/>
      <c r="F567"/>
      <c r="G567"/>
      <c r="H567"/>
      <c r="I567"/>
      <c r="J567"/>
      <c r="K567"/>
    </row>
    <row r="568" spans="3:11">
      <c r="C568"/>
      <c r="D568"/>
      <c r="E568"/>
      <c r="F568"/>
      <c r="G568"/>
      <c r="H568"/>
      <c r="I568"/>
      <c r="J568"/>
      <c r="K568"/>
    </row>
    <row r="569" spans="3:11">
      <c r="C569"/>
      <c r="D569"/>
      <c r="E569"/>
      <c r="F569"/>
      <c r="G569"/>
      <c r="H569"/>
      <c r="I569"/>
      <c r="J569"/>
      <c r="K569"/>
    </row>
    <row r="570" spans="3:11">
      <c r="C570"/>
      <c r="D570"/>
      <c r="E570"/>
      <c r="F570"/>
      <c r="G570"/>
      <c r="H570"/>
      <c r="I570"/>
      <c r="J570"/>
      <c r="K570"/>
    </row>
    <row r="571" spans="3:11">
      <c r="C571"/>
      <c r="D571"/>
      <c r="E571"/>
      <c r="F571"/>
      <c r="G571"/>
      <c r="H571"/>
      <c r="I571"/>
      <c r="J571"/>
      <c r="K571"/>
    </row>
    <row r="572" spans="3:11">
      <c r="C572"/>
      <c r="D572"/>
      <c r="E572"/>
      <c r="F572"/>
      <c r="G572"/>
      <c r="H572"/>
      <c r="I572"/>
      <c r="J572"/>
      <c r="K572"/>
    </row>
    <row r="573" spans="3:11">
      <c r="C573"/>
      <c r="D573"/>
      <c r="E573"/>
      <c r="F573"/>
      <c r="G573"/>
      <c r="H573"/>
      <c r="I573"/>
      <c r="J573"/>
      <c r="K573"/>
    </row>
    <row r="574" spans="3:11">
      <c r="C574"/>
      <c r="D574"/>
      <c r="E574"/>
      <c r="F574"/>
      <c r="G574"/>
      <c r="H574"/>
      <c r="I574"/>
      <c r="J574"/>
      <c r="K574"/>
    </row>
    <row r="575" spans="3:11">
      <c r="C575"/>
      <c r="D575"/>
      <c r="E575"/>
      <c r="F575"/>
      <c r="G575"/>
      <c r="H575"/>
      <c r="I575"/>
      <c r="J575"/>
      <c r="K575"/>
    </row>
    <row r="576" spans="3:11">
      <c r="C576"/>
      <c r="D576"/>
      <c r="E576"/>
      <c r="F576"/>
      <c r="G576"/>
      <c r="H576"/>
      <c r="I576"/>
      <c r="J576"/>
      <c r="K576"/>
    </row>
    <row r="577" spans="3:11">
      <c r="C577"/>
      <c r="D577"/>
      <c r="E577"/>
      <c r="F577"/>
      <c r="G577"/>
      <c r="H577"/>
      <c r="I577"/>
      <c r="J577"/>
      <c r="K577"/>
    </row>
    <row r="578" spans="3:11">
      <c r="C578"/>
      <c r="D578"/>
      <c r="E578"/>
      <c r="F578"/>
      <c r="G578"/>
      <c r="H578"/>
      <c r="I578"/>
      <c r="J578"/>
      <c r="K578"/>
    </row>
    <row r="579" spans="3:11">
      <c r="C579"/>
      <c r="D579"/>
      <c r="E579"/>
      <c r="F579"/>
      <c r="G579"/>
      <c r="H579"/>
      <c r="I579"/>
      <c r="J579"/>
      <c r="K579"/>
    </row>
    <row r="580" spans="3:11">
      <c r="C580"/>
      <c r="D580"/>
      <c r="E580"/>
      <c r="F580"/>
      <c r="G580"/>
      <c r="H580"/>
      <c r="I580"/>
      <c r="J580"/>
      <c r="K580"/>
    </row>
    <row r="581" spans="3:11">
      <c r="C581"/>
      <c r="D581"/>
      <c r="E581"/>
      <c r="F581"/>
      <c r="G581"/>
      <c r="H581"/>
      <c r="I581"/>
      <c r="J581"/>
      <c r="K581"/>
    </row>
    <row r="582" spans="3:11">
      <c r="C582"/>
      <c r="D582"/>
      <c r="E582"/>
      <c r="F582"/>
      <c r="G582"/>
      <c r="H582"/>
      <c r="I582"/>
      <c r="J582"/>
      <c r="K582"/>
    </row>
    <row r="583" spans="3:11">
      <c r="C583"/>
      <c r="D583"/>
      <c r="E583"/>
      <c r="F583"/>
      <c r="G583"/>
      <c r="H583"/>
      <c r="I583"/>
      <c r="J583"/>
      <c r="K583"/>
    </row>
    <row r="584" spans="3:11">
      <c r="C584"/>
      <c r="D584"/>
      <c r="E584"/>
      <c r="F584"/>
      <c r="G584"/>
      <c r="H584"/>
      <c r="I584"/>
      <c r="J584"/>
      <c r="K584"/>
    </row>
    <row r="585" spans="3:11">
      <c r="C585"/>
      <c r="D585"/>
      <c r="E585"/>
      <c r="F585"/>
      <c r="G585"/>
      <c r="H585"/>
      <c r="I585"/>
      <c r="J585"/>
      <c r="K585"/>
    </row>
    <row r="586" spans="3:11">
      <c r="C586"/>
      <c r="D586"/>
      <c r="E586"/>
      <c r="F586"/>
      <c r="G586"/>
      <c r="H586"/>
      <c r="I586"/>
      <c r="J586"/>
      <c r="K586"/>
    </row>
    <row r="587" spans="3:11">
      <c r="C587"/>
      <c r="D587"/>
      <c r="E587"/>
      <c r="F587"/>
      <c r="G587"/>
      <c r="H587"/>
      <c r="I587"/>
      <c r="J587"/>
      <c r="K587"/>
    </row>
    <row r="588" spans="3:11">
      <c r="C588"/>
      <c r="D588"/>
      <c r="E588"/>
      <c r="F588"/>
      <c r="G588"/>
      <c r="H588"/>
      <c r="I588"/>
      <c r="J588"/>
      <c r="K588"/>
    </row>
    <row r="589" spans="3:11">
      <c r="C589"/>
      <c r="D589"/>
      <c r="E589"/>
      <c r="F589"/>
      <c r="G589"/>
      <c r="H589"/>
      <c r="I589"/>
      <c r="J589"/>
      <c r="K589"/>
    </row>
    <row r="590" spans="3:11">
      <c r="C590"/>
      <c r="D590"/>
      <c r="E590"/>
      <c r="F590"/>
      <c r="G590"/>
      <c r="H590"/>
      <c r="I590"/>
      <c r="J590"/>
      <c r="K590"/>
    </row>
    <row r="591" spans="3:11">
      <c r="C591"/>
      <c r="D591"/>
      <c r="E591"/>
      <c r="F591"/>
      <c r="G591"/>
      <c r="H591"/>
      <c r="I591"/>
      <c r="J591"/>
      <c r="K591"/>
    </row>
    <row r="592" spans="3:11">
      <c r="C592"/>
      <c r="D592"/>
      <c r="E592"/>
      <c r="F592"/>
      <c r="G592"/>
      <c r="H592"/>
      <c r="I592"/>
      <c r="J592"/>
      <c r="K592"/>
    </row>
    <row r="593" spans="3:11">
      <c r="C593"/>
      <c r="D593"/>
      <c r="E593"/>
      <c r="F593"/>
      <c r="G593"/>
      <c r="H593"/>
      <c r="I593"/>
      <c r="J593"/>
      <c r="K593"/>
    </row>
    <row r="594" spans="3:11">
      <c r="C594"/>
      <c r="D594"/>
      <c r="E594"/>
      <c r="F594"/>
      <c r="G594"/>
      <c r="H594"/>
      <c r="I594"/>
      <c r="J594"/>
      <c r="K594"/>
    </row>
    <row r="595" spans="3:11">
      <c r="C595"/>
      <c r="D595"/>
      <c r="E595"/>
      <c r="F595"/>
      <c r="G595"/>
      <c r="H595"/>
      <c r="I595"/>
      <c r="J595"/>
      <c r="K595"/>
    </row>
    <row r="596" spans="3:11">
      <c r="C596"/>
      <c r="D596"/>
      <c r="E596"/>
      <c r="F596"/>
      <c r="G596"/>
      <c r="H596"/>
      <c r="I596"/>
      <c r="J596"/>
      <c r="K596"/>
    </row>
    <row r="597" spans="3:11">
      <c r="C597"/>
      <c r="D597"/>
      <c r="E597"/>
      <c r="F597"/>
      <c r="G597"/>
      <c r="H597"/>
      <c r="I597"/>
      <c r="J597"/>
      <c r="K597"/>
    </row>
    <row r="598" spans="3:11">
      <c r="C598"/>
      <c r="D598"/>
      <c r="E598"/>
      <c r="F598"/>
      <c r="G598"/>
      <c r="H598"/>
      <c r="I598"/>
      <c r="J598"/>
      <c r="K598"/>
    </row>
    <row r="599" spans="3:11">
      <c r="C599"/>
      <c r="D599"/>
      <c r="E599"/>
      <c r="F599"/>
      <c r="G599"/>
      <c r="H599"/>
      <c r="I599"/>
      <c r="J599"/>
      <c r="K599"/>
    </row>
    <row r="600" spans="3:11">
      <c r="C600"/>
      <c r="D600"/>
      <c r="E600"/>
      <c r="F600"/>
      <c r="G600"/>
      <c r="H600"/>
      <c r="I600"/>
      <c r="J600"/>
      <c r="K600"/>
    </row>
    <row r="601" spans="3:11">
      <c r="C601"/>
      <c r="D601"/>
      <c r="E601"/>
      <c r="F601"/>
      <c r="G601"/>
      <c r="H601"/>
      <c r="I601"/>
      <c r="J601"/>
      <c r="K601"/>
    </row>
    <row r="602" spans="3:11">
      <c r="C602"/>
      <c r="D602"/>
      <c r="E602"/>
      <c r="F602"/>
      <c r="G602"/>
      <c r="H602"/>
      <c r="I602"/>
      <c r="J602"/>
      <c r="K602"/>
    </row>
    <row r="603" spans="3:11">
      <c r="C603"/>
      <c r="D603"/>
      <c r="E603"/>
      <c r="F603"/>
      <c r="G603"/>
      <c r="H603"/>
      <c r="I603"/>
      <c r="J603"/>
      <c r="K603"/>
    </row>
    <row r="604" spans="3:11">
      <c r="C604"/>
      <c r="D604"/>
      <c r="E604"/>
      <c r="F604"/>
      <c r="G604"/>
      <c r="H604"/>
      <c r="I604"/>
      <c r="J604"/>
      <c r="K604"/>
    </row>
    <row r="605" spans="3:11">
      <c r="C605"/>
      <c r="D605"/>
      <c r="E605"/>
      <c r="F605"/>
      <c r="G605"/>
      <c r="H605"/>
      <c r="I605"/>
      <c r="J605"/>
      <c r="K605"/>
    </row>
    <row r="606" spans="3:11">
      <c r="C606"/>
      <c r="D606"/>
      <c r="E606"/>
      <c r="F606"/>
      <c r="G606"/>
      <c r="H606"/>
      <c r="I606"/>
      <c r="J606"/>
      <c r="K606"/>
    </row>
    <row r="607" spans="3:11">
      <c r="C607"/>
      <c r="D607"/>
      <c r="E607"/>
      <c r="F607"/>
      <c r="G607"/>
      <c r="H607"/>
      <c r="I607"/>
      <c r="J607"/>
      <c r="K607"/>
    </row>
    <row r="608" spans="3:11">
      <c r="C608"/>
      <c r="D608"/>
      <c r="E608"/>
      <c r="F608"/>
      <c r="G608"/>
      <c r="H608"/>
      <c r="I608"/>
      <c r="J608"/>
      <c r="K608"/>
    </row>
    <row r="609" spans="3:11">
      <c r="C609"/>
      <c r="D609"/>
      <c r="E609"/>
      <c r="F609"/>
      <c r="G609"/>
      <c r="H609"/>
      <c r="I609"/>
      <c r="J609"/>
      <c r="K609"/>
    </row>
    <row r="610" spans="3:11">
      <c r="C610"/>
      <c r="D610"/>
      <c r="E610"/>
      <c r="F610"/>
      <c r="G610"/>
      <c r="H610"/>
      <c r="I610"/>
      <c r="J610"/>
      <c r="K610"/>
    </row>
    <row r="611" spans="3:11">
      <c r="C611"/>
      <c r="D611"/>
      <c r="E611"/>
      <c r="F611"/>
      <c r="G611"/>
      <c r="H611"/>
      <c r="I611"/>
      <c r="J611"/>
      <c r="K611"/>
    </row>
    <row r="612" spans="3:11">
      <c r="C612"/>
      <c r="D612"/>
      <c r="E612"/>
      <c r="F612"/>
      <c r="G612"/>
      <c r="H612"/>
      <c r="I612"/>
      <c r="J612"/>
      <c r="K612"/>
    </row>
    <row r="613" spans="3:11">
      <c r="C613"/>
      <c r="D613"/>
      <c r="E613"/>
      <c r="F613"/>
      <c r="G613"/>
      <c r="H613"/>
      <c r="I613"/>
      <c r="J613"/>
      <c r="K613"/>
    </row>
    <row r="614" spans="3:11">
      <c r="C614"/>
      <c r="D614"/>
      <c r="E614"/>
      <c r="F614"/>
      <c r="G614"/>
      <c r="H614"/>
      <c r="I614"/>
      <c r="J614"/>
      <c r="K614"/>
    </row>
    <row r="615" spans="3:11">
      <c r="C615"/>
      <c r="D615"/>
      <c r="E615"/>
      <c r="F615"/>
      <c r="G615"/>
      <c r="H615"/>
      <c r="I615"/>
      <c r="J615"/>
      <c r="K615"/>
    </row>
    <row r="616" spans="3:11">
      <c r="C616"/>
      <c r="D616"/>
      <c r="E616"/>
      <c r="F616"/>
      <c r="G616"/>
      <c r="H616"/>
      <c r="I616"/>
      <c r="J616"/>
      <c r="K616"/>
    </row>
    <row r="617" spans="3:11">
      <c r="C617"/>
      <c r="D617"/>
      <c r="E617"/>
      <c r="F617"/>
      <c r="G617"/>
      <c r="H617"/>
      <c r="I617"/>
      <c r="J617"/>
      <c r="K617"/>
    </row>
    <row r="618" spans="3:11">
      <c r="C618"/>
      <c r="D618"/>
      <c r="E618"/>
      <c r="F618"/>
      <c r="G618"/>
      <c r="H618"/>
      <c r="I618"/>
      <c r="J618"/>
      <c r="K618"/>
    </row>
    <row r="619" spans="3:11">
      <c r="C619"/>
      <c r="D619"/>
      <c r="E619"/>
      <c r="F619"/>
      <c r="G619"/>
      <c r="H619"/>
      <c r="I619"/>
      <c r="J619"/>
      <c r="K619"/>
    </row>
    <row r="620" spans="3:11">
      <c r="C620"/>
      <c r="D620"/>
      <c r="E620"/>
      <c r="F620"/>
      <c r="G620"/>
      <c r="H620"/>
      <c r="I620"/>
      <c r="J620"/>
      <c r="K620"/>
    </row>
    <row r="621" spans="3:11">
      <c r="C621"/>
      <c r="D621"/>
      <c r="E621"/>
      <c r="F621"/>
      <c r="G621"/>
      <c r="H621"/>
      <c r="I621"/>
      <c r="J621"/>
      <c r="K621"/>
    </row>
    <row r="622" spans="3:11">
      <c r="C622"/>
      <c r="D622"/>
      <c r="E622"/>
      <c r="F622"/>
      <c r="G622"/>
      <c r="H622"/>
      <c r="I622"/>
      <c r="J622"/>
      <c r="K622"/>
    </row>
    <row r="623" spans="3:11">
      <c r="C623"/>
      <c r="D623"/>
      <c r="E623"/>
      <c r="F623"/>
      <c r="G623"/>
      <c r="H623"/>
      <c r="I623"/>
      <c r="J623"/>
      <c r="K623"/>
    </row>
    <row r="624" spans="3:11">
      <c r="C624"/>
      <c r="D624"/>
      <c r="E624"/>
      <c r="F624"/>
      <c r="G624"/>
      <c r="H624"/>
      <c r="I624"/>
      <c r="J624"/>
      <c r="K624"/>
    </row>
    <row r="625" spans="3:11">
      <c r="C625"/>
      <c r="D625"/>
      <c r="E625"/>
      <c r="F625"/>
      <c r="G625"/>
      <c r="H625"/>
      <c r="I625"/>
      <c r="J625"/>
      <c r="K625"/>
    </row>
    <row r="626" spans="3:11">
      <c r="C626"/>
      <c r="D626"/>
      <c r="E626"/>
      <c r="F626"/>
      <c r="G626"/>
      <c r="H626"/>
      <c r="I626"/>
      <c r="J626"/>
      <c r="K626"/>
    </row>
    <row r="627" spans="3:11">
      <c r="C627"/>
      <c r="D627"/>
      <c r="E627"/>
      <c r="F627"/>
      <c r="G627"/>
      <c r="H627"/>
      <c r="I627"/>
      <c r="J627"/>
      <c r="K627"/>
    </row>
    <row r="628" spans="3:11">
      <c r="C628"/>
      <c r="D628"/>
      <c r="E628"/>
      <c r="F628"/>
      <c r="G628"/>
      <c r="H628"/>
      <c r="I628"/>
      <c r="J628"/>
      <c r="K628"/>
    </row>
    <row r="629" spans="3:11">
      <c r="C629"/>
      <c r="D629"/>
      <c r="E629"/>
      <c r="F629"/>
      <c r="G629"/>
      <c r="H629"/>
      <c r="I629"/>
      <c r="J629"/>
      <c r="K629"/>
    </row>
    <row r="630" spans="3:11">
      <c r="C630"/>
      <c r="D630"/>
      <c r="E630"/>
      <c r="F630"/>
      <c r="G630"/>
      <c r="H630"/>
      <c r="I630"/>
      <c r="J630"/>
      <c r="K630"/>
    </row>
    <row r="631" spans="3:11">
      <c r="C631"/>
      <c r="D631"/>
      <c r="E631"/>
      <c r="F631"/>
      <c r="G631"/>
      <c r="H631"/>
      <c r="I631"/>
      <c r="J631"/>
      <c r="K631"/>
    </row>
    <row r="632" spans="3:11">
      <c r="C632"/>
      <c r="D632"/>
      <c r="E632"/>
      <c r="F632"/>
      <c r="G632"/>
      <c r="H632"/>
      <c r="I632"/>
      <c r="J632"/>
      <c r="K632"/>
    </row>
    <row r="633" spans="3:11">
      <c r="C633"/>
      <c r="D633"/>
      <c r="E633"/>
      <c r="F633"/>
      <c r="G633"/>
      <c r="H633"/>
      <c r="I633"/>
      <c r="J633"/>
      <c r="K633"/>
    </row>
    <row r="634" spans="3:11">
      <c r="C634"/>
      <c r="D634"/>
      <c r="E634"/>
      <c r="F634"/>
      <c r="G634"/>
      <c r="H634"/>
      <c r="I634"/>
      <c r="J634"/>
      <c r="K634"/>
    </row>
    <row r="635" spans="3:11">
      <c r="C635"/>
      <c r="D635"/>
      <c r="E635"/>
      <c r="F635"/>
      <c r="G635"/>
      <c r="H635"/>
      <c r="I635"/>
      <c r="J635"/>
      <c r="K635"/>
    </row>
    <row r="636" spans="3:11">
      <c r="C636"/>
      <c r="D636"/>
      <c r="E636"/>
      <c r="F636"/>
      <c r="G636"/>
      <c r="H636"/>
      <c r="I636"/>
      <c r="J636"/>
      <c r="K636"/>
    </row>
    <row r="637" spans="3:11">
      <c r="C637"/>
      <c r="D637"/>
      <c r="E637"/>
      <c r="F637"/>
      <c r="G637"/>
      <c r="H637"/>
      <c r="I637"/>
      <c r="J637"/>
      <c r="K637"/>
    </row>
    <row r="638" spans="3:11">
      <c r="C638"/>
      <c r="D638"/>
      <c r="E638"/>
      <c r="F638"/>
      <c r="G638"/>
      <c r="H638"/>
      <c r="I638"/>
      <c r="J638"/>
      <c r="K638"/>
    </row>
    <row r="639" spans="3:11">
      <c r="C639"/>
      <c r="D639"/>
      <c r="E639"/>
      <c r="F639"/>
      <c r="G639"/>
      <c r="H639"/>
      <c r="I639"/>
      <c r="J639"/>
      <c r="K639"/>
    </row>
    <row r="640" spans="3:11">
      <c r="C640"/>
      <c r="D640"/>
      <c r="E640"/>
      <c r="F640"/>
      <c r="G640"/>
      <c r="H640"/>
      <c r="I640"/>
      <c r="J640"/>
      <c r="K640"/>
    </row>
    <row r="641" spans="3:11">
      <c r="C641"/>
      <c r="D641"/>
      <c r="E641"/>
      <c r="F641"/>
      <c r="G641"/>
      <c r="H641"/>
      <c r="I641"/>
      <c r="J641"/>
      <c r="K641"/>
    </row>
    <row r="642" spans="3:11">
      <c r="C642"/>
      <c r="D642"/>
      <c r="E642"/>
      <c r="F642"/>
      <c r="G642"/>
      <c r="H642"/>
      <c r="I642"/>
      <c r="J642"/>
      <c r="K642"/>
    </row>
    <row r="643" spans="3:11">
      <c r="C643"/>
      <c r="D643"/>
      <c r="E643"/>
      <c r="F643"/>
      <c r="G643"/>
      <c r="H643"/>
      <c r="I643"/>
      <c r="J643"/>
      <c r="K643"/>
    </row>
    <row r="644" spans="3:11">
      <c r="C644"/>
      <c r="D644"/>
      <c r="E644"/>
      <c r="F644"/>
      <c r="G644"/>
      <c r="H644"/>
      <c r="I644"/>
      <c r="J644"/>
      <c r="K644"/>
    </row>
    <row r="645" spans="3:11">
      <c r="C645"/>
      <c r="D645"/>
      <c r="E645"/>
      <c r="F645"/>
      <c r="G645"/>
      <c r="H645"/>
      <c r="I645"/>
      <c r="J645"/>
      <c r="K645"/>
    </row>
    <row r="646" spans="3:11">
      <c r="C646"/>
      <c r="D646"/>
      <c r="E646"/>
      <c r="F646"/>
      <c r="G646"/>
      <c r="H646"/>
      <c r="I646"/>
      <c r="J646"/>
      <c r="K646"/>
    </row>
    <row r="647" spans="3:11">
      <c r="C647"/>
      <c r="D647"/>
      <c r="E647"/>
      <c r="F647"/>
      <c r="G647"/>
      <c r="H647"/>
      <c r="I647"/>
      <c r="J647"/>
      <c r="K647"/>
    </row>
    <row r="648" spans="3:11">
      <c r="C648"/>
      <c r="D648"/>
      <c r="E648"/>
      <c r="F648"/>
      <c r="G648"/>
      <c r="H648"/>
      <c r="I648"/>
      <c r="J648"/>
      <c r="K648"/>
    </row>
    <row r="649" spans="3:11">
      <c r="C649"/>
      <c r="D649"/>
      <c r="E649"/>
      <c r="F649"/>
      <c r="G649"/>
      <c r="H649"/>
      <c r="I649"/>
      <c r="J649"/>
      <c r="K649"/>
    </row>
    <row r="650" spans="3:11">
      <c r="C650"/>
      <c r="D650"/>
      <c r="E650"/>
      <c r="F650"/>
      <c r="G650"/>
      <c r="H650"/>
      <c r="I650"/>
      <c r="J650"/>
      <c r="K650"/>
    </row>
    <row r="651" spans="3:11">
      <c r="C651"/>
      <c r="D651"/>
      <c r="E651"/>
      <c r="F651"/>
      <c r="G651"/>
      <c r="H651"/>
      <c r="I651"/>
      <c r="J651"/>
      <c r="K651"/>
    </row>
    <row r="652" spans="3:11">
      <c r="C652"/>
      <c r="D652"/>
      <c r="E652"/>
      <c r="F652"/>
      <c r="G652"/>
      <c r="H652"/>
      <c r="I652"/>
      <c r="J652"/>
      <c r="K652"/>
    </row>
    <row r="653" spans="3:11">
      <c r="C653"/>
      <c r="D653"/>
      <c r="E653"/>
      <c r="F653"/>
      <c r="G653"/>
      <c r="H653"/>
      <c r="I653"/>
      <c r="J653"/>
      <c r="K653"/>
    </row>
    <row r="654" spans="3:11">
      <c r="C654"/>
      <c r="D654"/>
      <c r="E654"/>
      <c r="F654"/>
      <c r="G654"/>
      <c r="H654"/>
      <c r="I654"/>
      <c r="J654"/>
      <c r="K654"/>
    </row>
    <row r="655" spans="3:11">
      <c r="C655"/>
      <c r="D655"/>
      <c r="E655"/>
      <c r="F655"/>
      <c r="G655"/>
      <c r="H655"/>
      <c r="I655"/>
      <c r="J655"/>
      <c r="K655"/>
    </row>
    <row r="656" spans="3:11">
      <c r="C656"/>
      <c r="D656"/>
      <c r="E656"/>
      <c r="F656"/>
      <c r="G656"/>
      <c r="H656"/>
      <c r="I656"/>
      <c r="J656"/>
      <c r="K656"/>
    </row>
    <row r="657" spans="3:11">
      <c r="C657"/>
      <c r="D657"/>
      <c r="E657"/>
      <c r="F657"/>
      <c r="G657"/>
      <c r="H657"/>
      <c r="I657"/>
      <c r="J657"/>
      <c r="K657"/>
    </row>
    <row r="658" spans="3:11">
      <c r="C658"/>
      <c r="D658"/>
      <c r="E658"/>
      <c r="F658"/>
      <c r="G658"/>
      <c r="H658"/>
      <c r="I658"/>
      <c r="J658"/>
      <c r="K658"/>
    </row>
    <row r="659" spans="3:11">
      <c r="C659"/>
      <c r="D659"/>
      <c r="E659"/>
      <c r="F659"/>
      <c r="G659"/>
      <c r="H659"/>
      <c r="I659"/>
      <c r="J659"/>
      <c r="K659"/>
    </row>
    <row r="660" spans="3:11">
      <c r="C660"/>
      <c r="D660"/>
      <c r="E660"/>
      <c r="F660"/>
      <c r="G660"/>
      <c r="H660"/>
      <c r="I660"/>
      <c r="J660"/>
      <c r="K660"/>
    </row>
    <row r="661" spans="3:11">
      <c r="C661"/>
      <c r="D661"/>
      <c r="E661"/>
      <c r="F661"/>
      <c r="G661"/>
      <c r="H661"/>
      <c r="I661"/>
      <c r="J661"/>
      <c r="K661"/>
    </row>
    <row r="662" spans="3:11">
      <c r="C662"/>
      <c r="D662"/>
      <c r="E662"/>
      <c r="F662"/>
      <c r="G662"/>
      <c r="H662"/>
      <c r="I662"/>
      <c r="J662"/>
      <c r="K662"/>
    </row>
    <row r="663" spans="3:11">
      <c r="C663"/>
      <c r="D663"/>
      <c r="E663"/>
      <c r="F663"/>
      <c r="G663"/>
      <c r="H663"/>
      <c r="I663"/>
      <c r="J663"/>
      <c r="K663"/>
    </row>
    <row r="664" spans="3:11">
      <c r="C664"/>
      <c r="D664"/>
      <c r="E664"/>
      <c r="F664"/>
      <c r="G664"/>
      <c r="H664"/>
      <c r="I664"/>
      <c r="J664"/>
      <c r="K664"/>
    </row>
    <row r="665" spans="3:11">
      <c r="C665"/>
      <c r="D665"/>
      <c r="E665"/>
      <c r="F665"/>
      <c r="G665"/>
      <c r="H665"/>
      <c r="I665"/>
      <c r="J665"/>
      <c r="K665"/>
    </row>
    <row r="666" spans="3:11">
      <c r="C666"/>
      <c r="D666"/>
      <c r="E666"/>
      <c r="F666"/>
      <c r="G666"/>
      <c r="H666"/>
      <c r="I666"/>
      <c r="J666"/>
      <c r="K666"/>
    </row>
    <row r="667" spans="3:11">
      <c r="C667"/>
      <c r="D667"/>
      <c r="E667"/>
      <c r="F667"/>
      <c r="G667"/>
      <c r="H667"/>
      <c r="I667"/>
      <c r="J667"/>
      <c r="K667"/>
    </row>
    <row r="668" spans="3:11">
      <c r="C668"/>
      <c r="D668"/>
      <c r="E668"/>
      <c r="F668"/>
      <c r="G668"/>
      <c r="H668"/>
      <c r="I668"/>
      <c r="J668"/>
      <c r="K668"/>
    </row>
    <row r="669" spans="3:11">
      <c r="C669"/>
      <c r="D669"/>
      <c r="E669"/>
      <c r="F669"/>
      <c r="G669"/>
      <c r="H669"/>
      <c r="I669"/>
      <c r="J669"/>
      <c r="K669"/>
    </row>
    <row r="670" spans="3:11">
      <c r="C670"/>
      <c r="D670"/>
      <c r="E670"/>
      <c r="F670"/>
      <c r="G670"/>
      <c r="H670"/>
      <c r="I670"/>
      <c r="J670"/>
      <c r="K670"/>
    </row>
    <row r="671" spans="3:11">
      <c r="C671"/>
      <c r="D671"/>
      <c r="E671"/>
      <c r="F671"/>
      <c r="G671"/>
      <c r="H671"/>
      <c r="I671"/>
      <c r="J671"/>
      <c r="K671"/>
    </row>
    <row r="672" spans="3:11">
      <c r="C672"/>
      <c r="D672"/>
      <c r="E672"/>
      <c r="F672"/>
      <c r="G672"/>
      <c r="H672"/>
      <c r="I672"/>
      <c r="J672"/>
      <c r="K672"/>
    </row>
    <row r="673" spans="3:11">
      <c r="C673"/>
      <c r="D673"/>
      <c r="E673"/>
      <c r="F673"/>
      <c r="G673"/>
      <c r="H673"/>
      <c r="I673"/>
      <c r="J673"/>
      <c r="K673"/>
    </row>
    <row r="674" spans="3:11">
      <c r="C674"/>
      <c r="D674"/>
      <c r="E674"/>
      <c r="F674"/>
      <c r="G674"/>
      <c r="H674"/>
      <c r="I674"/>
      <c r="J674"/>
      <c r="K674"/>
    </row>
    <row r="675" spans="3:11">
      <c r="C675"/>
      <c r="D675"/>
      <c r="E675"/>
      <c r="F675"/>
      <c r="G675"/>
      <c r="H675"/>
      <c r="I675"/>
      <c r="J675"/>
      <c r="K675"/>
    </row>
    <row r="676" spans="3:11">
      <c r="C676"/>
      <c r="D676"/>
      <c r="E676"/>
      <c r="F676"/>
      <c r="G676"/>
      <c r="H676"/>
      <c r="I676"/>
      <c r="J676"/>
      <c r="K676"/>
    </row>
    <row r="677" spans="3:11">
      <c r="C677"/>
      <c r="D677"/>
      <c r="E677"/>
      <c r="F677"/>
      <c r="G677"/>
      <c r="H677"/>
      <c r="I677"/>
      <c r="J677"/>
      <c r="K677"/>
    </row>
    <row r="678" spans="3:11">
      <c r="C678"/>
      <c r="D678"/>
      <c r="E678"/>
      <c r="F678"/>
      <c r="G678"/>
      <c r="H678"/>
      <c r="I678"/>
      <c r="J678"/>
      <c r="K678"/>
    </row>
    <row r="679" spans="3:11">
      <c r="C679"/>
      <c r="D679"/>
      <c r="E679"/>
      <c r="F679"/>
      <c r="G679"/>
      <c r="H679"/>
      <c r="I679"/>
      <c r="J679"/>
      <c r="K679"/>
    </row>
    <row r="680" spans="3:11">
      <c r="C680"/>
      <c r="D680"/>
      <c r="E680"/>
      <c r="F680"/>
      <c r="G680"/>
      <c r="H680"/>
      <c r="I680"/>
      <c r="J680"/>
      <c r="K680"/>
    </row>
    <row r="681" spans="3:11">
      <c r="C681"/>
      <c r="D681"/>
      <c r="E681"/>
      <c r="F681"/>
      <c r="G681"/>
      <c r="H681"/>
      <c r="I681"/>
      <c r="J681"/>
      <c r="K681"/>
    </row>
    <row r="682" spans="3:11">
      <c r="C682"/>
      <c r="D682"/>
      <c r="E682"/>
      <c r="F682"/>
      <c r="G682"/>
      <c r="H682"/>
      <c r="I682"/>
      <c r="J682"/>
      <c r="K682"/>
    </row>
    <row r="683" spans="3:11">
      <c r="C683"/>
      <c r="D683"/>
      <c r="E683"/>
      <c r="F683"/>
      <c r="G683"/>
      <c r="H683"/>
      <c r="I683"/>
      <c r="J683"/>
      <c r="K683"/>
    </row>
    <row r="684" spans="3:11">
      <c r="C684"/>
      <c r="D684"/>
      <c r="E684"/>
      <c r="F684"/>
      <c r="G684"/>
      <c r="H684"/>
      <c r="I684"/>
      <c r="J684"/>
      <c r="K684"/>
    </row>
    <row r="685" spans="3:11">
      <c r="C685"/>
      <c r="D685"/>
      <c r="E685"/>
      <c r="F685"/>
      <c r="G685"/>
      <c r="H685"/>
      <c r="I685"/>
      <c r="J685"/>
      <c r="K685"/>
    </row>
    <row r="686" spans="3:11">
      <c r="C686"/>
      <c r="D686"/>
      <c r="E686"/>
      <c r="F686"/>
      <c r="G686"/>
      <c r="H686"/>
      <c r="I686"/>
      <c r="J686"/>
      <c r="K686"/>
    </row>
    <row r="687" spans="3:11">
      <c r="C687"/>
      <c r="D687"/>
      <c r="E687"/>
      <c r="F687"/>
      <c r="G687"/>
      <c r="H687"/>
      <c r="I687"/>
      <c r="J687"/>
      <c r="K687"/>
    </row>
    <row r="688" spans="3:11">
      <c r="C688"/>
      <c r="D688"/>
      <c r="E688"/>
      <c r="F688"/>
      <c r="G688"/>
      <c r="H688"/>
      <c r="I688"/>
      <c r="J688"/>
      <c r="K688"/>
    </row>
    <row r="689" spans="3:11">
      <c r="C689"/>
      <c r="D689"/>
      <c r="E689"/>
      <c r="F689"/>
      <c r="G689"/>
      <c r="H689"/>
      <c r="I689"/>
      <c r="J689"/>
      <c r="K689"/>
    </row>
    <row r="690" spans="3:11">
      <c r="C690"/>
      <c r="D690"/>
      <c r="E690"/>
      <c r="F690"/>
      <c r="G690"/>
      <c r="H690"/>
      <c r="I690"/>
      <c r="J690"/>
      <c r="K690"/>
    </row>
    <row r="691" spans="3:11">
      <c r="C691"/>
      <c r="D691"/>
      <c r="E691"/>
      <c r="F691"/>
      <c r="G691"/>
      <c r="H691"/>
      <c r="I691"/>
      <c r="J691"/>
      <c r="K691"/>
    </row>
    <row r="692" spans="3:11">
      <c r="C692"/>
      <c r="D692"/>
      <c r="E692"/>
      <c r="F692"/>
      <c r="G692"/>
      <c r="H692"/>
      <c r="I692"/>
      <c r="J692"/>
      <c r="K692"/>
    </row>
    <row r="693" spans="3:11">
      <c r="C693"/>
      <c r="D693"/>
      <c r="E693"/>
      <c r="F693"/>
      <c r="G693"/>
      <c r="H693"/>
      <c r="I693"/>
      <c r="J693"/>
      <c r="K693"/>
    </row>
    <row r="694" spans="3:11">
      <c r="C694"/>
      <c r="D694"/>
      <c r="E694"/>
      <c r="F694"/>
      <c r="G694"/>
      <c r="H694"/>
      <c r="I694"/>
      <c r="J694"/>
      <c r="K694"/>
    </row>
    <row r="695" spans="3:11">
      <c r="C695"/>
      <c r="D695"/>
      <c r="E695"/>
      <c r="F695"/>
      <c r="G695"/>
      <c r="H695"/>
      <c r="I695"/>
      <c r="J695"/>
      <c r="K695"/>
    </row>
    <row r="696" spans="3:11">
      <c r="C696"/>
      <c r="D696"/>
      <c r="E696"/>
      <c r="F696"/>
      <c r="G696"/>
      <c r="H696"/>
      <c r="I696"/>
      <c r="J696"/>
      <c r="K696"/>
    </row>
    <row r="697" spans="3:11">
      <c r="C697"/>
      <c r="D697"/>
      <c r="E697"/>
      <c r="F697"/>
      <c r="G697"/>
      <c r="H697"/>
      <c r="I697"/>
      <c r="J697"/>
      <c r="K697"/>
    </row>
    <row r="698" spans="3:11">
      <c r="C698"/>
      <c r="D698"/>
      <c r="E698"/>
      <c r="F698"/>
      <c r="G698"/>
      <c r="H698"/>
      <c r="I698"/>
      <c r="J698"/>
      <c r="K698"/>
    </row>
    <row r="699" spans="3:11">
      <c r="C699"/>
      <c r="D699"/>
      <c r="E699"/>
      <c r="F699"/>
      <c r="G699"/>
      <c r="H699"/>
      <c r="I699"/>
      <c r="J699"/>
      <c r="K699"/>
    </row>
    <row r="700" spans="3:11">
      <c r="C700"/>
      <c r="D700"/>
      <c r="E700"/>
      <c r="F700"/>
      <c r="G700"/>
      <c r="H700"/>
      <c r="I700"/>
      <c r="J700"/>
      <c r="K700"/>
    </row>
    <row r="701" spans="3:11">
      <c r="C701"/>
      <c r="D701"/>
      <c r="E701"/>
      <c r="F701"/>
      <c r="G701"/>
      <c r="H701"/>
      <c r="I701"/>
      <c r="J701"/>
      <c r="K701"/>
    </row>
    <row r="702" spans="3:11">
      <c r="C702"/>
      <c r="D702"/>
      <c r="E702"/>
      <c r="F702"/>
      <c r="G702"/>
      <c r="H702"/>
      <c r="I702"/>
      <c r="J702"/>
      <c r="K702"/>
    </row>
    <row r="703" spans="3:11">
      <c r="C703"/>
      <c r="D703"/>
      <c r="E703"/>
      <c r="F703"/>
      <c r="G703"/>
      <c r="H703"/>
      <c r="I703"/>
      <c r="J703"/>
      <c r="K703"/>
    </row>
    <row r="704" spans="3:11">
      <c r="C704"/>
      <c r="D704"/>
      <c r="E704"/>
      <c r="F704"/>
      <c r="G704"/>
      <c r="H704"/>
      <c r="I704"/>
      <c r="J704"/>
      <c r="K704"/>
    </row>
    <row r="705" spans="3:11">
      <c r="C705"/>
      <c r="D705"/>
      <c r="E705"/>
      <c r="F705"/>
      <c r="G705"/>
      <c r="H705"/>
      <c r="I705"/>
      <c r="J705"/>
      <c r="K705"/>
    </row>
    <row r="706" spans="3:11">
      <c r="C706"/>
      <c r="D706"/>
      <c r="E706"/>
      <c r="F706"/>
      <c r="G706"/>
      <c r="H706"/>
      <c r="I706"/>
      <c r="J706"/>
      <c r="K706"/>
    </row>
    <row r="707" spans="3:11">
      <c r="C707"/>
      <c r="D707"/>
      <c r="E707"/>
      <c r="F707"/>
      <c r="G707"/>
      <c r="H707"/>
      <c r="I707"/>
      <c r="J707"/>
      <c r="K707"/>
    </row>
    <row r="708" spans="3:11">
      <c r="C708"/>
      <c r="D708"/>
      <c r="E708"/>
      <c r="F708"/>
      <c r="G708"/>
      <c r="H708"/>
      <c r="I708"/>
      <c r="J708"/>
      <c r="K708"/>
    </row>
    <row r="709" spans="3:11">
      <c r="C709"/>
      <c r="D709"/>
      <c r="E709"/>
      <c r="F709"/>
      <c r="G709"/>
      <c r="H709"/>
      <c r="I709"/>
      <c r="J709"/>
      <c r="K709"/>
    </row>
    <row r="710" spans="3:11">
      <c r="C710"/>
      <c r="D710"/>
      <c r="E710"/>
      <c r="F710"/>
      <c r="G710"/>
      <c r="H710"/>
      <c r="I710"/>
      <c r="J710"/>
      <c r="K710"/>
    </row>
    <row r="711" spans="3:11">
      <c r="C711"/>
      <c r="D711"/>
      <c r="E711"/>
      <c r="F711"/>
      <c r="G711"/>
      <c r="H711"/>
      <c r="I711"/>
      <c r="J711"/>
      <c r="K711"/>
    </row>
    <row r="712" spans="3:11">
      <c r="C712"/>
      <c r="D712"/>
      <c r="E712"/>
      <c r="F712"/>
      <c r="G712"/>
      <c r="H712"/>
      <c r="I712"/>
      <c r="J712"/>
      <c r="K712"/>
    </row>
    <row r="713" spans="3:11">
      <c r="C713"/>
      <c r="D713"/>
      <c r="E713"/>
      <c r="F713"/>
      <c r="G713"/>
      <c r="H713"/>
      <c r="I713"/>
      <c r="J713"/>
      <c r="K713"/>
    </row>
    <row r="714" spans="3:11">
      <c r="C714"/>
      <c r="D714"/>
      <c r="E714"/>
      <c r="F714"/>
      <c r="G714"/>
      <c r="H714"/>
      <c r="I714"/>
      <c r="J714"/>
      <c r="K714"/>
    </row>
    <row r="715" spans="3:11">
      <c r="C715"/>
      <c r="D715"/>
      <c r="E715"/>
      <c r="F715"/>
      <c r="G715"/>
      <c r="H715"/>
      <c r="I715"/>
      <c r="J715"/>
      <c r="K715"/>
    </row>
    <row r="716" spans="3:11">
      <c r="C716"/>
      <c r="D716"/>
      <c r="E716"/>
      <c r="F716"/>
      <c r="G716"/>
      <c r="H716"/>
      <c r="I716"/>
      <c r="J716"/>
      <c r="K716"/>
    </row>
    <row r="717" spans="3:11">
      <c r="C717"/>
      <c r="D717"/>
      <c r="E717"/>
      <c r="F717"/>
      <c r="G717"/>
      <c r="H717"/>
      <c r="I717"/>
      <c r="J717"/>
      <c r="K717"/>
    </row>
    <row r="718" spans="3:11">
      <c r="C718"/>
      <c r="D718"/>
      <c r="E718"/>
      <c r="F718"/>
      <c r="G718"/>
      <c r="H718"/>
      <c r="I718"/>
      <c r="J718"/>
      <c r="K718"/>
    </row>
    <row r="719" spans="3:11">
      <c r="C719"/>
      <c r="D719"/>
      <c r="E719"/>
      <c r="F719"/>
      <c r="G719"/>
      <c r="H719"/>
      <c r="I719"/>
      <c r="J719"/>
      <c r="K719"/>
    </row>
    <row r="720" spans="3:11">
      <c r="C720"/>
      <c r="D720"/>
      <c r="E720"/>
      <c r="F720"/>
      <c r="G720"/>
      <c r="H720"/>
      <c r="I720"/>
      <c r="J720"/>
      <c r="K720"/>
    </row>
    <row r="721" spans="3:11">
      <c r="C721"/>
      <c r="D721"/>
      <c r="E721"/>
      <c r="F721"/>
      <c r="G721"/>
      <c r="H721"/>
      <c r="I721"/>
      <c r="J721"/>
      <c r="K721"/>
    </row>
    <row r="722" spans="3:11">
      <c r="C722"/>
      <c r="D722"/>
      <c r="E722"/>
      <c r="F722"/>
      <c r="G722"/>
      <c r="H722"/>
      <c r="I722"/>
      <c r="J722"/>
      <c r="K722"/>
    </row>
    <row r="723" spans="3:11">
      <c r="C723"/>
      <c r="D723"/>
      <c r="E723"/>
      <c r="F723"/>
      <c r="G723"/>
      <c r="H723"/>
      <c r="I723"/>
      <c r="J723"/>
      <c r="K723"/>
    </row>
    <row r="724" spans="3:11">
      <c r="C724"/>
      <c r="D724"/>
      <c r="E724"/>
      <c r="F724"/>
      <c r="G724"/>
      <c r="H724"/>
      <c r="I724"/>
      <c r="J724"/>
      <c r="K724"/>
    </row>
    <row r="725" spans="3:11">
      <c r="C725"/>
      <c r="D725"/>
      <c r="E725"/>
      <c r="F725"/>
      <c r="G725"/>
      <c r="H725"/>
      <c r="I725"/>
      <c r="J725"/>
      <c r="K725"/>
    </row>
    <row r="726" spans="3:11">
      <c r="C726"/>
      <c r="D726"/>
      <c r="E726"/>
      <c r="F726"/>
      <c r="G726"/>
      <c r="H726"/>
      <c r="I726"/>
      <c r="J726"/>
      <c r="K726"/>
    </row>
    <row r="727" spans="3:11">
      <c r="C727"/>
      <c r="D727"/>
      <c r="E727"/>
      <c r="F727"/>
      <c r="G727"/>
      <c r="H727"/>
      <c r="I727"/>
      <c r="J727"/>
      <c r="K727"/>
    </row>
    <row r="728" spans="3:11">
      <c r="C728"/>
      <c r="D728"/>
      <c r="E728"/>
      <c r="F728"/>
      <c r="G728"/>
      <c r="H728"/>
      <c r="I728"/>
      <c r="J728"/>
      <c r="K728"/>
    </row>
    <row r="729" spans="3:11">
      <c r="C729"/>
      <c r="D729"/>
      <c r="E729"/>
      <c r="F729"/>
      <c r="G729"/>
      <c r="H729"/>
      <c r="I729"/>
      <c r="J729"/>
      <c r="K729"/>
    </row>
    <row r="730" spans="3:11">
      <c r="C730"/>
      <c r="D730"/>
      <c r="E730"/>
      <c r="F730"/>
      <c r="G730"/>
      <c r="H730"/>
      <c r="I730"/>
      <c r="J730"/>
      <c r="K730"/>
    </row>
    <row r="731" spans="3:11">
      <c r="C731"/>
      <c r="D731"/>
      <c r="E731"/>
      <c r="F731"/>
      <c r="G731"/>
      <c r="H731"/>
      <c r="I731"/>
      <c r="J731"/>
      <c r="K731"/>
    </row>
    <row r="732" spans="3:11">
      <c r="C732"/>
      <c r="D732"/>
      <c r="E732"/>
      <c r="F732"/>
      <c r="G732"/>
      <c r="H732"/>
      <c r="I732"/>
      <c r="J732"/>
      <c r="K732"/>
    </row>
    <row r="733" spans="3:11">
      <c r="C733"/>
      <c r="D733"/>
      <c r="E733"/>
      <c r="F733"/>
      <c r="G733"/>
      <c r="H733"/>
      <c r="I733"/>
      <c r="J733"/>
      <c r="K733"/>
    </row>
    <row r="734" spans="3:11">
      <c r="C734"/>
      <c r="D734"/>
      <c r="E734"/>
      <c r="F734"/>
      <c r="G734"/>
      <c r="H734"/>
      <c r="I734"/>
      <c r="J734"/>
      <c r="K734"/>
    </row>
    <row r="735" spans="3:11">
      <c r="C735"/>
      <c r="D735"/>
      <c r="E735"/>
      <c r="F735"/>
      <c r="G735"/>
      <c r="H735"/>
      <c r="I735"/>
      <c r="J735"/>
      <c r="K735"/>
    </row>
    <row r="736" spans="3:11">
      <c r="C736"/>
      <c r="D736"/>
      <c r="E736"/>
      <c r="F736"/>
      <c r="G736"/>
      <c r="H736"/>
      <c r="I736"/>
      <c r="J736"/>
      <c r="K736"/>
    </row>
    <row r="737" spans="3:11">
      <c r="C737"/>
      <c r="D737"/>
      <c r="E737"/>
      <c r="F737"/>
      <c r="G737"/>
      <c r="H737"/>
      <c r="I737"/>
      <c r="J737"/>
      <c r="K737"/>
    </row>
    <row r="738" spans="3:11">
      <c r="C738"/>
      <c r="D738"/>
      <c r="E738"/>
      <c r="F738"/>
      <c r="G738"/>
      <c r="H738"/>
      <c r="I738"/>
      <c r="J738"/>
      <c r="K738"/>
    </row>
    <row r="739" spans="3:11">
      <c r="C739"/>
      <c r="D739"/>
      <c r="E739"/>
      <c r="F739"/>
      <c r="G739"/>
      <c r="H739"/>
      <c r="I739"/>
      <c r="J739"/>
      <c r="K739"/>
    </row>
    <row r="740" spans="3:11">
      <c r="C740"/>
      <c r="D740"/>
      <c r="E740"/>
      <c r="F740"/>
      <c r="G740"/>
      <c r="H740"/>
      <c r="I740"/>
      <c r="J740"/>
      <c r="K740"/>
    </row>
    <row r="741" spans="3:11">
      <c r="C741"/>
      <c r="D741"/>
      <c r="E741"/>
      <c r="F741"/>
      <c r="G741"/>
      <c r="H741"/>
      <c r="I741"/>
      <c r="J741"/>
      <c r="K741"/>
    </row>
    <row r="742" spans="3:11">
      <c r="C742"/>
      <c r="D742"/>
      <c r="E742"/>
      <c r="F742"/>
      <c r="G742"/>
      <c r="H742"/>
      <c r="I742"/>
      <c r="J742"/>
      <c r="K742"/>
    </row>
    <row r="743" spans="3:11">
      <c r="C743"/>
      <c r="D743"/>
      <c r="E743"/>
      <c r="F743"/>
      <c r="G743"/>
      <c r="H743"/>
      <c r="I743"/>
      <c r="J743"/>
      <c r="K743"/>
    </row>
    <row r="744" spans="3:11">
      <c r="C744"/>
      <c r="D744"/>
      <c r="E744"/>
      <c r="F744"/>
      <c r="G744"/>
      <c r="H744"/>
      <c r="I744"/>
      <c r="J744"/>
      <c r="K744"/>
    </row>
    <row r="745" spans="3:11">
      <c r="C745"/>
      <c r="D745"/>
      <c r="E745"/>
      <c r="F745"/>
      <c r="G745"/>
      <c r="H745"/>
      <c r="I745"/>
      <c r="J745"/>
      <c r="K745"/>
    </row>
    <row r="746" spans="3:11">
      <c r="C746"/>
      <c r="D746"/>
      <c r="E746"/>
      <c r="F746"/>
      <c r="G746"/>
      <c r="H746"/>
      <c r="I746"/>
      <c r="J746"/>
      <c r="K746"/>
    </row>
    <row r="747" spans="3:11">
      <c r="C747"/>
      <c r="D747"/>
      <c r="E747"/>
      <c r="F747"/>
      <c r="G747"/>
      <c r="H747"/>
      <c r="I747"/>
      <c r="J747"/>
      <c r="K747"/>
    </row>
    <row r="748" spans="3:11">
      <c r="C748"/>
      <c r="D748"/>
      <c r="E748"/>
      <c r="F748"/>
      <c r="G748"/>
      <c r="I748"/>
      <c r="J748"/>
      <c r="K748"/>
    </row>
    <row r="749" spans="3:11">
      <c r="C749"/>
      <c r="D749"/>
      <c r="E749"/>
      <c r="F749"/>
      <c r="G749"/>
      <c r="I749"/>
      <c r="J749"/>
      <c r="K749"/>
    </row>
    <row r="750" spans="3:11">
      <c r="C750"/>
      <c r="D750"/>
      <c r="E750"/>
      <c r="F750"/>
      <c r="G750"/>
      <c r="I750"/>
      <c r="J750"/>
      <c r="K750"/>
    </row>
    <row r="751" spans="3:11">
      <c r="C751"/>
      <c r="D751"/>
      <c r="E751"/>
      <c r="F751"/>
      <c r="G751"/>
      <c r="I751"/>
      <c r="J751"/>
      <c r="K751"/>
    </row>
    <row r="752" spans="3:11">
      <c r="K752"/>
    </row>
    <row r="753" spans="11:11">
      <c r="K753"/>
    </row>
    <row r="754" spans="11:11">
      <c r="K754"/>
    </row>
    <row r="755" spans="11:11">
      <c r="K755"/>
    </row>
    <row r="756" spans="11:11">
      <c r="K756"/>
    </row>
    <row r="757" spans="11:11">
      <c r="K757"/>
    </row>
    <row r="758" spans="11:11">
      <c r="K758"/>
    </row>
    <row r="759" spans="11:11">
      <c r="K759"/>
    </row>
    <row r="760" spans="11:11">
      <c r="K760"/>
    </row>
    <row r="761" spans="11:11">
      <c r="K761"/>
    </row>
    <row r="762" spans="11:11">
      <c r="K762"/>
    </row>
    <row r="763" spans="11:11">
      <c r="K763"/>
    </row>
    <row r="764" spans="11:11">
      <c r="K764"/>
    </row>
    <row r="765" spans="11:11">
      <c r="K765"/>
    </row>
    <row r="766" spans="11:11">
      <c r="K766"/>
    </row>
    <row r="767" spans="11:11">
      <c r="K767"/>
    </row>
    <row r="768" spans="11:11">
      <c r="K768"/>
    </row>
    <row r="769" spans="11:11">
      <c r="K769"/>
    </row>
    <row r="770" spans="11:11">
      <c r="K770"/>
    </row>
    <row r="771" spans="11:11">
      <c r="K771"/>
    </row>
    <row r="772" spans="11:11">
      <c r="K772"/>
    </row>
  </sheetData>
  <phoneticPr fontId="0" type="noConversion"/>
  <pageMargins left="0.75" right="0.75" top="1" bottom="1" header="0.5" footer="0.5"/>
  <pageSetup scale="71" orientation="landscape" r:id="rId1"/>
  <headerFooter alignWithMargins="0">
    <oddFooter>&amp;CFinancial Statement Analysis and Valuation: Roadmap&amp;RStephen H. Penman 2001</oddFooter>
  </headerFooter>
  <legacyDrawing r:id="rId2"/>
</worksheet>
</file>

<file path=xl/worksheets/sheet8.xml><?xml version="1.0" encoding="utf-8"?>
<worksheet xmlns="http://schemas.openxmlformats.org/spreadsheetml/2006/main" xmlns:r="http://schemas.openxmlformats.org/officeDocument/2006/relationships">
  <sheetPr codeName="Sheet8">
    <pageSetUpPr fitToPage="1"/>
  </sheetPr>
  <dimension ref="B1:AI66"/>
  <sheetViews>
    <sheetView workbookViewId="0"/>
  </sheetViews>
  <sheetFormatPr defaultRowHeight="12.75"/>
  <cols>
    <col min="1" max="1" width="2" customWidth="1"/>
    <col min="2" max="2" width="34.5703125" customWidth="1"/>
    <col min="3" max="6" width="14.7109375" customWidth="1"/>
    <col min="7" max="8" width="14.28515625" customWidth="1"/>
    <col min="9" max="9" width="13.42578125" customWidth="1"/>
    <col min="10" max="10" width="14.140625" customWidth="1"/>
    <col min="11" max="15" width="14.42578125" bestFit="1" customWidth="1"/>
    <col min="16" max="16" width="10.42578125" customWidth="1"/>
    <col min="18" max="18" width="39.7109375" customWidth="1"/>
    <col min="19" max="22" width="16.140625" customWidth="1"/>
    <col min="23" max="23" width="13.7109375" customWidth="1"/>
    <col min="24" max="24" width="13" customWidth="1"/>
    <col min="25" max="25" width="12" customWidth="1"/>
    <col min="26" max="26" width="12.5703125" customWidth="1"/>
    <col min="27" max="29" width="11.5703125" customWidth="1"/>
    <col min="30" max="30" width="12.140625" customWidth="1"/>
    <col min="31" max="31" width="12.5703125" customWidth="1"/>
  </cols>
  <sheetData>
    <row r="1" spans="2:31" ht="10.5" customHeight="1"/>
    <row r="2" spans="2:31" ht="15.75">
      <c r="B2" s="1" t="s">
        <v>291</v>
      </c>
      <c r="C2" s="1"/>
      <c r="D2" s="1"/>
      <c r="E2" s="1"/>
      <c r="F2" s="1"/>
      <c r="G2" s="1"/>
      <c r="H2" s="1"/>
      <c r="I2" s="32"/>
      <c r="J2" s="32"/>
    </row>
    <row r="3" spans="2:31" ht="15">
      <c r="B3" s="2" t="s">
        <v>709</v>
      </c>
      <c r="C3" s="2"/>
      <c r="D3" s="2"/>
      <c r="E3" s="2"/>
      <c r="F3" s="2"/>
      <c r="G3" s="2"/>
      <c r="H3" s="2"/>
      <c r="I3" s="2"/>
      <c r="J3" s="2"/>
    </row>
    <row r="4" spans="2:31" ht="15">
      <c r="B4" s="2"/>
      <c r="C4" s="2"/>
      <c r="D4" s="2"/>
      <c r="E4" s="2"/>
      <c r="F4" s="2"/>
      <c r="G4" s="2"/>
      <c r="H4" s="2"/>
      <c r="I4" s="2"/>
      <c r="J4" s="2"/>
    </row>
    <row r="5" spans="2:31" ht="15.75">
      <c r="B5" s="1" t="s">
        <v>495</v>
      </c>
      <c r="C5" s="1"/>
      <c r="D5" s="1"/>
      <c r="E5" s="1"/>
      <c r="F5" s="1"/>
      <c r="G5" s="1"/>
      <c r="H5" s="2"/>
      <c r="I5" s="2"/>
      <c r="J5" s="2"/>
    </row>
    <row r="6" spans="2:31" ht="15.75">
      <c r="B6" s="1"/>
      <c r="C6" s="1"/>
      <c r="D6" s="1"/>
      <c r="E6" s="1"/>
      <c r="F6" s="1"/>
      <c r="G6" s="1"/>
      <c r="H6" s="2"/>
      <c r="I6" s="2"/>
      <c r="J6" s="2"/>
    </row>
    <row r="7" spans="2:31" ht="15.75">
      <c r="B7" s="1" t="s">
        <v>504</v>
      </c>
      <c r="C7" s="1"/>
      <c r="D7" s="1"/>
      <c r="E7" s="1"/>
      <c r="F7" s="1"/>
      <c r="G7" s="1"/>
      <c r="H7" s="2"/>
      <c r="I7" s="2"/>
      <c r="J7" s="2"/>
    </row>
    <row r="8" spans="2:31" ht="15.75">
      <c r="B8" s="3" t="s">
        <v>555</v>
      </c>
      <c r="C8" s="3"/>
      <c r="D8" s="3"/>
      <c r="E8" s="3"/>
      <c r="F8" s="3"/>
      <c r="G8" s="3"/>
      <c r="H8" s="1"/>
      <c r="I8" s="1"/>
      <c r="J8" s="1"/>
    </row>
    <row r="11" spans="2:31">
      <c r="B11" s="3" t="s">
        <v>730</v>
      </c>
      <c r="C11" s="3"/>
      <c r="D11" s="3"/>
      <c r="E11" s="3"/>
      <c r="F11" s="3"/>
      <c r="G11" s="3"/>
      <c r="H11" s="3"/>
      <c r="I11" s="3"/>
      <c r="J11" s="3"/>
      <c r="R11" s="3" t="s">
        <v>717</v>
      </c>
      <c r="S11" s="3"/>
      <c r="T11" s="3"/>
      <c r="U11" s="3"/>
      <c r="V11" s="3"/>
      <c r="W11" s="3"/>
      <c r="X11" s="3"/>
      <c r="Y11" s="3"/>
      <c r="Z11" s="3"/>
    </row>
    <row r="12" spans="2:31">
      <c r="B12" s="4" t="s">
        <v>718</v>
      </c>
      <c r="C12" s="4"/>
      <c r="D12" s="4"/>
      <c r="E12" s="4"/>
      <c r="F12" s="4"/>
      <c r="G12" s="4"/>
      <c r="H12" s="4"/>
      <c r="I12" s="4"/>
      <c r="J12" s="4"/>
      <c r="R12" t="s">
        <v>716</v>
      </c>
    </row>
    <row r="13" spans="2:31">
      <c r="B13" s="4"/>
      <c r="C13" s="4"/>
      <c r="D13" s="4"/>
      <c r="E13" s="4"/>
      <c r="F13" s="4"/>
      <c r="G13" s="4"/>
      <c r="H13" s="4"/>
      <c r="I13" s="4"/>
      <c r="J13" s="4"/>
    </row>
    <row r="14" spans="2:31" ht="13.5" thickBot="1">
      <c r="B14" s="5" t="s">
        <v>731</v>
      </c>
      <c r="C14" s="6">
        <v>39599</v>
      </c>
      <c r="D14" s="6">
        <v>39233</v>
      </c>
      <c r="E14" s="6">
        <v>38868</v>
      </c>
      <c r="F14" s="6">
        <v>38503</v>
      </c>
      <c r="G14" s="6">
        <v>38138</v>
      </c>
      <c r="H14" s="6">
        <v>37772</v>
      </c>
      <c r="I14" s="6">
        <v>37407</v>
      </c>
      <c r="J14" s="6">
        <v>37042</v>
      </c>
      <c r="K14" s="6">
        <v>36677</v>
      </c>
      <c r="L14" s="6">
        <v>36311</v>
      </c>
      <c r="M14" s="6">
        <v>35946</v>
      </c>
      <c r="N14" s="6">
        <v>35581</v>
      </c>
      <c r="O14" s="6">
        <v>35216</v>
      </c>
      <c r="R14" s="5" t="s">
        <v>731</v>
      </c>
      <c r="S14" s="6">
        <v>39599</v>
      </c>
      <c r="T14" s="6">
        <v>39233</v>
      </c>
      <c r="U14" s="6">
        <v>38868</v>
      </c>
      <c r="V14" s="6">
        <v>38503</v>
      </c>
      <c r="W14" s="6">
        <v>38138</v>
      </c>
      <c r="X14" s="6">
        <v>37772</v>
      </c>
      <c r="Y14" s="6">
        <v>37407</v>
      </c>
      <c r="Z14" s="6">
        <v>37042</v>
      </c>
      <c r="AA14" s="6">
        <v>36677</v>
      </c>
      <c r="AB14" s="6">
        <v>36311</v>
      </c>
      <c r="AC14" s="6">
        <v>35946</v>
      </c>
      <c r="AD14" s="6">
        <v>35581</v>
      </c>
      <c r="AE14" s="6">
        <v>35216</v>
      </c>
    </row>
    <row r="15" spans="2:31">
      <c r="B15" t="s">
        <v>732</v>
      </c>
      <c r="C15" s="235">
        <v>18627</v>
      </c>
      <c r="D15" s="235">
        <v>16325.9</v>
      </c>
      <c r="E15" s="235">
        <v>14954.9</v>
      </c>
      <c r="F15" s="235">
        <v>13739.7</v>
      </c>
      <c r="G15" s="235">
        <v>12253.1</v>
      </c>
      <c r="H15" s="9">
        <v>10697</v>
      </c>
      <c r="I15" s="9">
        <v>9893</v>
      </c>
      <c r="J15" s="9">
        <v>9488.7999999999993</v>
      </c>
      <c r="K15" s="9">
        <v>8995.1</v>
      </c>
      <c r="L15" s="9">
        <v>8776.9</v>
      </c>
      <c r="M15" s="9">
        <v>9553.1</v>
      </c>
      <c r="N15" s="9">
        <v>9186.5</v>
      </c>
      <c r="O15" s="9">
        <v>6470.6</v>
      </c>
      <c r="R15" t="s">
        <v>200</v>
      </c>
      <c r="S15" s="9">
        <f t="shared" ref="S15:Z15" si="0">+C15</f>
        <v>18627</v>
      </c>
      <c r="T15" s="9">
        <f t="shared" si="0"/>
        <v>16325.9</v>
      </c>
      <c r="U15" s="9">
        <f t="shared" si="0"/>
        <v>14954.9</v>
      </c>
      <c r="V15" s="9">
        <f t="shared" si="0"/>
        <v>13739.7</v>
      </c>
      <c r="W15" s="9">
        <f t="shared" si="0"/>
        <v>12253.1</v>
      </c>
      <c r="X15" s="9">
        <f t="shared" si="0"/>
        <v>10697</v>
      </c>
      <c r="Y15" s="9">
        <f t="shared" si="0"/>
        <v>9893</v>
      </c>
      <c r="Z15" s="9">
        <f t="shared" si="0"/>
        <v>9488.7999999999993</v>
      </c>
      <c r="AA15" s="9">
        <v>8995.1</v>
      </c>
      <c r="AB15" s="9">
        <v>8776.9</v>
      </c>
      <c r="AC15" s="9">
        <v>9553.1</v>
      </c>
      <c r="AD15" s="9">
        <v>9186.5</v>
      </c>
      <c r="AE15" s="9">
        <v>6470.6</v>
      </c>
    </row>
    <row r="16" spans="2:31">
      <c r="B16" t="s">
        <v>733</v>
      </c>
      <c r="C16" s="67"/>
      <c r="D16" s="67"/>
      <c r="E16" s="67"/>
      <c r="F16" s="67"/>
      <c r="G16" s="67"/>
      <c r="H16" s="10"/>
      <c r="I16" s="10"/>
      <c r="J16" s="10"/>
      <c r="K16" s="10"/>
      <c r="L16" s="10"/>
      <c r="M16" s="10"/>
      <c r="N16" s="10"/>
      <c r="O16" s="10"/>
      <c r="R16" t="s">
        <v>668</v>
      </c>
      <c r="S16" s="72">
        <f t="shared" ref="S16:Z16" si="1">+C17</f>
        <v>10239.6</v>
      </c>
      <c r="T16" s="72">
        <f t="shared" si="1"/>
        <v>9165.4</v>
      </c>
      <c r="U16" s="72">
        <f t="shared" si="1"/>
        <v>8367.9</v>
      </c>
      <c r="V16" s="72">
        <f t="shared" si="1"/>
        <v>7624.3</v>
      </c>
      <c r="W16" s="72">
        <f t="shared" si="1"/>
        <v>7001.4</v>
      </c>
      <c r="X16" s="72">
        <f t="shared" si="1"/>
        <v>6313.6</v>
      </c>
      <c r="Y16" s="72">
        <f t="shared" si="1"/>
        <v>6004.7</v>
      </c>
      <c r="Z16" s="72">
        <f t="shared" si="1"/>
        <v>5784.9</v>
      </c>
      <c r="AA16" s="72">
        <v>5403.8</v>
      </c>
      <c r="AB16" s="72">
        <v>5493.5</v>
      </c>
      <c r="AC16" s="72">
        <v>6065.5</v>
      </c>
      <c r="AD16" s="72">
        <v>5503</v>
      </c>
      <c r="AE16" s="72">
        <v>3906.7</v>
      </c>
    </row>
    <row r="17" spans="2:32">
      <c r="B17" t="s">
        <v>734</v>
      </c>
      <c r="C17" s="67">
        <v>10239.6</v>
      </c>
      <c r="D17" s="67">
        <v>9165.4</v>
      </c>
      <c r="E17" s="67">
        <v>8367.9</v>
      </c>
      <c r="F17" s="67">
        <v>7624.3</v>
      </c>
      <c r="G17" s="67">
        <v>7001.4</v>
      </c>
      <c r="H17" s="67">
        <v>6313.6</v>
      </c>
      <c r="I17" s="67">
        <v>6004.7</v>
      </c>
      <c r="J17" s="67">
        <v>5784.9</v>
      </c>
      <c r="K17" s="67">
        <v>5403.8</v>
      </c>
      <c r="L17" s="67">
        <v>5493.5</v>
      </c>
      <c r="M17" s="67">
        <v>6065.5</v>
      </c>
      <c r="N17" s="67">
        <v>5503</v>
      </c>
      <c r="O17" s="67">
        <v>3906.7</v>
      </c>
      <c r="R17" t="s">
        <v>199</v>
      </c>
      <c r="S17" s="67">
        <f t="shared" ref="S17:AE17" si="2">+S15-S16</f>
        <v>8387.4</v>
      </c>
      <c r="T17" s="67">
        <f t="shared" si="2"/>
        <v>7160.5</v>
      </c>
      <c r="U17" s="67">
        <f t="shared" si="2"/>
        <v>6587</v>
      </c>
      <c r="V17" s="67">
        <f t="shared" si="2"/>
        <v>6115.4000000000005</v>
      </c>
      <c r="W17" s="67">
        <f t="shared" si="2"/>
        <v>5251.7000000000007</v>
      </c>
      <c r="X17" s="67">
        <f t="shared" si="2"/>
        <v>4383.3999999999996</v>
      </c>
      <c r="Y17" s="67">
        <f t="shared" si="2"/>
        <v>3888.3</v>
      </c>
      <c r="Z17" s="67">
        <f t="shared" si="2"/>
        <v>3703.8999999999996</v>
      </c>
      <c r="AA17" s="67">
        <f t="shared" si="2"/>
        <v>3591.3</v>
      </c>
      <c r="AB17" s="67">
        <f t="shared" si="2"/>
        <v>3283.3999999999996</v>
      </c>
      <c r="AC17" s="67">
        <f t="shared" si="2"/>
        <v>3487.6000000000004</v>
      </c>
      <c r="AD17" s="67">
        <f t="shared" si="2"/>
        <v>3683.5</v>
      </c>
      <c r="AE17" s="67">
        <f t="shared" si="2"/>
        <v>2563.9000000000005</v>
      </c>
    </row>
    <row r="18" spans="2:32">
      <c r="B18" t="s">
        <v>22</v>
      </c>
      <c r="C18" s="67">
        <v>5953.7</v>
      </c>
      <c r="D18" s="67">
        <v>5028.7</v>
      </c>
      <c r="E18" s="67">
        <v>4477.8</v>
      </c>
      <c r="F18" s="67">
        <v>4221.7</v>
      </c>
      <c r="G18" s="67">
        <v>3702</v>
      </c>
      <c r="H18" s="67">
        <v>3137.6</v>
      </c>
      <c r="I18" s="67">
        <v>2820.4</v>
      </c>
      <c r="J18" s="67">
        <v>2689.7</v>
      </c>
      <c r="K18" s="67">
        <v>2606.4</v>
      </c>
      <c r="L18" s="67">
        <v>2426.6</v>
      </c>
      <c r="M18" s="67">
        <v>2623.8</v>
      </c>
      <c r="N18" s="67">
        <v>2303.6999999999998</v>
      </c>
      <c r="O18" s="67">
        <v>1588.6</v>
      </c>
      <c r="R18" t="s">
        <v>201</v>
      </c>
      <c r="X18" s="67"/>
      <c r="Y18" s="67"/>
      <c r="Z18" s="67"/>
      <c r="AA18" s="67"/>
      <c r="AB18" s="67"/>
      <c r="AC18" s="67"/>
      <c r="AD18" s="67"/>
      <c r="AE18" s="67"/>
    </row>
    <row r="19" spans="2:32">
      <c r="B19" t="s">
        <v>735</v>
      </c>
      <c r="C19" s="67">
        <v>-77.099999999999994</v>
      </c>
      <c r="D19" s="67">
        <v>-67.2</v>
      </c>
      <c r="E19" s="67">
        <v>-36.799999999999997</v>
      </c>
      <c r="F19" s="67">
        <v>4.8</v>
      </c>
      <c r="G19" s="67">
        <v>25</v>
      </c>
      <c r="H19" s="67">
        <v>42.9</v>
      </c>
      <c r="I19" s="67">
        <v>47.6</v>
      </c>
      <c r="J19" s="67">
        <v>58.7</v>
      </c>
      <c r="K19" s="67">
        <v>45</v>
      </c>
      <c r="L19" s="67">
        <v>44.1</v>
      </c>
      <c r="M19" s="67">
        <v>60</v>
      </c>
      <c r="N19" s="67">
        <v>52.3</v>
      </c>
      <c r="O19" s="67">
        <v>39.5</v>
      </c>
      <c r="R19" s="23" t="s">
        <v>669</v>
      </c>
      <c r="S19" s="67">
        <f>+C18-S21-S20</f>
        <v>3645.3999999999996</v>
      </c>
      <c r="T19" s="67">
        <f>+D18-T21-T20</f>
        <v>3116.2999999999997</v>
      </c>
      <c r="U19" s="67">
        <f>+E18-U21-U20</f>
        <v>2737.6000000000004</v>
      </c>
      <c r="V19" s="67">
        <f>+F18-V21-V20</f>
        <v>2621</v>
      </c>
      <c r="W19" s="67">
        <f>+G18-W21-W20</f>
        <v>2312.1</v>
      </c>
      <c r="X19" s="67">
        <f t="shared" ref="X19:AE19" si="3">+H18-X44-X21-X20</f>
        <v>1981.3</v>
      </c>
      <c r="Y19" s="67">
        <f t="shared" si="3"/>
        <v>1803.5</v>
      </c>
      <c r="Z19" s="67">
        <f t="shared" si="3"/>
        <v>1702.8999999999999</v>
      </c>
      <c r="AA19" s="67">
        <f t="shared" si="3"/>
        <v>1623.3</v>
      </c>
      <c r="AB19" s="67">
        <f t="shared" si="3"/>
        <v>1441.6</v>
      </c>
      <c r="AC19" s="67">
        <f t="shared" si="3"/>
        <v>1491.4</v>
      </c>
      <c r="AD19" s="67">
        <f t="shared" si="3"/>
        <v>1325.6999999999996</v>
      </c>
      <c r="AE19" s="67">
        <f t="shared" si="3"/>
        <v>940.39999999999986</v>
      </c>
    </row>
    <row r="20" spans="2:32">
      <c r="B20" t="s">
        <v>23</v>
      </c>
      <c r="C20" s="67">
        <v>7.9</v>
      </c>
      <c r="D20" s="67">
        <v>-0.9</v>
      </c>
      <c r="E20" s="67">
        <v>4.4000000000000004</v>
      </c>
      <c r="F20" s="67">
        <v>29.1</v>
      </c>
      <c r="G20" s="67">
        <v>74.7</v>
      </c>
      <c r="H20" s="67">
        <v>79.900000000000006</v>
      </c>
      <c r="I20" s="67">
        <v>3</v>
      </c>
      <c r="J20" s="67">
        <v>34.1</v>
      </c>
      <c r="K20" s="67">
        <v>23.2</v>
      </c>
      <c r="L20" s="67">
        <v>21.5</v>
      </c>
      <c r="M20" s="67">
        <v>20.9</v>
      </c>
      <c r="N20" s="67">
        <v>32.299999999999997</v>
      </c>
      <c r="O20" s="67">
        <v>36.700000000000003</v>
      </c>
      <c r="R20" s="331" t="s">
        <v>671</v>
      </c>
      <c r="S20" s="307">
        <v>2308.3000000000002</v>
      </c>
      <c r="T20" s="307">
        <v>1912.4</v>
      </c>
      <c r="U20" s="307">
        <v>1740.2</v>
      </c>
      <c r="V20" s="307">
        <v>1600.7</v>
      </c>
      <c r="W20" s="74">
        <v>1377.9</v>
      </c>
      <c r="X20" s="74">
        <v>1166.8</v>
      </c>
      <c r="Y20" s="74">
        <v>1027.9000000000001</v>
      </c>
      <c r="Z20" s="74">
        <v>998.2</v>
      </c>
      <c r="AA20" s="74">
        <v>978.2</v>
      </c>
      <c r="AB20" s="74">
        <v>978.6</v>
      </c>
      <c r="AC20" s="74">
        <v>1129.0999999999999</v>
      </c>
      <c r="AD20" s="74">
        <v>978.3</v>
      </c>
      <c r="AE20" s="74">
        <v>642.5</v>
      </c>
    </row>
    <row r="21" spans="2:32">
      <c r="C21" s="67"/>
      <c r="D21" s="67"/>
      <c r="E21" s="67"/>
      <c r="F21" s="67"/>
      <c r="G21" s="67"/>
      <c r="H21" s="67"/>
      <c r="I21" s="67"/>
      <c r="J21" s="67"/>
      <c r="K21" s="67"/>
      <c r="L21" s="67"/>
      <c r="M21" s="67"/>
      <c r="N21" s="67"/>
      <c r="O21" s="67"/>
      <c r="R21" s="331" t="s">
        <v>670</v>
      </c>
      <c r="S21" s="307"/>
      <c r="T21" s="307"/>
      <c r="U21" s="307"/>
      <c r="V21" s="307"/>
      <c r="W21" s="74">
        <v>12</v>
      </c>
      <c r="X21" s="74">
        <v>3.6</v>
      </c>
      <c r="Y21" s="74">
        <v>2.6</v>
      </c>
      <c r="Z21" s="74">
        <v>2.5</v>
      </c>
      <c r="AA21" s="74">
        <v>18.5</v>
      </c>
      <c r="AB21" s="74">
        <v>19.399999999999999</v>
      </c>
      <c r="AC21" s="74">
        <v>19.8</v>
      </c>
      <c r="AD21" s="74">
        <v>19.8</v>
      </c>
      <c r="AE21" s="74">
        <v>21.8</v>
      </c>
    </row>
    <row r="22" spans="2:32">
      <c r="B22" t="s">
        <v>24</v>
      </c>
      <c r="C22" s="72"/>
      <c r="D22" s="72"/>
      <c r="E22" s="72"/>
      <c r="F22" s="72"/>
      <c r="G22" s="72">
        <v>0</v>
      </c>
      <c r="H22" s="72">
        <v>0</v>
      </c>
      <c r="I22" s="72">
        <v>0</v>
      </c>
      <c r="J22" s="72">
        <v>0</v>
      </c>
      <c r="K22" s="72">
        <v>-2.5</v>
      </c>
      <c r="L22" s="72">
        <v>45.1</v>
      </c>
      <c r="M22" s="72">
        <v>129.9</v>
      </c>
      <c r="N22" s="72">
        <v>0</v>
      </c>
      <c r="O22" s="72">
        <v>0</v>
      </c>
      <c r="R22" s="331" t="s">
        <v>750</v>
      </c>
      <c r="S22" s="219">
        <v>-68.5</v>
      </c>
      <c r="T22" s="219">
        <v>0.9</v>
      </c>
      <c r="U22" s="219">
        <v>-4.4000000000000004</v>
      </c>
      <c r="V22" s="67">
        <f>-F20</f>
        <v>-29.1</v>
      </c>
      <c r="W22" s="67">
        <f t="shared" ref="W22:AE22" si="4">G20</f>
        <v>74.7</v>
      </c>
      <c r="X22" s="67">
        <f t="shared" si="4"/>
        <v>79.900000000000006</v>
      </c>
      <c r="Y22" s="67">
        <f t="shared" si="4"/>
        <v>3</v>
      </c>
      <c r="Z22" s="67">
        <f t="shared" si="4"/>
        <v>34.1</v>
      </c>
      <c r="AA22" s="67">
        <f t="shared" si="4"/>
        <v>23.2</v>
      </c>
      <c r="AB22" s="67">
        <f t="shared" si="4"/>
        <v>21.5</v>
      </c>
      <c r="AC22" s="67">
        <f t="shared" si="4"/>
        <v>20.9</v>
      </c>
      <c r="AD22" s="67">
        <f t="shared" si="4"/>
        <v>32.299999999999997</v>
      </c>
      <c r="AE22" s="67">
        <f t="shared" si="4"/>
        <v>36.700000000000003</v>
      </c>
    </row>
    <row r="23" spans="2:32">
      <c r="B23" s="16" t="s">
        <v>25</v>
      </c>
      <c r="C23" s="72">
        <f t="shared" ref="C23:H23" si="5">+C17+C18+C19+C20</f>
        <v>16124.099999999999</v>
      </c>
      <c r="D23" s="72">
        <f t="shared" si="5"/>
        <v>14125.999999999998</v>
      </c>
      <c r="E23" s="72">
        <f t="shared" si="5"/>
        <v>12813.300000000001</v>
      </c>
      <c r="F23" s="72">
        <f t="shared" si="5"/>
        <v>11879.9</v>
      </c>
      <c r="G23" s="72">
        <f t="shared" si="5"/>
        <v>10803.1</v>
      </c>
      <c r="H23" s="72">
        <f t="shared" si="5"/>
        <v>9574</v>
      </c>
      <c r="I23" s="72">
        <v>8875.7000000000007</v>
      </c>
      <c r="J23" s="72">
        <v>8567.4</v>
      </c>
      <c r="K23" s="72">
        <v>8075.9</v>
      </c>
      <c r="L23" s="72">
        <v>8030.8</v>
      </c>
      <c r="M23" s="72">
        <v>8900.1</v>
      </c>
      <c r="N23" s="72">
        <v>7891.3</v>
      </c>
      <c r="O23" s="72">
        <v>5571.5</v>
      </c>
      <c r="P23" s="10"/>
      <c r="R23" t="s">
        <v>202</v>
      </c>
      <c r="S23" s="215">
        <v>6022.2</v>
      </c>
      <c r="T23" s="215">
        <v>5027.8</v>
      </c>
      <c r="U23" s="215">
        <v>4482.2</v>
      </c>
      <c r="V23" s="72">
        <f t="shared" ref="V23:AE23" si="6">SUM(V19:V22)</f>
        <v>4192.5999999999995</v>
      </c>
      <c r="W23" s="72">
        <f t="shared" si="6"/>
        <v>3776.7</v>
      </c>
      <c r="X23" s="72">
        <f t="shared" si="6"/>
        <v>3231.6</v>
      </c>
      <c r="Y23" s="72">
        <f t="shared" si="6"/>
        <v>2837</v>
      </c>
      <c r="Z23" s="72">
        <f t="shared" si="6"/>
        <v>2737.7</v>
      </c>
      <c r="AA23" s="72">
        <f t="shared" si="6"/>
        <v>2643.2</v>
      </c>
      <c r="AB23" s="72">
        <f t="shared" si="6"/>
        <v>2461.1</v>
      </c>
      <c r="AC23" s="72">
        <f t="shared" si="6"/>
        <v>2661.2000000000003</v>
      </c>
      <c r="AD23" s="72">
        <f t="shared" si="6"/>
        <v>2356.1</v>
      </c>
      <c r="AE23" s="72">
        <f t="shared" si="6"/>
        <v>1641.3999999999999</v>
      </c>
    </row>
    <row r="24" spans="2:32" ht="25.5">
      <c r="B24" s="31" t="s">
        <v>727</v>
      </c>
      <c r="C24" s="67">
        <f t="shared" ref="C24:H24" si="7">+C15-C23</f>
        <v>2502.9000000000015</v>
      </c>
      <c r="D24" s="67">
        <f t="shared" si="7"/>
        <v>2199.9000000000015</v>
      </c>
      <c r="E24" s="67">
        <f t="shared" si="7"/>
        <v>2141.5999999999985</v>
      </c>
      <c r="F24" s="67">
        <f t="shared" si="7"/>
        <v>1859.8000000000011</v>
      </c>
      <c r="G24" s="67">
        <f t="shared" si="7"/>
        <v>1450</v>
      </c>
      <c r="H24" s="67">
        <f t="shared" si="7"/>
        <v>1123</v>
      </c>
      <c r="I24" s="67">
        <v>1017.3</v>
      </c>
      <c r="J24" s="67">
        <v>921.4</v>
      </c>
      <c r="K24" s="67">
        <v>919.2</v>
      </c>
      <c r="L24" s="67">
        <v>746.1</v>
      </c>
      <c r="M24" s="67">
        <v>653</v>
      </c>
      <c r="N24" s="67">
        <v>1295.2</v>
      </c>
      <c r="O24" s="67">
        <v>899.1</v>
      </c>
      <c r="P24" s="41"/>
      <c r="R24" t="s">
        <v>580</v>
      </c>
      <c r="S24" s="75">
        <f t="shared" ref="S24:AE24" si="8">+S17-S23</f>
        <v>2365.1999999999998</v>
      </c>
      <c r="T24" s="75">
        <f t="shared" si="8"/>
        <v>2132.6999999999998</v>
      </c>
      <c r="U24" s="75">
        <f t="shared" si="8"/>
        <v>2104.8000000000002</v>
      </c>
      <c r="V24" s="75">
        <f t="shared" si="8"/>
        <v>1922.8000000000011</v>
      </c>
      <c r="W24" s="75">
        <f t="shared" si="8"/>
        <v>1475.0000000000009</v>
      </c>
      <c r="X24" s="75">
        <f t="shared" si="8"/>
        <v>1151.7999999999997</v>
      </c>
      <c r="Y24" s="75">
        <f t="shared" si="8"/>
        <v>1051.3000000000002</v>
      </c>
      <c r="Z24" s="75">
        <f t="shared" si="8"/>
        <v>966.19999999999982</v>
      </c>
      <c r="AA24" s="75">
        <f t="shared" si="8"/>
        <v>948.10000000000036</v>
      </c>
      <c r="AB24" s="75">
        <f t="shared" si="8"/>
        <v>822.29999999999973</v>
      </c>
      <c r="AC24" s="75">
        <f t="shared" si="8"/>
        <v>826.40000000000009</v>
      </c>
      <c r="AD24" s="75">
        <f t="shared" si="8"/>
        <v>1327.4</v>
      </c>
      <c r="AE24" s="75">
        <f t="shared" si="8"/>
        <v>922.50000000000068</v>
      </c>
    </row>
    <row r="25" spans="2:32">
      <c r="B25" t="s">
        <v>667</v>
      </c>
      <c r="C25" s="72">
        <v>619.5</v>
      </c>
      <c r="D25" s="72">
        <v>708.4</v>
      </c>
      <c r="E25" s="72">
        <v>749.6</v>
      </c>
      <c r="F25" s="72">
        <v>648.20000000000005</v>
      </c>
      <c r="G25" s="72">
        <v>504.4</v>
      </c>
      <c r="H25" s="72">
        <v>382.9</v>
      </c>
      <c r="I25" s="72">
        <v>349</v>
      </c>
      <c r="J25" s="72">
        <v>331.7</v>
      </c>
      <c r="K25" s="72">
        <v>340.1</v>
      </c>
      <c r="L25" s="72">
        <v>294.7</v>
      </c>
      <c r="M25" s="72">
        <v>253.4</v>
      </c>
      <c r="N25" s="72">
        <v>499.4</v>
      </c>
      <c r="O25" s="72">
        <v>345.9</v>
      </c>
      <c r="R25" t="s">
        <v>203</v>
      </c>
      <c r="S25" s="66"/>
      <c r="T25" s="66"/>
      <c r="U25" s="66"/>
      <c r="V25" s="66"/>
      <c r="X25" s="67"/>
      <c r="Y25" s="67"/>
      <c r="Z25" s="67"/>
      <c r="AA25" s="67"/>
      <c r="AB25" s="67"/>
      <c r="AC25" s="67"/>
      <c r="AD25" s="67"/>
      <c r="AE25" s="67"/>
    </row>
    <row r="26" spans="2:32" ht="25.5">
      <c r="B26" s="31" t="s">
        <v>728</v>
      </c>
      <c r="C26" s="74">
        <f>+C24-C25</f>
        <v>1883.4000000000015</v>
      </c>
      <c r="D26" s="74">
        <f>+D24-D25</f>
        <v>1491.5000000000014</v>
      </c>
      <c r="E26" s="74">
        <f>+E24-E25</f>
        <v>1391.9999999999986</v>
      </c>
      <c r="F26" s="74">
        <f t="shared" ref="F26:O26" si="9">+F24-F25</f>
        <v>1211.600000000001</v>
      </c>
      <c r="G26" s="74">
        <f t="shared" si="9"/>
        <v>945.6</v>
      </c>
      <c r="H26" s="74">
        <f t="shared" si="9"/>
        <v>740.1</v>
      </c>
      <c r="I26" s="74">
        <f t="shared" si="9"/>
        <v>668.3</v>
      </c>
      <c r="J26" s="74">
        <f t="shared" si="9"/>
        <v>589.70000000000005</v>
      </c>
      <c r="K26" s="74">
        <f t="shared" si="9"/>
        <v>579.1</v>
      </c>
      <c r="L26" s="74">
        <f t="shared" si="9"/>
        <v>451.40000000000003</v>
      </c>
      <c r="M26" s="74">
        <f t="shared" si="9"/>
        <v>399.6</v>
      </c>
      <c r="N26" s="74">
        <f t="shared" si="9"/>
        <v>795.80000000000007</v>
      </c>
      <c r="O26" s="74">
        <f t="shared" si="9"/>
        <v>553.20000000000005</v>
      </c>
      <c r="R26" s="23" t="s">
        <v>204</v>
      </c>
      <c r="S26" s="74">
        <f t="shared" ref="S26:Z26" si="10">+C25</f>
        <v>619.5</v>
      </c>
      <c r="T26" s="74">
        <f t="shared" si="10"/>
        <v>708.4</v>
      </c>
      <c r="U26" s="74">
        <f t="shared" si="10"/>
        <v>749.6</v>
      </c>
      <c r="V26" s="74">
        <f t="shared" si="10"/>
        <v>648.20000000000005</v>
      </c>
      <c r="W26" s="74">
        <f t="shared" si="10"/>
        <v>504.4</v>
      </c>
      <c r="X26" s="74">
        <f t="shared" si="10"/>
        <v>382.9</v>
      </c>
      <c r="Y26" s="74">
        <f t="shared" si="10"/>
        <v>349</v>
      </c>
      <c r="Z26" s="74">
        <f t="shared" si="10"/>
        <v>331.7</v>
      </c>
      <c r="AA26" s="74">
        <v>340.1</v>
      </c>
      <c r="AB26" s="74">
        <v>294.7</v>
      </c>
      <c r="AC26" s="74">
        <v>253.4</v>
      </c>
      <c r="AD26" s="74">
        <v>499.4</v>
      </c>
      <c r="AE26" s="74">
        <v>345.9</v>
      </c>
    </row>
    <row r="27" spans="2:32" ht="25.5">
      <c r="B27" s="31" t="s">
        <v>729</v>
      </c>
      <c r="C27" s="72"/>
      <c r="D27" s="72"/>
      <c r="E27" s="72">
        <v>0</v>
      </c>
      <c r="F27" s="72">
        <v>0</v>
      </c>
      <c r="G27" s="72">
        <v>0</v>
      </c>
      <c r="H27" s="74">
        <v>266.10000000000002</v>
      </c>
      <c r="I27" s="74">
        <v>5</v>
      </c>
      <c r="J27" s="74">
        <v>0</v>
      </c>
      <c r="K27" s="74">
        <v>0</v>
      </c>
      <c r="L27" s="74">
        <v>0</v>
      </c>
      <c r="M27" s="74">
        <v>0</v>
      </c>
      <c r="N27" s="74">
        <v>0</v>
      </c>
      <c r="O27" s="74">
        <v>0</v>
      </c>
      <c r="R27" s="23" t="s">
        <v>574</v>
      </c>
      <c r="S27" s="67">
        <f t="shared" ref="S27:AE27" si="11">+S33</f>
        <v>-22.1</v>
      </c>
      <c r="T27" s="67">
        <f t="shared" si="11"/>
        <v>0</v>
      </c>
      <c r="U27" s="67">
        <f t="shared" si="11"/>
        <v>0</v>
      </c>
      <c r="V27" s="67">
        <f t="shared" si="11"/>
        <v>0</v>
      </c>
      <c r="W27" s="67">
        <f t="shared" si="11"/>
        <v>0</v>
      </c>
      <c r="X27" s="67">
        <f t="shared" si="11"/>
        <v>0</v>
      </c>
      <c r="Y27" s="67">
        <f t="shared" si="11"/>
        <v>0</v>
      </c>
      <c r="Z27" s="67">
        <f t="shared" si="11"/>
        <v>0</v>
      </c>
      <c r="AA27" s="67">
        <f t="shared" si="11"/>
        <v>-0.9325</v>
      </c>
      <c r="AB27" s="67">
        <f t="shared" si="11"/>
        <v>17.814500000000002</v>
      </c>
      <c r="AC27" s="67">
        <f t="shared" si="11"/>
        <v>50.401200000000003</v>
      </c>
      <c r="AD27" s="67">
        <f t="shared" si="11"/>
        <v>0</v>
      </c>
      <c r="AE27" s="67">
        <f t="shared" si="11"/>
        <v>0</v>
      </c>
    </row>
    <row r="28" spans="2:32" ht="13.5" thickBot="1">
      <c r="B28" t="s">
        <v>26</v>
      </c>
      <c r="C28" s="78">
        <f>C26-C27</f>
        <v>1883.4000000000015</v>
      </c>
      <c r="D28" s="78">
        <f>D26-D27</f>
        <v>1491.5000000000014</v>
      </c>
      <c r="E28" s="78">
        <f>E26-E27</f>
        <v>1391.9999999999986</v>
      </c>
      <c r="F28" s="78">
        <f>F26-F27</f>
        <v>1211.600000000001</v>
      </c>
      <c r="G28" s="78">
        <f>G26-G27</f>
        <v>945.6</v>
      </c>
      <c r="H28" s="78">
        <v>474</v>
      </c>
      <c r="I28" s="78">
        <f t="shared" ref="I28:O28" si="12">+I26-I27</f>
        <v>663.3</v>
      </c>
      <c r="J28" s="78">
        <f t="shared" si="12"/>
        <v>589.70000000000005</v>
      </c>
      <c r="K28" s="78">
        <f t="shared" si="12"/>
        <v>579.1</v>
      </c>
      <c r="L28" s="78">
        <f t="shared" si="12"/>
        <v>451.40000000000003</v>
      </c>
      <c r="M28" s="78">
        <f t="shared" si="12"/>
        <v>399.6</v>
      </c>
      <c r="N28" s="78">
        <f t="shared" si="12"/>
        <v>795.80000000000007</v>
      </c>
      <c r="O28" s="78">
        <f t="shared" si="12"/>
        <v>553.20000000000005</v>
      </c>
      <c r="R28" s="23" t="s">
        <v>205</v>
      </c>
      <c r="S28" s="72">
        <f t="shared" ref="S28:AE28" si="13">-S46</f>
        <v>-28.064399999999996</v>
      </c>
      <c r="T28" s="72">
        <f t="shared" si="13"/>
        <v>-24.460799999999999</v>
      </c>
      <c r="U28" s="72">
        <f t="shared" si="13"/>
        <v>-13.395199999999999</v>
      </c>
      <c r="V28" s="72">
        <f>-V46</f>
        <v>-1.7472000000000001</v>
      </c>
      <c r="W28" s="72">
        <f t="shared" si="13"/>
        <v>9.2750000000000004</v>
      </c>
      <c r="X28" s="72">
        <f t="shared" si="13"/>
        <v>10.799999999999999</v>
      </c>
      <c r="Y28" s="72">
        <f t="shared" si="13"/>
        <v>12.648</v>
      </c>
      <c r="Z28" s="72">
        <f t="shared" si="13"/>
        <v>16.755200000000002</v>
      </c>
      <c r="AA28" s="72">
        <f t="shared" si="13"/>
        <v>11.712199999999999</v>
      </c>
      <c r="AB28" s="72">
        <f t="shared" si="13"/>
        <v>12.284500000000001</v>
      </c>
      <c r="AC28" s="72">
        <f t="shared" si="13"/>
        <v>16.878</v>
      </c>
      <c r="AD28" s="72">
        <f t="shared" si="13"/>
        <v>12.429199999999998</v>
      </c>
      <c r="AE28" s="72">
        <f t="shared" si="13"/>
        <v>9.0090000000000003</v>
      </c>
    </row>
    <row r="29" spans="2:32" ht="13.5" thickTop="1">
      <c r="B29" t="s">
        <v>27</v>
      </c>
      <c r="C29" s="53">
        <v>3.8</v>
      </c>
      <c r="D29" s="53">
        <v>2.96</v>
      </c>
      <c r="E29" s="337">
        <v>2.69</v>
      </c>
      <c r="F29" s="337">
        <v>2.31</v>
      </c>
      <c r="G29" s="53">
        <v>3.59</v>
      </c>
      <c r="H29" s="220">
        <v>1.79</v>
      </c>
      <c r="I29" s="220">
        <v>2.48</v>
      </c>
      <c r="J29" s="220">
        <v>2.1800000000000002</v>
      </c>
      <c r="K29" s="220">
        <v>2.1</v>
      </c>
      <c r="L29" s="220">
        <v>1.59</v>
      </c>
      <c r="M29" s="220">
        <v>1.38</v>
      </c>
      <c r="N29" s="220">
        <v>2.76</v>
      </c>
      <c r="O29" s="220">
        <v>1.93</v>
      </c>
      <c r="R29" t="s">
        <v>206</v>
      </c>
      <c r="S29" s="75">
        <f t="shared" ref="S29:AE29" si="14">SUM(S26:S28)</f>
        <v>569.3356</v>
      </c>
      <c r="T29" s="75">
        <f t="shared" si="14"/>
        <v>683.93920000000003</v>
      </c>
      <c r="U29" s="75">
        <f t="shared" si="14"/>
        <v>736.20479999999998</v>
      </c>
      <c r="V29" s="75">
        <f>SUM(V26:V28)</f>
        <v>646.45280000000002</v>
      </c>
      <c r="W29" s="75">
        <f t="shared" si="14"/>
        <v>513.67499999999995</v>
      </c>
      <c r="X29" s="75">
        <f t="shared" si="14"/>
        <v>393.7</v>
      </c>
      <c r="Y29" s="75">
        <f t="shared" si="14"/>
        <v>361.64800000000002</v>
      </c>
      <c r="Z29" s="75">
        <f t="shared" si="14"/>
        <v>348.45519999999999</v>
      </c>
      <c r="AA29" s="75">
        <f t="shared" si="14"/>
        <v>350.87970000000001</v>
      </c>
      <c r="AB29" s="75">
        <f t="shared" si="14"/>
        <v>324.79899999999998</v>
      </c>
      <c r="AC29" s="75">
        <f t="shared" si="14"/>
        <v>320.67919999999998</v>
      </c>
      <c r="AD29" s="75">
        <f t="shared" si="14"/>
        <v>511.82919999999996</v>
      </c>
      <c r="AE29" s="75">
        <f t="shared" si="14"/>
        <v>354.90899999999999</v>
      </c>
    </row>
    <row r="30" spans="2:32">
      <c r="B30" s="16" t="s">
        <v>28</v>
      </c>
      <c r="C30" s="53">
        <v>3.74</v>
      </c>
      <c r="D30" s="53">
        <v>2.93</v>
      </c>
      <c r="E30" s="337">
        <v>2.64</v>
      </c>
      <c r="F30" s="337">
        <v>2.2400000000000002</v>
      </c>
      <c r="G30" s="53">
        <v>3.51</v>
      </c>
      <c r="H30" s="220">
        <v>1.77</v>
      </c>
      <c r="I30" s="220">
        <v>2.44</v>
      </c>
      <c r="J30" s="220">
        <v>2.16</v>
      </c>
      <c r="K30" s="220">
        <v>2.0699999999999998</v>
      </c>
      <c r="L30" s="220">
        <v>1.57</v>
      </c>
      <c r="M30" s="220">
        <v>1.35</v>
      </c>
      <c r="N30" s="220">
        <v>2.68</v>
      </c>
      <c r="O30" s="220">
        <v>1.88</v>
      </c>
      <c r="R30" t="s">
        <v>581</v>
      </c>
      <c r="S30" s="67">
        <f>+S24-S29</f>
        <v>1795.8643999999999</v>
      </c>
      <c r="T30" s="67">
        <f>+T24-T29</f>
        <v>1448.7607999999998</v>
      </c>
      <c r="U30" s="67">
        <f>+U24-U29</f>
        <v>1368.5952000000002</v>
      </c>
      <c r="V30" s="67">
        <f>+V24-V29</f>
        <v>1276.3472000000011</v>
      </c>
      <c r="W30" s="67">
        <f t="shared" ref="W30:AE30" si="15">+W24-W29</f>
        <v>961.32500000000095</v>
      </c>
      <c r="X30" s="67">
        <f t="shared" si="15"/>
        <v>758.09999999999968</v>
      </c>
      <c r="Y30" s="67">
        <f t="shared" si="15"/>
        <v>689.65200000000016</v>
      </c>
      <c r="Z30" s="67">
        <f t="shared" si="15"/>
        <v>617.74479999999983</v>
      </c>
      <c r="AA30" s="67">
        <f t="shared" si="15"/>
        <v>597.22030000000041</v>
      </c>
      <c r="AB30" s="67">
        <f t="shared" si="15"/>
        <v>497.50099999999975</v>
      </c>
      <c r="AC30" s="67">
        <f t="shared" si="15"/>
        <v>505.72080000000011</v>
      </c>
      <c r="AD30" s="67">
        <f t="shared" si="15"/>
        <v>815.57080000000019</v>
      </c>
      <c r="AE30" s="67">
        <f t="shared" si="15"/>
        <v>567.59100000000069</v>
      </c>
    </row>
    <row r="31" spans="2:32">
      <c r="G31" s="67"/>
      <c r="K31" s="67"/>
      <c r="L31" s="67"/>
      <c r="M31" s="67"/>
      <c r="N31" s="67"/>
      <c r="O31" s="67"/>
      <c r="R31" t="s">
        <v>672</v>
      </c>
      <c r="S31" s="66"/>
      <c r="T31" s="66"/>
      <c r="U31" s="66"/>
      <c r="V31" s="66"/>
      <c r="X31" s="67"/>
      <c r="Y31" s="67"/>
      <c r="Z31" s="67"/>
      <c r="AA31" s="67"/>
      <c r="AB31" s="67"/>
      <c r="AC31" s="67"/>
      <c r="AD31" s="67"/>
      <c r="AE31" s="67"/>
      <c r="AF31" s="51"/>
    </row>
    <row r="32" spans="2:32">
      <c r="G32" s="10"/>
      <c r="K32" s="67"/>
      <c r="L32" s="67"/>
      <c r="M32" s="67"/>
      <c r="N32" s="67"/>
      <c r="O32" s="67"/>
      <c r="R32" s="23" t="s">
        <v>208</v>
      </c>
      <c r="S32" s="307">
        <v>60.6</v>
      </c>
      <c r="T32" s="307">
        <v>0</v>
      </c>
      <c r="U32" s="307">
        <v>0</v>
      </c>
      <c r="V32" s="307">
        <v>0</v>
      </c>
      <c r="W32" s="74">
        <v>0</v>
      </c>
      <c r="X32" s="74">
        <v>0</v>
      </c>
      <c r="Y32" s="74">
        <v>0</v>
      </c>
      <c r="Z32" s="74">
        <v>0</v>
      </c>
      <c r="AA32" s="74">
        <f>+K22*(-1)</f>
        <v>2.5</v>
      </c>
      <c r="AB32" s="74">
        <f>+L22*(-1)</f>
        <v>-45.1</v>
      </c>
      <c r="AC32" s="74">
        <f>+M22*(-1)</f>
        <v>-129.9</v>
      </c>
      <c r="AD32" s="74">
        <f>+N22*(-1)</f>
        <v>0</v>
      </c>
      <c r="AE32" s="74">
        <f>+O22*(-1)</f>
        <v>0</v>
      </c>
    </row>
    <row r="33" spans="7:31">
      <c r="G33" s="10"/>
      <c r="R33" s="23" t="s">
        <v>575</v>
      </c>
      <c r="S33" s="215">
        <v>-22.1</v>
      </c>
      <c r="T33" s="215">
        <v>0</v>
      </c>
      <c r="U33" s="215">
        <v>0</v>
      </c>
      <c r="V33" s="215">
        <v>0</v>
      </c>
      <c r="W33" s="72">
        <v>0</v>
      </c>
      <c r="X33" s="72">
        <v>0</v>
      </c>
      <c r="Y33" s="72">
        <v>0</v>
      </c>
      <c r="Z33" s="72">
        <v>0</v>
      </c>
      <c r="AA33" s="72">
        <f>-AA32*AE57</f>
        <v>-0.9325</v>
      </c>
      <c r="AB33" s="72">
        <f>-AB32*AF57</f>
        <v>17.814500000000002</v>
      </c>
      <c r="AC33" s="72">
        <f>-AC32*AG57</f>
        <v>50.401200000000003</v>
      </c>
      <c r="AD33" s="72">
        <f>-AD32*AH57</f>
        <v>0</v>
      </c>
      <c r="AE33" s="72">
        <f>-AE32*AI57</f>
        <v>0</v>
      </c>
    </row>
    <row r="34" spans="7:31">
      <c r="G34" s="10"/>
      <c r="K34" s="210"/>
      <c r="L34" s="210"/>
      <c r="M34" s="210"/>
      <c r="N34" s="67"/>
      <c r="O34" s="67"/>
      <c r="R34" s="23" t="s">
        <v>576</v>
      </c>
      <c r="S34" s="74">
        <f>+S32+S33</f>
        <v>38.5</v>
      </c>
      <c r="T34" s="74">
        <f>+T32+T33</f>
        <v>0</v>
      </c>
      <c r="U34" s="74">
        <f>+U32+U33</f>
        <v>0</v>
      </c>
      <c r="V34" s="307">
        <f>+V32+V33</f>
        <v>0</v>
      </c>
      <c r="W34" s="74">
        <f t="shared" ref="W34:AE34" si="16">+W32+W33</f>
        <v>0</v>
      </c>
      <c r="X34" s="74">
        <f t="shared" si="16"/>
        <v>0</v>
      </c>
      <c r="Y34" s="74">
        <f t="shared" si="16"/>
        <v>0</v>
      </c>
      <c r="Z34" s="74">
        <f t="shared" si="16"/>
        <v>0</v>
      </c>
      <c r="AA34" s="74">
        <f t="shared" si="16"/>
        <v>1.5674999999999999</v>
      </c>
      <c r="AB34" s="74">
        <f t="shared" si="16"/>
        <v>-27.285499999999999</v>
      </c>
      <c r="AC34" s="74">
        <f t="shared" si="16"/>
        <v>-79.498800000000003</v>
      </c>
      <c r="AD34" s="74">
        <f t="shared" si="16"/>
        <v>0</v>
      </c>
      <c r="AE34" s="74">
        <f t="shared" si="16"/>
        <v>0</v>
      </c>
    </row>
    <row r="35" spans="7:31">
      <c r="G35" s="10"/>
      <c r="K35" s="9"/>
      <c r="L35" s="9"/>
      <c r="M35" s="9"/>
      <c r="N35" s="74"/>
      <c r="O35" s="74"/>
      <c r="P35" s="74"/>
      <c r="Q35" s="67"/>
      <c r="R35" s="23" t="s">
        <v>591</v>
      </c>
      <c r="S35" s="307">
        <f>'Nike Statement of SE'!K180+'Nike Statement of SE'!K181</f>
        <v>165.60000000000002</v>
      </c>
      <c r="T35" s="307">
        <f>'Nike Statement of SE'!K164</f>
        <v>84.6</v>
      </c>
      <c r="U35" s="307">
        <f>'Nike Statement of SE'!K149</f>
        <v>87.1</v>
      </c>
      <c r="V35" s="307">
        <f>'Nike Statement of SE'!K134</f>
        <v>70.099999999999994</v>
      </c>
      <c r="W35" s="74">
        <f>'Nike Statement of SE'!K120</f>
        <v>27.5</v>
      </c>
      <c r="X35" s="74">
        <v>127.4</v>
      </c>
      <c r="Y35" s="74">
        <v>-1.5</v>
      </c>
      <c r="Z35" s="74">
        <v>-41</v>
      </c>
      <c r="AA35" s="74">
        <f>+'Nike Statement of SE'!I65</f>
        <v>-42.2</v>
      </c>
      <c r="AB35" s="74">
        <v>-21.7</v>
      </c>
      <c r="AC35" s="74">
        <v>-15.9</v>
      </c>
      <c r="AD35" s="74">
        <v>-18.899999999999999</v>
      </c>
      <c r="AE35" s="74">
        <v>-18.100000000000001</v>
      </c>
    </row>
    <row r="36" spans="7:31">
      <c r="G36" s="10"/>
      <c r="K36" s="9"/>
      <c r="L36" s="9"/>
      <c r="M36" s="9"/>
      <c r="N36" s="74"/>
      <c r="O36" s="74"/>
      <c r="P36" s="74"/>
      <c r="R36" s="23" t="s">
        <v>726</v>
      </c>
      <c r="S36" s="307">
        <v>-91.6</v>
      </c>
      <c r="T36" s="307">
        <v>-16.7</v>
      </c>
      <c r="U36" s="307">
        <v>-38.799999999999997</v>
      </c>
      <c r="V36" s="307">
        <v>89.6</v>
      </c>
      <c r="W36" s="74">
        <f>'Nike Statement of SE'!K121</f>
        <v>125.9</v>
      </c>
      <c r="X36" s="74">
        <v>-174.7</v>
      </c>
      <c r="Y36" s="74">
        <v>-95.6</v>
      </c>
      <c r="Z36" s="74">
        <v>0</v>
      </c>
      <c r="AA36" s="74">
        <v>0</v>
      </c>
      <c r="AB36" s="74">
        <v>0</v>
      </c>
      <c r="AC36" s="74">
        <v>0</v>
      </c>
      <c r="AD36" s="74">
        <v>0</v>
      </c>
      <c r="AE36" s="74">
        <v>0</v>
      </c>
    </row>
    <row r="37" spans="7:31">
      <c r="G37" s="10"/>
      <c r="K37" s="9"/>
      <c r="L37" s="9"/>
      <c r="M37" s="9"/>
      <c r="N37" s="74"/>
      <c r="O37" s="74"/>
      <c r="P37" s="74"/>
      <c r="R37" s="23" t="s">
        <v>683</v>
      </c>
      <c r="S37" s="307">
        <v>0</v>
      </c>
      <c r="T37" s="307">
        <v>0</v>
      </c>
      <c r="U37" s="307">
        <v>0</v>
      </c>
      <c r="V37" s="307">
        <v>-67.8</v>
      </c>
      <c r="W37" s="74">
        <f>'Nike Statement of SE'!P114</f>
        <v>-80.023719676549874</v>
      </c>
      <c r="X37" s="74">
        <f>'Nike Statement of SE'!P103</f>
        <v>-20.833333333333336</v>
      </c>
      <c r="Y37" s="74">
        <f>'Nike Statement of SE'!P92</f>
        <v>-23.465591397849465</v>
      </c>
      <c r="Z37" s="74">
        <f>'Nike Statement of SE'!P81</f>
        <v>-54.231016042780745</v>
      </c>
      <c r="AA37" s="74">
        <f>'Nike Statement of SE'!P70</f>
        <v>-25.046380697050942</v>
      </c>
      <c r="AB37" s="74">
        <f>'Nike Statement of SE'!P59</f>
        <v>-53.806266318537858</v>
      </c>
      <c r="AC37" s="74">
        <v>0</v>
      </c>
      <c r="AD37" s="74">
        <v>0</v>
      </c>
      <c r="AE37" s="74">
        <v>0</v>
      </c>
    </row>
    <row r="38" spans="7:31">
      <c r="G38" s="10"/>
      <c r="K38" s="9"/>
      <c r="L38" s="9"/>
      <c r="M38" s="9"/>
      <c r="N38" s="74"/>
      <c r="O38" s="74"/>
      <c r="P38" s="74"/>
      <c r="R38" s="222" t="s">
        <v>686</v>
      </c>
      <c r="S38" s="215">
        <v>-25.7</v>
      </c>
      <c r="T38" s="215">
        <v>135.5</v>
      </c>
      <c r="U38" s="215">
        <v>11.5</v>
      </c>
      <c r="V38" s="215">
        <v>3.9</v>
      </c>
      <c r="W38" s="72">
        <f>-G27</f>
        <v>0</v>
      </c>
      <c r="X38" s="72">
        <f>-H27</f>
        <v>-266.10000000000002</v>
      </c>
      <c r="Y38" s="72">
        <f>-I27+'Nike Statement of SE'!I92</f>
        <v>51.8</v>
      </c>
      <c r="Z38" s="72">
        <v>0</v>
      </c>
      <c r="AA38" s="72">
        <v>0</v>
      </c>
      <c r="AB38" s="72">
        <v>0</v>
      </c>
      <c r="AC38" s="72">
        <v>0</v>
      </c>
      <c r="AD38" s="72">
        <v>0</v>
      </c>
      <c r="AE38" s="72">
        <v>0</v>
      </c>
    </row>
    <row r="39" spans="7:31">
      <c r="K39" s="9"/>
      <c r="L39" s="9"/>
      <c r="M39" s="9"/>
      <c r="N39" s="74"/>
      <c r="O39" s="74"/>
      <c r="P39" s="74"/>
      <c r="R39" s="16" t="s">
        <v>239</v>
      </c>
      <c r="S39" s="67">
        <f t="shared" ref="S39:AE39" si="17">SUM(S34:S38)</f>
        <v>86.800000000000026</v>
      </c>
      <c r="T39" s="67">
        <f t="shared" si="17"/>
        <v>203.39999999999998</v>
      </c>
      <c r="U39" s="67">
        <f t="shared" si="17"/>
        <v>59.8</v>
      </c>
      <c r="V39" s="67">
        <f>SUM(V34:V38)</f>
        <v>95.8</v>
      </c>
      <c r="W39" s="67">
        <f t="shared" si="17"/>
        <v>73.376280323450132</v>
      </c>
      <c r="X39" s="67">
        <f>SUM(X34:X38)</f>
        <v>-334.23333333333335</v>
      </c>
      <c r="Y39" s="67">
        <f t="shared" si="17"/>
        <v>-68.765591397849462</v>
      </c>
      <c r="Z39" s="67">
        <f t="shared" si="17"/>
        <v>-95.231016042780738</v>
      </c>
      <c r="AA39" s="67">
        <f t="shared" si="17"/>
        <v>-65.678880697050943</v>
      </c>
      <c r="AB39" s="67">
        <f t="shared" si="17"/>
        <v>-102.79176631853787</v>
      </c>
      <c r="AC39" s="67">
        <f t="shared" si="17"/>
        <v>-95.398800000000008</v>
      </c>
      <c r="AD39" s="67">
        <f t="shared" si="17"/>
        <v>-18.899999999999999</v>
      </c>
      <c r="AE39" s="67">
        <f t="shared" si="17"/>
        <v>-18.100000000000001</v>
      </c>
    </row>
    <row r="40" spans="7:31">
      <c r="K40" s="9"/>
      <c r="L40" s="9"/>
      <c r="M40" s="9"/>
      <c r="N40" s="74"/>
      <c r="O40" s="74"/>
      <c r="P40" s="74"/>
      <c r="R40" s="16" t="s">
        <v>207</v>
      </c>
      <c r="S40" s="75">
        <f t="shared" ref="S40:AE40" si="18">+S30+S39</f>
        <v>1882.6643999999999</v>
      </c>
      <c r="T40" s="75">
        <f t="shared" si="18"/>
        <v>1652.1607999999997</v>
      </c>
      <c r="U40" s="75">
        <f t="shared" si="18"/>
        <v>1428.3952000000002</v>
      </c>
      <c r="V40" s="75">
        <f>+V30+V39</f>
        <v>1372.147200000001</v>
      </c>
      <c r="W40" s="75">
        <f t="shared" si="18"/>
        <v>1034.7012803234511</v>
      </c>
      <c r="X40" s="75">
        <f t="shared" si="18"/>
        <v>423.86666666666633</v>
      </c>
      <c r="Y40" s="75">
        <f t="shared" si="18"/>
        <v>620.88640860215071</v>
      </c>
      <c r="Z40" s="75">
        <f t="shared" si="18"/>
        <v>522.51378395721906</v>
      </c>
      <c r="AA40" s="75">
        <f t="shared" si="18"/>
        <v>531.54141930294941</v>
      </c>
      <c r="AB40" s="75">
        <f t="shared" si="18"/>
        <v>394.70923368146191</v>
      </c>
      <c r="AC40" s="75">
        <f t="shared" si="18"/>
        <v>410.32200000000012</v>
      </c>
      <c r="AD40" s="75">
        <f t="shared" si="18"/>
        <v>796.67080000000021</v>
      </c>
      <c r="AE40" s="75">
        <f t="shared" si="18"/>
        <v>549.49100000000067</v>
      </c>
    </row>
    <row r="41" spans="7:31">
      <c r="K41" s="9"/>
      <c r="L41" s="9"/>
      <c r="M41" s="9"/>
      <c r="N41" s="74"/>
      <c r="O41" s="74"/>
      <c r="P41" s="74"/>
      <c r="R41" s="16"/>
      <c r="S41" s="66"/>
      <c r="T41" s="66"/>
      <c r="U41" s="66"/>
      <c r="V41" s="66"/>
      <c r="X41" s="68"/>
      <c r="Y41" s="68"/>
      <c r="Z41" s="68"/>
      <c r="AA41" s="68"/>
      <c r="AB41" s="68"/>
      <c r="AC41" s="68"/>
      <c r="AD41" s="68"/>
      <c r="AE41" s="68"/>
    </row>
    <row r="42" spans="7:31">
      <c r="K42" s="9"/>
      <c r="L42" s="9"/>
      <c r="M42" s="9"/>
      <c r="N42" s="74"/>
      <c r="O42" s="74"/>
      <c r="P42" s="74"/>
      <c r="R42" s="16" t="s">
        <v>209</v>
      </c>
      <c r="S42" s="309"/>
      <c r="T42" s="309"/>
      <c r="U42" s="309"/>
      <c r="V42" s="66"/>
      <c r="X42" s="67"/>
      <c r="Y42" s="67"/>
      <c r="Z42" s="67"/>
      <c r="AA42" s="67"/>
      <c r="AB42" s="67"/>
      <c r="AC42" s="67"/>
      <c r="AD42" s="67"/>
      <c r="AE42" s="67"/>
    </row>
    <row r="43" spans="7:31">
      <c r="K43" s="9"/>
      <c r="N43" s="74"/>
      <c r="O43" s="74"/>
      <c r="P43" s="74"/>
      <c r="R43" s="222" t="s">
        <v>210</v>
      </c>
      <c r="S43" s="310">
        <v>-38.700000000000003</v>
      </c>
      <c r="T43" s="310">
        <v>-49.7</v>
      </c>
      <c r="U43" s="310">
        <v>-50.7</v>
      </c>
      <c r="V43" s="310">
        <v>-30.1</v>
      </c>
      <c r="W43">
        <v>40.299999999999997</v>
      </c>
      <c r="X43" s="76">
        <f>+H19</f>
        <v>42.9</v>
      </c>
      <c r="Y43" s="76">
        <f>+I19</f>
        <v>47.6</v>
      </c>
      <c r="Z43" s="76">
        <f>+J19</f>
        <v>58.7</v>
      </c>
      <c r="AA43" s="76">
        <v>45</v>
      </c>
      <c r="AB43" s="76">
        <v>44.1</v>
      </c>
      <c r="AC43" s="76">
        <v>60</v>
      </c>
      <c r="AD43" s="76">
        <v>52.3</v>
      </c>
      <c r="AE43" s="76">
        <v>39.5</v>
      </c>
    </row>
    <row r="44" spans="7:31">
      <c r="L44" s="9"/>
      <c r="M44" s="9"/>
      <c r="N44" s="74"/>
      <c r="O44" s="74"/>
      <c r="P44" s="74"/>
      <c r="R44" s="222" t="s">
        <v>743</v>
      </c>
      <c r="S44" s="215">
        <v>115.8</v>
      </c>
      <c r="T44" s="215">
        <v>116.9</v>
      </c>
      <c r="U44" s="215">
        <v>87.3</v>
      </c>
      <c r="V44" s="215">
        <v>34.9</v>
      </c>
      <c r="W44" s="72">
        <v>-15.3</v>
      </c>
      <c r="X44" s="72">
        <v>-14.1</v>
      </c>
      <c r="Y44" s="72">
        <v>-13.6</v>
      </c>
      <c r="Z44" s="72">
        <v>-13.9</v>
      </c>
      <c r="AA44" s="72">
        <v>-13.6</v>
      </c>
      <c r="AB44" s="72">
        <v>-13</v>
      </c>
      <c r="AC44" s="72">
        <v>-16.5</v>
      </c>
      <c r="AD44" s="72">
        <v>-20.100000000000001</v>
      </c>
      <c r="AE44" s="72">
        <v>-16.100000000000001</v>
      </c>
    </row>
    <row r="45" spans="7:31">
      <c r="K45" s="9"/>
      <c r="L45" s="9"/>
      <c r="M45" s="9"/>
      <c r="N45" s="74"/>
      <c r="O45" s="74"/>
      <c r="P45" s="74"/>
      <c r="R45" s="16" t="s">
        <v>687</v>
      </c>
      <c r="S45" s="311">
        <v>-77.099999999999994</v>
      </c>
      <c r="T45" s="311">
        <v>-67.2</v>
      </c>
      <c r="U45" s="311">
        <v>-36.799999999999997</v>
      </c>
      <c r="V45" s="311">
        <v>4.8</v>
      </c>
      <c r="W45" s="76">
        <f>+G19</f>
        <v>25</v>
      </c>
      <c r="X45" s="67">
        <f t="shared" ref="X45:AE45" si="19">SUM(X43:X44)</f>
        <v>28.799999999999997</v>
      </c>
      <c r="Y45" s="67">
        <f t="shared" si="19"/>
        <v>34</v>
      </c>
      <c r="Z45" s="67">
        <f t="shared" si="19"/>
        <v>44.800000000000004</v>
      </c>
      <c r="AA45" s="67">
        <f t="shared" si="19"/>
        <v>31.4</v>
      </c>
      <c r="AB45" s="67">
        <f t="shared" si="19"/>
        <v>31.1</v>
      </c>
      <c r="AC45" s="67">
        <f t="shared" si="19"/>
        <v>43.5</v>
      </c>
      <c r="AD45" s="67">
        <f t="shared" si="19"/>
        <v>32.199999999999996</v>
      </c>
      <c r="AE45" s="67">
        <f t="shared" si="19"/>
        <v>23.4</v>
      </c>
    </row>
    <row r="46" spans="7:31">
      <c r="K46" s="9"/>
      <c r="L46" s="9"/>
      <c r="M46" s="9"/>
      <c r="N46" s="74"/>
      <c r="O46" s="74"/>
      <c r="P46" s="74"/>
      <c r="R46" s="16" t="s">
        <v>688</v>
      </c>
      <c r="S46" s="312">
        <v>28.064399999999996</v>
      </c>
      <c r="T46" s="312">
        <v>24.460799999999999</v>
      </c>
      <c r="U46" s="312">
        <v>13.395199999999999</v>
      </c>
      <c r="V46" s="312">
        <v>1.7472000000000001</v>
      </c>
      <c r="W46" s="146">
        <f t="shared" ref="W46:AE46" si="20">-W45*AA57</f>
        <v>-9.2750000000000004</v>
      </c>
      <c r="X46" s="146">
        <f t="shared" si="20"/>
        <v>-10.799999999999999</v>
      </c>
      <c r="Y46" s="146">
        <f t="shared" si="20"/>
        <v>-12.648</v>
      </c>
      <c r="Z46" s="146">
        <f t="shared" si="20"/>
        <v>-16.755200000000002</v>
      </c>
      <c r="AA46" s="146">
        <f t="shared" si="20"/>
        <v>-11.712199999999999</v>
      </c>
      <c r="AB46" s="146">
        <f t="shared" si="20"/>
        <v>-12.284500000000001</v>
      </c>
      <c r="AC46" s="146">
        <f t="shared" si="20"/>
        <v>-16.878</v>
      </c>
      <c r="AD46" s="146">
        <f t="shared" si="20"/>
        <v>-12.429199999999998</v>
      </c>
      <c r="AE46" s="146">
        <f t="shared" si="20"/>
        <v>-9.0090000000000003</v>
      </c>
    </row>
    <row r="47" spans="7:31">
      <c r="K47" s="9"/>
      <c r="L47" s="9"/>
      <c r="M47" s="9"/>
      <c r="N47" s="74"/>
      <c r="O47" s="74"/>
      <c r="P47" s="74"/>
      <c r="R47" s="16" t="s">
        <v>212</v>
      </c>
      <c r="S47" s="219">
        <v>-49.035600000000002</v>
      </c>
      <c r="T47" s="219">
        <v>-42.739200000000004</v>
      </c>
      <c r="U47" s="219">
        <v>-23.404799999999998</v>
      </c>
      <c r="V47" s="219">
        <v>3.0528</v>
      </c>
      <c r="W47" s="67">
        <f t="shared" ref="W47:AE47" si="21">SUM(W45:W46)</f>
        <v>15.725</v>
      </c>
      <c r="X47" s="67">
        <f t="shared" si="21"/>
        <v>18</v>
      </c>
      <c r="Y47" s="67">
        <f t="shared" si="21"/>
        <v>21.352</v>
      </c>
      <c r="Z47" s="67">
        <f t="shared" si="21"/>
        <v>28.044800000000002</v>
      </c>
      <c r="AA47" s="67">
        <f t="shared" si="21"/>
        <v>19.687799999999999</v>
      </c>
      <c r="AB47" s="67">
        <f t="shared" si="21"/>
        <v>18.8155</v>
      </c>
      <c r="AC47" s="67">
        <f t="shared" si="21"/>
        <v>26.622</v>
      </c>
      <c r="AD47" s="67">
        <f t="shared" si="21"/>
        <v>19.770799999999998</v>
      </c>
      <c r="AE47" s="67">
        <f t="shared" si="21"/>
        <v>14.390999999999998</v>
      </c>
    </row>
    <row r="48" spans="7:31">
      <c r="K48" s="9"/>
      <c r="L48" s="9"/>
      <c r="M48" s="9"/>
      <c r="N48" s="74"/>
      <c r="O48" s="74"/>
      <c r="P48" s="74"/>
      <c r="R48" s="37" t="s">
        <v>138</v>
      </c>
      <c r="S48" s="219"/>
      <c r="T48" s="219"/>
      <c r="U48" s="219"/>
      <c r="V48" s="219"/>
      <c r="W48" s="67">
        <v>0</v>
      </c>
      <c r="X48" s="67">
        <v>0</v>
      </c>
      <c r="Y48" s="67">
        <v>0</v>
      </c>
      <c r="Z48" s="67">
        <v>0</v>
      </c>
      <c r="AA48" s="67">
        <v>0</v>
      </c>
      <c r="AB48" s="67">
        <v>0</v>
      </c>
      <c r="AC48" s="67">
        <v>0</v>
      </c>
      <c r="AD48" s="67">
        <v>0</v>
      </c>
      <c r="AE48" s="67">
        <v>0</v>
      </c>
    </row>
    <row r="49" spans="11:35">
      <c r="K49" s="9"/>
      <c r="L49" s="9"/>
      <c r="M49" s="9"/>
      <c r="N49" s="74"/>
      <c r="O49" s="74"/>
      <c r="P49" s="74"/>
      <c r="R49" s="16" t="s">
        <v>209</v>
      </c>
      <c r="S49" s="308">
        <v>-49.035600000000002</v>
      </c>
      <c r="T49" s="308">
        <v>-42.739200000000004</v>
      </c>
      <c r="U49" s="308">
        <v>-23.404799999999998</v>
      </c>
      <c r="V49" s="308">
        <v>3.0528</v>
      </c>
      <c r="W49" s="75">
        <f t="shared" ref="W49:AE49" si="22">SUM(W47)</f>
        <v>15.725</v>
      </c>
      <c r="X49" s="75">
        <f t="shared" si="22"/>
        <v>18</v>
      </c>
      <c r="Y49" s="75">
        <f t="shared" si="22"/>
        <v>21.352</v>
      </c>
      <c r="Z49" s="75">
        <f t="shared" si="22"/>
        <v>28.044800000000002</v>
      </c>
      <c r="AA49" s="75">
        <f t="shared" si="22"/>
        <v>19.687799999999999</v>
      </c>
      <c r="AB49" s="75">
        <f t="shared" si="22"/>
        <v>18.8155</v>
      </c>
      <c r="AC49" s="75">
        <f t="shared" si="22"/>
        <v>26.622</v>
      </c>
      <c r="AD49" s="75">
        <f t="shared" si="22"/>
        <v>19.770799999999998</v>
      </c>
      <c r="AE49" s="75">
        <f t="shared" si="22"/>
        <v>14.390999999999998</v>
      </c>
    </row>
    <row r="50" spans="11:35">
      <c r="K50" s="9"/>
      <c r="N50" s="74"/>
      <c r="O50" s="74"/>
      <c r="P50" s="74"/>
      <c r="R50" s="16"/>
      <c r="S50" s="66"/>
      <c r="T50" s="66"/>
      <c r="U50" s="66"/>
      <c r="V50" s="66"/>
      <c r="X50" s="67"/>
      <c r="Y50" s="67"/>
      <c r="Z50" s="67"/>
      <c r="AA50" s="67"/>
      <c r="AB50" s="67"/>
      <c r="AC50" s="67"/>
      <c r="AD50" s="67"/>
      <c r="AE50" s="67"/>
    </row>
    <row r="51" spans="11:35" ht="13.5" thickBot="1">
      <c r="L51" s="9"/>
      <c r="M51" s="9"/>
      <c r="N51" s="74"/>
      <c r="O51" s="74"/>
      <c r="P51" s="74"/>
      <c r="R51" s="16" t="s">
        <v>213</v>
      </c>
      <c r="S51" s="299">
        <v>1931.7</v>
      </c>
      <c r="T51" s="299">
        <v>1694.9</v>
      </c>
      <c r="U51" s="299">
        <v>1451.8</v>
      </c>
      <c r="V51" s="73">
        <f>+V40+V49</f>
        <v>1375.200000000001</v>
      </c>
      <c r="W51" s="73">
        <f>+W40-W49</f>
        <v>1018.9762803234511</v>
      </c>
      <c r="X51" s="73">
        <f t="shared" ref="X51:AE51" si="23">+X40-X49</f>
        <v>405.86666666666633</v>
      </c>
      <c r="Y51" s="73">
        <f>+Y40-Y49</f>
        <v>599.53440860215073</v>
      </c>
      <c r="Z51" s="73">
        <f t="shared" si="23"/>
        <v>494.46898395721905</v>
      </c>
      <c r="AA51" s="73">
        <f t="shared" si="23"/>
        <v>511.85361930294943</v>
      </c>
      <c r="AB51" s="73">
        <f t="shared" si="23"/>
        <v>375.89373368146192</v>
      </c>
      <c r="AC51" s="73">
        <f t="shared" si="23"/>
        <v>383.7000000000001</v>
      </c>
      <c r="AD51" s="73">
        <f t="shared" si="23"/>
        <v>776.9000000000002</v>
      </c>
      <c r="AE51" s="73">
        <f t="shared" si="23"/>
        <v>535.1000000000007</v>
      </c>
    </row>
    <row r="52" spans="11:35" ht="13.5" thickTop="1">
      <c r="K52" s="9"/>
      <c r="N52" s="74"/>
      <c r="O52" s="74"/>
      <c r="P52" s="74"/>
      <c r="R52" s="16"/>
      <c r="S52" s="37"/>
      <c r="T52" s="37"/>
      <c r="U52" s="37"/>
      <c r="V52" s="37"/>
      <c r="W52" s="16"/>
      <c r="X52" s="16"/>
    </row>
    <row r="53" spans="11:35">
      <c r="L53" s="211"/>
      <c r="M53" s="211"/>
      <c r="N53" s="74"/>
      <c r="O53" s="74"/>
      <c r="P53" s="74"/>
      <c r="S53" s="66"/>
      <c r="T53" s="66"/>
      <c r="U53" s="66"/>
      <c r="V53" s="66"/>
    </row>
    <row r="54" spans="11:35">
      <c r="K54" s="211"/>
      <c r="L54" s="211"/>
      <c r="M54" s="211"/>
      <c r="N54" s="74"/>
      <c r="O54" s="74"/>
      <c r="P54" s="74"/>
      <c r="R54" t="s">
        <v>578</v>
      </c>
      <c r="S54" s="66"/>
      <c r="T54" s="66"/>
      <c r="U54" s="66"/>
      <c r="V54" s="66"/>
    </row>
    <row r="55" spans="11:35">
      <c r="K55" s="211"/>
      <c r="L55" s="211"/>
      <c r="M55" s="211"/>
      <c r="N55" s="74"/>
      <c r="O55" s="74"/>
      <c r="P55" s="74"/>
      <c r="R55" t="s">
        <v>684</v>
      </c>
      <c r="S55" s="313"/>
      <c r="T55" s="313"/>
      <c r="U55" s="313"/>
      <c r="V55" s="313"/>
      <c r="W55" s="7"/>
      <c r="X55" s="7"/>
      <c r="Y55" s="7"/>
      <c r="Z55" s="7"/>
      <c r="AA55" s="7"/>
    </row>
    <row r="56" spans="11:35">
      <c r="K56" s="211"/>
      <c r="L56" s="211"/>
      <c r="M56" s="211"/>
      <c r="N56" s="74"/>
      <c r="O56" s="74"/>
      <c r="P56" s="74"/>
      <c r="R56" s="147" t="s">
        <v>579</v>
      </c>
      <c r="S56" s="15">
        <v>2008</v>
      </c>
      <c r="T56" s="15">
        <v>2007</v>
      </c>
      <c r="U56" s="15">
        <v>2006</v>
      </c>
      <c r="V56" s="15">
        <v>2005</v>
      </c>
      <c r="W56" s="15">
        <v>2004</v>
      </c>
      <c r="X56" s="7">
        <v>2004</v>
      </c>
      <c r="Y56" s="7">
        <v>2004</v>
      </c>
      <c r="Z56" s="7">
        <v>2004</v>
      </c>
      <c r="AA56" s="7">
        <v>2004</v>
      </c>
      <c r="AB56" s="147">
        <v>2003</v>
      </c>
      <c r="AC56" s="147">
        <v>2002</v>
      </c>
      <c r="AD56" s="147">
        <v>2001</v>
      </c>
      <c r="AE56" s="147">
        <v>2000</v>
      </c>
      <c r="AF56" s="147">
        <v>1999</v>
      </c>
      <c r="AG56" s="147">
        <v>1998</v>
      </c>
      <c r="AH56" s="147">
        <v>1997</v>
      </c>
      <c r="AI56" s="147">
        <v>1996</v>
      </c>
    </row>
    <row r="57" spans="11:35">
      <c r="K57" s="211"/>
      <c r="L57" s="211"/>
      <c r="M57" s="211"/>
      <c r="N57" s="74"/>
      <c r="O57" s="74"/>
      <c r="P57" s="74"/>
      <c r="R57" s="15" t="s">
        <v>577</v>
      </c>
      <c r="S57" s="306">
        <v>0.36399999999999999</v>
      </c>
      <c r="T57" s="306">
        <v>0.36599999999999999</v>
      </c>
      <c r="U57" s="306">
        <v>0.36499999999999999</v>
      </c>
      <c r="V57" s="306">
        <v>0.36399999999999999</v>
      </c>
      <c r="W57" s="148">
        <v>0.371</v>
      </c>
      <c r="X57" s="148">
        <v>0.371</v>
      </c>
      <c r="Y57" s="148">
        <v>0.371</v>
      </c>
      <c r="Z57" s="148">
        <v>0.371</v>
      </c>
      <c r="AA57" s="148">
        <v>0.371</v>
      </c>
      <c r="AB57" s="148">
        <v>0.375</v>
      </c>
      <c r="AC57" s="148">
        <v>0.372</v>
      </c>
      <c r="AD57" s="148">
        <v>0.374</v>
      </c>
      <c r="AE57" s="148">
        <v>0.373</v>
      </c>
      <c r="AF57" s="148">
        <v>0.39500000000000002</v>
      </c>
      <c r="AG57" s="148">
        <v>0.38800000000000001</v>
      </c>
      <c r="AH57" s="148">
        <v>0.38600000000000001</v>
      </c>
      <c r="AI57" s="148">
        <v>0.38500000000000001</v>
      </c>
    </row>
    <row r="58" spans="11:35">
      <c r="K58" s="211"/>
      <c r="L58" s="211"/>
      <c r="M58" s="211"/>
      <c r="N58" s="74"/>
      <c r="O58" s="74"/>
      <c r="P58" s="74"/>
      <c r="R58" s="14"/>
      <c r="S58" s="14"/>
      <c r="T58" s="14"/>
      <c r="U58" s="14"/>
      <c r="V58" s="14"/>
    </row>
    <row r="59" spans="11:35">
      <c r="K59" s="211"/>
      <c r="L59" s="211"/>
      <c r="M59" s="211"/>
      <c r="N59" s="74"/>
      <c r="O59" s="74"/>
      <c r="P59" s="74"/>
      <c r="R59" s="37"/>
      <c r="S59" s="37"/>
      <c r="T59" s="37"/>
      <c r="U59" s="37"/>
      <c r="V59" s="37"/>
    </row>
    <row r="60" spans="11:35">
      <c r="K60" s="211"/>
      <c r="L60" s="211"/>
      <c r="M60" s="211"/>
      <c r="N60" s="74"/>
      <c r="O60" s="74"/>
      <c r="P60" s="74"/>
    </row>
    <row r="61" spans="11:35">
      <c r="K61" s="211"/>
      <c r="L61" s="211"/>
      <c r="M61" s="211"/>
      <c r="N61" s="74"/>
      <c r="O61" s="74"/>
      <c r="P61" s="74"/>
    </row>
    <row r="62" spans="11:35">
      <c r="K62" s="211"/>
      <c r="L62" s="211"/>
      <c r="M62" s="211"/>
      <c r="N62" s="74"/>
      <c r="O62" s="74"/>
      <c r="P62" s="74"/>
    </row>
    <row r="63" spans="11:35">
      <c r="L63" s="211"/>
      <c r="M63" s="211"/>
      <c r="N63" s="74"/>
      <c r="O63" s="74"/>
    </row>
    <row r="64" spans="11:35">
      <c r="L64" s="211"/>
      <c r="M64" s="211"/>
      <c r="N64" s="74"/>
      <c r="O64" s="74"/>
    </row>
    <row r="65" spans="12:15">
      <c r="L65" s="211"/>
      <c r="M65" s="211"/>
      <c r="N65" s="74"/>
      <c r="O65" s="74"/>
    </row>
    <row r="66" spans="12:15">
      <c r="L66" s="211"/>
      <c r="M66" s="211"/>
      <c r="N66" s="74"/>
      <c r="O66" s="74"/>
    </row>
  </sheetData>
  <phoneticPr fontId="0" type="noConversion"/>
  <pageMargins left="0.75" right="0.75" top="1" bottom="1" header="0.5" footer="0.5"/>
  <pageSetup scale="86" fitToHeight="2" orientation="landscape" r:id="rId1"/>
  <headerFooter alignWithMargins="0">
    <oddFooter>&amp;C&amp;8Financial Statement Analysis and Security Valuation: Roadmap&amp;R&amp;8Stephen H. Penman 2003</oddFooter>
  </headerFooter>
  <legacyDrawing r:id="rId2"/>
</worksheet>
</file>

<file path=xl/worksheets/sheet9.xml><?xml version="1.0" encoding="utf-8"?>
<worksheet xmlns="http://schemas.openxmlformats.org/spreadsheetml/2006/main" xmlns:r="http://schemas.openxmlformats.org/officeDocument/2006/relationships">
  <sheetPr codeName="Sheet9">
    <pageSetUpPr fitToPage="1"/>
  </sheetPr>
  <dimension ref="B1:X171"/>
  <sheetViews>
    <sheetView workbookViewId="0"/>
  </sheetViews>
  <sheetFormatPr defaultRowHeight="12.75"/>
  <cols>
    <col min="1" max="1" width="2" customWidth="1"/>
    <col min="2" max="2" width="42.42578125" style="31" customWidth="1"/>
    <col min="3" max="6" width="13.28515625" style="31" customWidth="1"/>
    <col min="7" max="8" width="12.7109375" style="31" customWidth="1"/>
    <col min="9" max="10" width="11.28515625" style="31" customWidth="1"/>
    <col min="11" max="15" width="11.28515625" customWidth="1"/>
    <col min="16" max="16" width="9.85546875" customWidth="1"/>
    <col min="18" max="18" width="30" customWidth="1"/>
    <col min="19" max="19" width="14.28515625" customWidth="1"/>
    <col min="20" max="20" width="18.140625" customWidth="1"/>
    <col min="21" max="23" width="10.140625" bestFit="1" customWidth="1"/>
  </cols>
  <sheetData>
    <row r="1" spans="2:24" ht="10.5" customHeight="1"/>
    <row r="2" spans="2:24" ht="15.75">
      <c r="B2" s="1" t="s">
        <v>654</v>
      </c>
      <c r="C2" s="1"/>
      <c r="D2" s="1" t="s">
        <v>557</v>
      </c>
      <c r="E2" s="1"/>
      <c r="F2" s="1"/>
      <c r="G2" s="1"/>
      <c r="H2" s="1"/>
      <c r="I2" s="32"/>
      <c r="J2" s="32"/>
    </row>
    <row r="3" spans="2:24" ht="15">
      <c r="B3" s="2" t="s">
        <v>293</v>
      </c>
      <c r="C3" s="2"/>
      <c r="D3" s="2"/>
      <c r="E3" s="2"/>
      <c r="F3" s="2"/>
      <c r="G3" s="2"/>
      <c r="H3" s="2"/>
      <c r="I3" s="2"/>
      <c r="J3" s="2"/>
    </row>
    <row r="4" spans="2:24" ht="15">
      <c r="B4" s="2"/>
      <c r="C4" s="2"/>
      <c r="D4" s="2"/>
      <c r="E4" s="2"/>
      <c r="F4" s="2"/>
      <c r="G4" s="2"/>
      <c r="H4" s="2"/>
      <c r="I4" s="2"/>
      <c r="J4" s="2"/>
    </row>
    <row r="5" spans="2:24" ht="15.75">
      <c r="B5" s="1" t="s">
        <v>495</v>
      </c>
      <c r="C5" s="1"/>
      <c r="D5" s="1"/>
      <c r="E5" s="1"/>
      <c r="F5" s="1"/>
      <c r="G5" s="2"/>
      <c r="H5" s="2"/>
      <c r="I5" s="2"/>
      <c r="J5" s="2"/>
    </row>
    <row r="6" spans="2:24" ht="15.75">
      <c r="B6" s="1"/>
      <c r="C6" s="1"/>
      <c r="D6" s="1"/>
      <c r="E6" s="1"/>
      <c r="F6" s="1"/>
      <c r="G6" s="2"/>
      <c r="H6" s="2"/>
      <c r="I6" s="2"/>
      <c r="J6" s="2"/>
    </row>
    <row r="7" spans="2:24" ht="15.75">
      <c r="B7" s="1" t="s">
        <v>504</v>
      </c>
      <c r="C7" s="1"/>
      <c r="D7" s="1"/>
      <c r="E7" s="1"/>
      <c r="F7" s="1"/>
    </row>
    <row r="8" spans="2:24" ht="18" customHeight="1">
      <c r="B8" s="383" t="s">
        <v>556</v>
      </c>
      <c r="C8" s="383"/>
      <c r="D8" s="383"/>
      <c r="E8" s="383"/>
      <c r="F8" s="383"/>
      <c r="G8" s="383"/>
      <c r="H8" s="383"/>
      <c r="I8" s="383"/>
      <c r="J8" s="383"/>
      <c r="K8" s="383"/>
    </row>
    <row r="11" spans="2:24">
      <c r="B11" s="42" t="s">
        <v>49</v>
      </c>
      <c r="C11" s="42"/>
      <c r="D11" s="42"/>
      <c r="E11" s="42"/>
      <c r="F11" s="42"/>
      <c r="G11" s="42"/>
      <c r="H11" s="42"/>
      <c r="I11" s="42"/>
      <c r="J11" s="42"/>
      <c r="R11" s="3" t="s">
        <v>559</v>
      </c>
    </row>
    <row r="12" spans="2:24">
      <c r="B12" s="31" t="s">
        <v>30</v>
      </c>
    </row>
    <row r="13" spans="2:24">
      <c r="R13" t="s">
        <v>744</v>
      </c>
    </row>
    <row r="14" spans="2:24" ht="13.5" thickBot="1">
      <c r="B14" s="43" t="s">
        <v>50</v>
      </c>
      <c r="C14" s="6">
        <v>39599</v>
      </c>
      <c r="D14" s="6">
        <v>39233</v>
      </c>
      <c r="E14" s="6">
        <v>38868</v>
      </c>
      <c r="F14" s="6">
        <v>38503</v>
      </c>
      <c r="G14" s="6">
        <v>38138</v>
      </c>
      <c r="H14" s="6">
        <v>37772</v>
      </c>
      <c r="I14" s="6">
        <v>37407</v>
      </c>
      <c r="J14" s="6">
        <v>37042</v>
      </c>
      <c r="K14" s="6">
        <v>36677</v>
      </c>
      <c r="L14" s="6">
        <v>36311</v>
      </c>
      <c r="M14" s="6">
        <v>35946</v>
      </c>
      <c r="N14" s="6">
        <v>35581</v>
      </c>
      <c r="O14" s="6">
        <v>35216</v>
      </c>
      <c r="P14" s="46"/>
      <c r="R14" s="7"/>
      <c r="S14" s="47"/>
      <c r="T14" s="47"/>
      <c r="U14" s="46"/>
      <c r="V14" s="46"/>
      <c r="W14" s="46"/>
      <c r="X14" s="16"/>
    </row>
    <row r="15" spans="2:24">
      <c r="B15" s="42" t="s">
        <v>51</v>
      </c>
      <c r="C15" s="42"/>
      <c r="D15" s="42"/>
      <c r="E15" s="42"/>
      <c r="F15" s="42"/>
      <c r="G15" s="42"/>
      <c r="H15" s="42"/>
      <c r="I15" s="42"/>
      <c r="J15" s="42"/>
      <c r="R15" t="s">
        <v>233</v>
      </c>
    </row>
    <row r="16" spans="2:24">
      <c r="B16" s="31" t="s">
        <v>52</v>
      </c>
      <c r="C16" s="235">
        <v>1883.4</v>
      </c>
      <c r="D16" s="235">
        <v>1491.5</v>
      </c>
      <c r="E16" s="235">
        <v>1392</v>
      </c>
      <c r="F16" s="235">
        <v>1211.5999999999999</v>
      </c>
      <c r="G16" s="235">
        <v>945.6</v>
      </c>
      <c r="H16" s="9">
        <v>474</v>
      </c>
      <c r="I16" s="9">
        <v>663.3</v>
      </c>
      <c r="J16" s="9">
        <v>589.70000000000005</v>
      </c>
      <c r="K16" s="9">
        <v>579.1</v>
      </c>
      <c r="L16" s="9">
        <v>451.4</v>
      </c>
      <c r="M16" s="9">
        <v>399.6</v>
      </c>
      <c r="N16" s="9">
        <v>795.8</v>
      </c>
      <c r="O16" s="9">
        <v>553.20000000000005</v>
      </c>
      <c r="P16" s="9"/>
      <c r="R16" t="s">
        <v>234</v>
      </c>
    </row>
    <row r="17" spans="2:20">
      <c r="B17" s="31" t="s">
        <v>53</v>
      </c>
      <c r="C17" s="67"/>
      <c r="D17" s="67"/>
      <c r="E17" s="67"/>
      <c r="F17" s="67"/>
      <c r="G17" s="67"/>
      <c r="H17" s="10"/>
      <c r="I17" s="10"/>
      <c r="J17" s="10"/>
      <c r="K17" s="10"/>
      <c r="L17" s="10"/>
      <c r="M17" s="10"/>
      <c r="N17" s="10"/>
      <c r="O17" s="10"/>
      <c r="P17" s="10"/>
    </row>
    <row r="18" spans="2:20">
      <c r="B18" s="31" t="s">
        <v>751</v>
      </c>
      <c r="C18" s="67"/>
      <c r="D18" s="67">
        <v>0</v>
      </c>
      <c r="E18" s="295">
        <v>0</v>
      </c>
      <c r="F18" s="295">
        <v>0</v>
      </c>
      <c r="G18" s="295">
        <v>0</v>
      </c>
      <c r="H18" s="295">
        <v>266.10000000000002</v>
      </c>
      <c r="I18" s="319">
        <v>5</v>
      </c>
      <c r="J18" s="67">
        <v>0</v>
      </c>
      <c r="K18" s="67">
        <v>0</v>
      </c>
      <c r="L18" s="67">
        <v>0</v>
      </c>
      <c r="M18" s="67">
        <v>0</v>
      </c>
      <c r="N18" s="67">
        <v>0</v>
      </c>
      <c r="O18" s="67">
        <v>0</v>
      </c>
      <c r="P18" s="10"/>
      <c r="R18" t="s">
        <v>745</v>
      </c>
      <c r="S18" s="10"/>
      <c r="T18" s="10">
        <f>+'Nike Income Statement'!W40</f>
        <v>1034.7012803234511</v>
      </c>
    </row>
    <row r="19" spans="2:20">
      <c r="B19" s="31" t="s">
        <v>54</v>
      </c>
      <c r="C19" s="67">
        <v>303.60000000000002</v>
      </c>
      <c r="D19" s="67">
        <v>269.7</v>
      </c>
      <c r="E19" s="295">
        <v>282</v>
      </c>
      <c r="F19" s="295">
        <v>257.2</v>
      </c>
      <c r="G19" s="295">
        <v>255.2</v>
      </c>
      <c r="H19" s="295">
        <v>239.3</v>
      </c>
      <c r="I19" s="295">
        <v>223.5</v>
      </c>
      <c r="J19" s="67">
        <v>197.4</v>
      </c>
      <c r="K19" s="67">
        <v>188</v>
      </c>
      <c r="L19" s="67">
        <v>198.2</v>
      </c>
      <c r="M19" s="67">
        <v>184.5</v>
      </c>
      <c r="N19" s="67">
        <v>138</v>
      </c>
      <c r="O19" s="67">
        <v>97.2</v>
      </c>
      <c r="P19" s="10"/>
      <c r="R19" t="s">
        <v>746</v>
      </c>
      <c r="S19" s="10">
        <f>+'Nike Balance Sheet'!X32</f>
        <v>4551.4655000000002</v>
      </c>
      <c r="T19" s="10"/>
    </row>
    <row r="20" spans="2:20">
      <c r="B20" s="31" t="s">
        <v>675</v>
      </c>
      <c r="C20" s="67">
        <v>141</v>
      </c>
      <c r="D20" s="67">
        <v>147.69999999999999</v>
      </c>
      <c r="E20" s="295">
        <v>11.8</v>
      </c>
      <c r="F20" s="295"/>
      <c r="G20" s="295"/>
      <c r="H20" s="295"/>
      <c r="I20" s="295"/>
      <c r="J20" s="67"/>
      <c r="K20" s="67"/>
      <c r="L20" s="67"/>
      <c r="M20" s="67"/>
      <c r="N20" s="67"/>
      <c r="O20" s="67"/>
      <c r="P20" s="10"/>
      <c r="S20" s="10"/>
      <c r="T20" s="10"/>
    </row>
    <row r="21" spans="2:20">
      <c r="B21" s="31" t="s">
        <v>63</v>
      </c>
      <c r="C21" s="67">
        <v>-60.6</v>
      </c>
      <c r="D21" s="67"/>
      <c r="E21" s="295"/>
      <c r="F21" s="295"/>
      <c r="G21" s="295">
        <v>0</v>
      </c>
      <c r="H21" s="295">
        <v>0</v>
      </c>
      <c r="I21" s="295">
        <v>0</v>
      </c>
      <c r="J21" s="67">
        <v>0</v>
      </c>
      <c r="K21" s="67">
        <v>0</v>
      </c>
      <c r="L21" s="67">
        <v>28</v>
      </c>
      <c r="M21" s="67">
        <v>59.3</v>
      </c>
      <c r="N21" s="67">
        <v>0</v>
      </c>
      <c r="O21" s="67">
        <v>0</v>
      </c>
      <c r="P21" s="10"/>
      <c r="R21" t="s">
        <v>544</v>
      </c>
      <c r="S21" s="12">
        <f>+'Nike Balance Sheet'!Y32</f>
        <v>4330.2849999999999</v>
      </c>
      <c r="T21" s="12">
        <f>+S19-S21</f>
        <v>221.18050000000039</v>
      </c>
    </row>
    <row r="22" spans="2:20">
      <c r="B22" s="31" t="s">
        <v>64</v>
      </c>
      <c r="C22" s="67">
        <v>-300.60000000000002</v>
      </c>
      <c r="D22" s="67">
        <v>34.1</v>
      </c>
      <c r="E22" s="295">
        <v>-26</v>
      </c>
      <c r="F22" s="295">
        <v>21.3</v>
      </c>
      <c r="G22" s="295">
        <v>19</v>
      </c>
      <c r="H22" s="295">
        <v>50.4</v>
      </c>
      <c r="I22" s="295">
        <v>15.2</v>
      </c>
      <c r="J22" s="67">
        <v>79.8</v>
      </c>
      <c r="K22" s="67">
        <v>36.799999999999997</v>
      </c>
      <c r="L22" s="67">
        <v>37.9</v>
      </c>
      <c r="M22" s="67">
        <v>-113.9</v>
      </c>
      <c r="N22" s="67">
        <v>-47.1</v>
      </c>
      <c r="O22" s="67">
        <v>-73.3</v>
      </c>
      <c r="P22" s="10"/>
      <c r="S22" s="10"/>
      <c r="T22" s="10"/>
    </row>
    <row r="23" spans="2:20">
      <c r="B23" s="31" t="s">
        <v>65</v>
      </c>
      <c r="C23" s="67">
        <v>17.899999999999999</v>
      </c>
      <c r="D23" s="67">
        <v>0.5</v>
      </c>
      <c r="E23" s="295">
        <v>-2.9</v>
      </c>
      <c r="F23" s="295">
        <v>30.5</v>
      </c>
      <c r="G23" s="295">
        <v>58.3</v>
      </c>
      <c r="H23" s="295">
        <v>23.2</v>
      </c>
      <c r="I23" s="295">
        <v>48.1</v>
      </c>
      <c r="J23" s="67">
        <v>16.7</v>
      </c>
      <c r="K23" s="67">
        <v>35.6</v>
      </c>
      <c r="L23" s="67">
        <v>30.6</v>
      </c>
      <c r="M23" s="67">
        <v>49</v>
      </c>
      <c r="N23" s="67">
        <v>30.3</v>
      </c>
      <c r="O23" s="67">
        <v>32.700000000000003</v>
      </c>
      <c r="P23" s="10"/>
      <c r="S23" s="10"/>
      <c r="T23" s="10"/>
    </row>
    <row r="24" spans="2:20" ht="13.5" customHeight="1" thickBot="1">
      <c r="B24" t="s">
        <v>719</v>
      </c>
      <c r="C24" s="67">
        <v>0</v>
      </c>
      <c r="D24" s="67">
        <v>0</v>
      </c>
      <c r="E24" s="295">
        <v>54.2</v>
      </c>
      <c r="F24" s="295">
        <v>63.1</v>
      </c>
      <c r="G24" s="295">
        <v>47.2</v>
      </c>
      <c r="H24" s="295">
        <v>12.5</v>
      </c>
      <c r="I24" s="295">
        <v>13.9</v>
      </c>
      <c r="J24" s="67">
        <v>32.4</v>
      </c>
      <c r="K24" s="67">
        <v>0</v>
      </c>
      <c r="L24" s="67">
        <v>0</v>
      </c>
      <c r="M24" s="67">
        <v>0</v>
      </c>
      <c r="N24" s="67">
        <v>0</v>
      </c>
      <c r="O24" s="67">
        <v>0</v>
      </c>
      <c r="P24" s="10"/>
      <c r="R24" s="7" t="s">
        <v>235</v>
      </c>
      <c r="S24" s="12"/>
      <c r="T24" s="26">
        <f>+T18-T21</f>
        <v>813.52078032345071</v>
      </c>
    </row>
    <row r="25" spans="2:20" ht="26.25" thickTop="1">
      <c r="B25" s="31" t="s">
        <v>66</v>
      </c>
      <c r="E25" s="320"/>
      <c r="F25" s="320"/>
      <c r="G25" s="320"/>
      <c r="H25" s="295"/>
      <c r="I25" s="295"/>
      <c r="J25" s="67"/>
      <c r="K25" s="67"/>
      <c r="L25" s="67"/>
      <c r="M25" s="67"/>
      <c r="N25" s="67"/>
      <c r="O25" s="67"/>
      <c r="P25" s="10"/>
      <c r="S25" s="10"/>
      <c r="T25" s="10"/>
    </row>
    <row r="26" spans="2:20">
      <c r="B26" s="31" t="s">
        <v>67</v>
      </c>
      <c r="C26" s="67">
        <v>-249.8</v>
      </c>
      <c r="D26" s="67">
        <v>-49.5</v>
      </c>
      <c r="E26" s="295">
        <v>-200.3</v>
      </c>
      <c r="F26" s="295">
        <v>-103.3</v>
      </c>
      <c r="G26" s="295">
        <v>-55.9</v>
      </c>
      <c r="H26" s="295">
        <v>-136.30000000000001</v>
      </c>
      <c r="I26" s="295">
        <v>55.4</v>
      </c>
      <c r="J26" s="67">
        <v>-16.7</v>
      </c>
      <c r="K26" s="67">
        <v>-275.39999999999998</v>
      </c>
      <c r="L26" s="67">
        <v>226</v>
      </c>
      <c r="M26" s="67">
        <v>-58</v>
      </c>
      <c r="N26" s="67">
        <v>-416.7</v>
      </c>
      <c r="O26" s="67">
        <v>-301.39999999999998</v>
      </c>
      <c r="P26" s="10"/>
      <c r="S26" s="10"/>
      <c r="T26" s="10"/>
    </row>
    <row r="27" spans="2:20">
      <c r="B27" s="31" t="s">
        <v>68</v>
      </c>
      <c r="C27" s="67">
        <v>-118.3</v>
      </c>
      <c r="D27" s="67">
        <v>-39.6</v>
      </c>
      <c r="E27" s="295">
        <v>-85.1</v>
      </c>
      <c r="F27" s="295">
        <v>-93.5</v>
      </c>
      <c r="G27" s="295">
        <v>97.1</v>
      </c>
      <c r="H27" s="295">
        <v>-102.8</v>
      </c>
      <c r="I27" s="295">
        <v>-135.19999999999999</v>
      </c>
      <c r="J27" s="67">
        <v>-141.4</v>
      </c>
      <c r="K27" s="67">
        <v>-27.1</v>
      </c>
      <c r="L27" s="67">
        <v>134.30000000000001</v>
      </c>
      <c r="M27" s="67">
        <v>79.7</v>
      </c>
      <c r="N27" s="67">
        <v>-485.6</v>
      </c>
      <c r="O27" s="67">
        <v>-292.89999999999998</v>
      </c>
      <c r="P27" s="10"/>
      <c r="R27" s="7"/>
      <c r="S27" s="12"/>
      <c r="T27" s="12"/>
    </row>
    <row r="28" spans="2:20" ht="25.5">
      <c r="B28" s="31" t="s">
        <v>587</v>
      </c>
      <c r="C28" s="67">
        <v>-11.2</v>
      </c>
      <c r="D28" s="67">
        <v>-60.8</v>
      </c>
      <c r="E28" s="295">
        <v>-37.200000000000003</v>
      </c>
      <c r="F28" s="295">
        <v>71.400000000000006</v>
      </c>
      <c r="G28" s="295">
        <v>-103.6</v>
      </c>
      <c r="H28" s="295">
        <v>60.9</v>
      </c>
      <c r="I28" s="295">
        <v>16.899999999999999</v>
      </c>
      <c r="J28" s="67">
        <v>78</v>
      </c>
      <c r="K28" s="67">
        <v>65.599999999999994</v>
      </c>
      <c r="L28" s="67">
        <v>25</v>
      </c>
      <c r="M28" s="67">
        <v>-12.6</v>
      </c>
      <c r="N28" s="67">
        <v>-56.9</v>
      </c>
      <c r="O28" s="67">
        <v>-20</v>
      </c>
      <c r="P28" s="10"/>
      <c r="R28" s="16" t="s">
        <v>236</v>
      </c>
      <c r="S28" s="11"/>
      <c r="T28" s="11"/>
    </row>
    <row r="29" spans="2:20" ht="25.5">
      <c r="B29" s="31" t="s">
        <v>69</v>
      </c>
      <c r="C29" s="72">
        <v>330.9</v>
      </c>
      <c r="D29" s="72">
        <v>85.1</v>
      </c>
      <c r="E29" s="236">
        <v>279.39999999999998</v>
      </c>
      <c r="F29" s="236">
        <v>112.4</v>
      </c>
      <c r="G29" s="236">
        <v>255.6</v>
      </c>
      <c r="H29" s="295">
        <v>30.1</v>
      </c>
      <c r="I29" s="295">
        <v>175.4</v>
      </c>
      <c r="J29" s="67">
        <v>-179.4</v>
      </c>
      <c r="K29" s="67">
        <v>157.30000000000001</v>
      </c>
      <c r="L29" s="67">
        <v>-170.4</v>
      </c>
      <c r="M29" s="67">
        <v>-70.099999999999994</v>
      </c>
      <c r="N29" s="67">
        <v>365.3</v>
      </c>
      <c r="O29" s="67">
        <v>344.2</v>
      </c>
      <c r="P29" s="11"/>
      <c r="R29" t="s">
        <v>237</v>
      </c>
      <c r="S29" s="10"/>
      <c r="T29" s="10"/>
    </row>
    <row r="30" spans="2:20">
      <c r="B30" s="44" t="s">
        <v>70</v>
      </c>
      <c r="C30" s="75">
        <f>SUM(C16:C29)</f>
        <v>1936.3000000000002</v>
      </c>
      <c r="D30" s="75">
        <f>SUM(D16:D29)</f>
        <v>1878.7</v>
      </c>
      <c r="E30" s="296">
        <f>SUM(E16:E29)</f>
        <v>1667.9</v>
      </c>
      <c r="F30" s="296">
        <v>1570.7</v>
      </c>
      <c r="G30" s="296">
        <v>1518.5</v>
      </c>
      <c r="H30" s="296">
        <v>917.4</v>
      </c>
      <c r="I30" s="296">
        <v>1081.5</v>
      </c>
      <c r="J30" s="75">
        <v>656.5</v>
      </c>
      <c r="K30" s="75">
        <v>759.9</v>
      </c>
      <c r="L30" s="75">
        <v>961</v>
      </c>
      <c r="M30" s="75">
        <v>517.5</v>
      </c>
      <c r="N30" s="75">
        <v>323.10000000000002</v>
      </c>
      <c r="O30" s="75">
        <v>339.7</v>
      </c>
      <c r="P30" s="10"/>
      <c r="S30" s="10"/>
      <c r="T30" s="10"/>
    </row>
    <row r="31" spans="2:20">
      <c r="B31" s="42" t="s">
        <v>71</v>
      </c>
      <c r="E31" s="320"/>
      <c r="F31" s="320"/>
      <c r="G31" s="320"/>
      <c r="H31" s="295"/>
      <c r="I31" s="295"/>
      <c r="J31" s="67"/>
      <c r="K31" s="67"/>
      <c r="L31" s="67"/>
      <c r="M31" s="67"/>
      <c r="N31" s="67"/>
      <c r="O31" s="67"/>
      <c r="P31" s="10"/>
      <c r="R31" t="s">
        <v>747</v>
      </c>
      <c r="S31" s="10"/>
      <c r="T31" s="10">
        <f>+'Nike Income Statement'!W49</f>
        <v>15.725</v>
      </c>
    </row>
    <row r="32" spans="2:20">
      <c r="B32" s="231" t="s">
        <v>752</v>
      </c>
      <c r="C32" s="67">
        <v>-1865.6</v>
      </c>
      <c r="D32" s="67">
        <v>-2133.8000000000002</v>
      </c>
      <c r="E32" s="295">
        <v>-2619.6999999999998</v>
      </c>
      <c r="F32" s="295">
        <v>-1527.2</v>
      </c>
      <c r="G32" s="295">
        <v>-400.8</v>
      </c>
      <c r="H32" s="295">
        <v>0</v>
      </c>
      <c r="I32" s="295">
        <v>0</v>
      </c>
      <c r="J32" s="67">
        <v>0</v>
      </c>
      <c r="K32" s="67">
        <v>0</v>
      </c>
      <c r="L32" s="67">
        <v>0</v>
      </c>
      <c r="M32" s="67">
        <v>0</v>
      </c>
      <c r="N32" s="67">
        <v>0</v>
      </c>
      <c r="O32" s="67">
        <v>0</v>
      </c>
      <c r="P32" s="10"/>
      <c r="R32" t="s">
        <v>748</v>
      </c>
      <c r="S32" s="237">
        <f>-'Nike Balance Sheet'!X46</f>
        <v>-288.33450000000005</v>
      </c>
      <c r="T32" s="10"/>
    </row>
    <row r="33" spans="2:20">
      <c r="B33" s="314" t="s">
        <v>398</v>
      </c>
      <c r="C33" s="67">
        <v>2246</v>
      </c>
      <c r="D33" s="67">
        <v>2516.1999999999998</v>
      </c>
      <c r="E33" s="295">
        <v>1709.8</v>
      </c>
      <c r="F33" s="295">
        <v>1491.9</v>
      </c>
      <c r="G33" s="295"/>
      <c r="H33" s="295"/>
      <c r="I33" s="295"/>
      <c r="J33" s="67"/>
      <c r="K33" s="67"/>
      <c r="L33" s="67"/>
      <c r="M33" s="67"/>
      <c r="N33" s="67"/>
      <c r="O33" s="67"/>
      <c r="P33" s="10"/>
      <c r="S33" s="237"/>
      <c r="T33" s="10"/>
    </row>
    <row r="34" spans="2:20">
      <c r="B34" s="315" t="s">
        <v>72</v>
      </c>
      <c r="C34" s="67">
        <v>-449.2</v>
      </c>
      <c r="D34" s="67">
        <v>-313.5</v>
      </c>
      <c r="E34" s="295">
        <v>-333.7</v>
      </c>
      <c r="F34" s="295">
        <v>-257.10000000000002</v>
      </c>
      <c r="G34" s="295">
        <v>-214.8</v>
      </c>
      <c r="H34" s="295">
        <v>-185.9</v>
      </c>
      <c r="I34" s="295">
        <v>-282.8</v>
      </c>
      <c r="J34" s="67">
        <v>-317.60000000000002</v>
      </c>
      <c r="K34" s="67">
        <v>-419.9</v>
      </c>
      <c r="L34" s="67">
        <v>-384.1</v>
      </c>
      <c r="M34" s="67">
        <v>-505.9</v>
      </c>
      <c r="N34" s="67">
        <v>-465.9</v>
      </c>
      <c r="O34" s="67">
        <v>-216.4</v>
      </c>
      <c r="P34" s="10"/>
      <c r="R34" t="s">
        <v>545</v>
      </c>
      <c r="S34" s="12">
        <f>-'Nike Balance Sheet'!Y46</f>
        <v>302.08500000000004</v>
      </c>
      <c r="T34" s="237">
        <f>S32-S34</f>
        <v>-590.41950000000008</v>
      </c>
    </row>
    <row r="35" spans="2:20">
      <c r="B35" s="315" t="s">
        <v>73</v>
      </c>
      <c r="C35" s="67">
        <v>1.9</v>
      </c>
      <c r="D35" s="67">
        <v>28.3</v>
      </c>
      <c r="E35" s="295">
        <v>1.6</v>
      </c>
      <c r="F35" s="295">
        <v>7.2</v>
      </c>
      <c r="G35" s="295">
        <v>11.6</v>
      </c>
      <c r="H35" s="295">
        <v>14.8</v>
      </c>
      <c r="I35" s="295">
        <v>15.6</v>
      </c>
      <c r="J35" s="67">
        <v>12.7</v>
      </c>
      <c r="K35" s="67">
        <v>25.3</v>
      </c>
      <c r="L35" s="67">
        <v>27.2</v>
      </c>
      <c r="M35" s="67">
        <v>16.8</v>
      </c>
      <c r="N35" s="67">
        <v>24.3</v>
      </c>
      <c r="O35" s="67">
        <v>12.8</v>
      </c>
      <c r="P35" s="10"/>
      <c r="R35" t="s">
        <v>749</v>
      </c>
      <c r="S35" s="10"/>
      <c r="T35" s="12">
        <f>ABS('Nike Statement of SE'!Q109)</f>
        <v>207.37628032345017</v>
      </c>
    </row>
    <row r="36" spans="2:20">
      <c r="B36" s="315" t="s">
        <v>74</v>
      </c>
      <c r="C36" s="67">
        <v>-21.8</v>
      </c>
      <c r="D36" s="67">
        <v>-4.3</v>
      </c>
      <c r="E36" s="295">
        <v>-34.6</v>
      </c>
      <c r="F36" s="295">
        <v>-39.1</v>
      </c>
      <c r="G36" s="295">
        <v>-53.4</v>
      </c>
      <c r="H36" s="295">
        <v>-46.3</v>
      </c>
      <c r="I36" s="295">
        <v>-39.1</v>
      </c>
      <c r="J36" s="67">
        <v>-42.5</v>
      </c>
      <c r="K36" s="67">
        <v>-51.3</v>
      </c>
      <c r="L36" s="67">
        <v>-60.8</v>
      </c>
      <c r="M36" s="67">
        <v>-87.4</v>
      </c>
      <c r="N36" s="67">
        <v>-43.8</v>
      </c>
      <c r="O36" s="67">
        <v>-26.4</v>
      </c>
      <c r="P36" s="11"/>
      <c r="S36" s="10"/>
      <c r="T36" s="10"/>
    </row>
    <row r="37" spans="2:20" ht="13.5" thickBot="1">
      <c r="B37" s="315" t="s">
        <v>588</v>
      </c>
      <c r="C37" s="67"/>
      <c r="D37" s="67">
        <v>0</v>
      </c>
      <c r="E37" s="295"/>
      <c r="F37" s="295">
        <v>11.1</v>
      </c>
      <c r="G37" s="321">
        <v>-4.0999999999999996</v>
      </c>
      <c r="H37" s="295">
        <v>1.8</v>
      </c>
      <c r="I37" s="295">
        <v>3.5</v>
      </c>
      <c r="J37" s="67">
        <v>5.0999999999999996</v>
      </c>
      <c r="K37" s="67">
        <v>5.9</v>
      </c>
      <c r="L37" s="67">
        <v>1.2</v>
      </c>
      <c r="M37" s="67">
        <v>-18.5</v>
      </c>
      <c r="N37" s="67">
        <v>-10.8</v>
      </c>
      <c r="O37" s="67">
        <v>-9.6999999999999993</v>
      </c>
      <c r="P37" s="10"/>
      <c r="R37" s="7" t="s">
        <v>235</v>
      </c>
      <c r="S37" s="12"/>
      <c r="T37" s="26">
        <f>+T31-T34+T35</f>
        <v>813.52078032345025</v>
      </c>
    </row>
    <row r="38" spans="2:20" ht="13.5" thickTop="1">
      <c r="B38" s="315" t="s">
        <v>753</v>
      </c>
      <c r="C38" s="67">
        <v>-571.1</v>
      </c>
      <c r="D38" s="67">
        <v>0</v>
      </c>
      <c r="E38" s="295">
        <v>0</v>
      </c>
      <c r="F38" s="295">
        <v>-47.2</v>
      </c>
      <c r="G38" s="321">
        <v>-289.10000000000002</v>
      </c>
      <c r="H38" s="295">
        <v>0</v>
      </c>
      <c r="I38" s="295">
        <v>0</v>
      </c>
      <c r="J38" s="67">
        <v>0</v>
      </c>
      <c r="K38" s="67">
        <v>0</v>
      </c>
      <c r="L38" s="67">
        <v>0</v>
      </c>
      <c r="M38" s="67">
        <v>0</v>
      </c>
      <c r="N38" s="67">
        <v>0</v>
      </c>
      <c r="O38" s="67">
        <v>0</v>
      </c>
      <c r="P38" s="10"/>
      <c r="R38" s="16"/>
      <c r="S38" s="11"/>
      <c r="T38" s="11"/>
    </row>
    <row r="39" spans="2:20">
      <c r="B39" s="315" t="s">
        <v>678</v>
      </c>
      <c r="C39" s="67">
        <v>246</v>
      </c>
      <c r="D39" s="67"/>
      <c r="E39" s="295"/>
      <c r="F39" s="295"/>
      <c r="G39" s="236"/>
      <c r="H39" s="295"/>
      <c r="I39" s="295"/>
      <c r="J39" s="67"/>
      <c r="K39" s="67"/>
      <c r="L39" s="67"/>
      <c r="M39" s="67"/>
      <c r="N39" s="67"/>
      <c r="O39" s="67"/>
      <c r="P39" s="10"/>
      <c r="R39" s="16"/>
      <c r="S39" s="11"/>
      <c r="T39" s="11"/>
    </row>
    <row r="40" spans="2:20">
      <c r="B40" s="316" t="s">
        <v>75</v>
      </c>
      <c r="C40" s="75">
        <f>SUM(C32:C39)</f>
        <v>-413.79999999999995</v>
      </c>
      <c r="D40" s="75">
        <f>SUM(D32:D39)</f>
        <v>92.899999999999636</v>
      </c>
      <c r="E40" s="296">
        <f>SUM(E32:E39)</f>
        <v>-1276.5999999999999</v>
      </c>
      <c r="F40" s="296">
        <f>SUM(F32:F39)</f>
        <v>-360.4</v>
      </c>
      <c r="G40" s="296">
        <f t="shared" ref="G40:O40" si="0">SUM(G32:G39)</f>
        <v>-950.6</v>
      </c>
      <c r="H40" s="296">
        <f t="shared" si="0"/>
        <v>-215.59999999999997</v>
      </c>
      <c r="I40" s="296">
        <f t="shared" si="0"/>
        <v>-302.8</v>
      </c>
      <c r="J40" s="75">
        <f t="shared" si="0"/>
        <v>-342.3</v>
      </c>
      <c r="K40" s="75">
        <f t="shared" si="0"/>
        <v>-440</v>
      </c>
      <c r="L40" s="75">
        <f t="shared" si="0"/>
        <v>-416.50000000000006</v>
      </c>
      <c r="M40" s="75">
        <f t="shared" si="0"/>
        <v>-595</v>
      </c>
      <c r="N40" s="75">
        <f t="shared" si="0"/>
        <v>-496.2</v>
      </c>
      <c r="O40" s="75">
        <f t="shared" si="0"/>
        <v>-239.7</v>
      </c>
      <c r="P40" s="10"/>
      <c r="R40" t="s">
        <v>294</v>
      </c>
    </row>
    <row r="41" spans="2:20" ht="38.25" customHeight="1">
      <c r="B41" s="317" t="s">
        <v>76</v>
      </c>
      <c r="C41" s="67"/>
      <c r="D41" s="67"/>
      <c r="E41" s="295"/>
      <c r="F41" s="295"/>
      <c r="G41" s="295"/>
      <c r="H41" s="295"/>
      <c r="I41" s="295"/>
      <c r="J41" s="67"/>
      <c r="K41" s="67"/>
      <c r="L41" s="67"/>
      <c r="M41" s="67"/>
      <c r="N41" s="67"/>
      <c r="O41" s="67"/>
      <c r="P41" s="10"/>
      <c r="R41" s="368"/>
      <c r="S41" s="368"/>
      <c r="T41" s="368"/>
    </row>
    <row r="42" spans="2:20">
      <c r="B42" s="315" t="s">
        <v>77</v>
      </c>
      <c r="C42" s="67">
        <v>0</v>
      </c>
      <c r="D42" s="67">
        <v>41.8</v>
      </c>
      <c r="E42" s="295">
        <v>0</v>
      </c>
      <c r="F42" s="295">
        <v>0</v>
      </c>
      <c r="G42" s="295">
        <v>153.80000000000001</v>
      </c>
      <c r="H42" s="295">
        <v>90.4</v>
      </c>
      <c r="I42" s="295">
        <v>329.9</v>
      </c>
      <c r="J42" s="67">
        <v>0</v>
      </c>
      <c r="K42" s="67">
        <v>0.1</v>
      </c>
      <c r="L42" s="67">
        <v>0</v>
      </c>
      <c r="M42" s="67">
        <v>101.5</v>
      </c>
      <c r="N42" s="67">
        <v>300.5</v>
      </c>
      <c r="O42" s="67">
        <v>5</v>
      </c>
      <c r="P42" s="10"/>
    </row>
    <row r="43" spans="2:20" ht="25.5">
      <c r="B43" s="315" t="s">
        <v>78</v>
      </c>
      <c r="C43" s="67">
        <v>-35.200000000000003</v>
      </c>
      <c r="D43" s="67">
        <v>-255.7</v>
      </c>
      <c r="E43" s="295">
        <v>-6</v>
      </c>
      <c r="F43" s="295">
        <v>-9.1999999999999993</v>
      </c>
      <c r="G43" s="295">
        <v>-206.6</v>
      </c>
      <c r="H43" s="295">
        <v>-55.9</v>
      </c>
      <c r="I43" s="295">
        <v>-80.3</v>
      </c>
      <c r="J43" s="67">
        <v>-50.3</v>
      </c>
      <c r="K43" s="67">
        <v>-1.8</v>
      </c>
      <c r="L43" s="67">
        <v>-1.5</v>
      </c>
      <c r="M43" s="67">
        <v>-2.5</v>
      </c>
      <c r="N43" s="67">
        <v>-5.2</v>
      </c>
      <c r="O43" s="67">
        <v>-30.4</v>
      </c>
      <c r="P43" s="10"/>
    </row>
    <row r="44" spans="2:20">
      <c r="B44" s="315" t="s">
        <v>79</v>
      </c>
      <c r="C44" s="67">
        <v>63.7</v>
      </c>
      <c r="D44" s="67">
        <v>52.6</v>
      </c>
      <c r="E44" s="295">
        <v>-18.2</v>
      </c>
      <c r="F44" s="295">
        <v>-81.7</v>
      </c>
      <c r="G44" s="295">
        <v>-0.3</v>
      </c>
      <c r="H44" s="295">
        <v>-349.8</v>
      </c>
      <c r="I44" s="295">
        <v>-431.5</v>
      </c>
      <c r="J44" s="67">
        <v>-68.900000000000006</v>
      </c>
      <c r="K44" s="67">
        <v>505.1</v>
      </c>
      <c r="L44" s="67">
        <v>-61</v>
      </c>
      <c r="M44" s="67">
        <v>-73</v>
      </c>
      <c r="N44" s="67">
        <v>92.9</v>
      </c>
      <c r="O44" s="67">
        <v>48</v>
      </c>
      <c r="P44" s="10"/>
    </row>
    <row r="45" spans="2:20" ht="25.5">
      <c r="B45" s="315" t="s">
        <v>676</v>
      </c>
      <c r="C45" s="67">
        <v>343.3</v>
      </c>
      <c r="D45" s="67">
        <v>322.89999999999998</v>
      </c>
      <c r="E45" s="295">
        <v>225.3</v>
      </c>
      <c r="F45" s="295">
        <v>226.8</v>
      </c>
      <c r="G45" s="295">
        <v>253.6</v>
      </c>
      <c r="H45" s="295">
        <v>44.2</v>
      </c>
      <c r="I45" s="295">
        <v>59.5</v>
      </c>
      <c r="J45" s="67">
        <v>56</v>
      </c>
      <c r="K45" s="67">
        <v>23.9</v>
      </c>
      <c r="L45" s="67">
        <v>54.4</v>
      </c>
      <c r="M45" s="67">
        <v>32.200000000000003</v>
      </c>
      <c r="N45" s="67">
        <v>26.3</v>
      </c>
      <c r="O45" s="67">
        <v>21.2</v>
      </c>
      <c r="P45" s="10"/>
    </row>
    <row r="46" spans="2:20" ht="12.75" customHeight="1">
      <c r="B46" s="315" t="s">
        <v>677</v>
      </c>
      <c r="C46" s="67">
        <v>63</v>
      </c>
      <c r="D46" s="67">
        <v>55.8</v>
      </c>
      <c r="E46" s="295"/>
      <c r="F46" s="295"/>
      <c r="G46" s="295"/>
      <c r="H46" s="295"/>
      <c r="I46" s="295"/>
      <c r="J46" s="67"/>
      <c r="K46" s="67"/>
      <c r="L46" s="67"/>
      <c r="M46" s="67"/>
      <c r="N46" s="67"/>
      <c r="O46" s="67"/>
      <c r="P46" s="10"/>
    </row>
    <row r="47" spans="2:20">
      <c r="B47" s="315" t="s">
        <v>80</v>
      </c>
      <c r="C47" s="67">
        <v>-1248</v>
      </c>
      <c r="D47" s="67">
        <v>-985.2</v>
      </c>
      <c r="E47" s="295">
        <v>-761.1</v>
      </c>
      <c r="F47" s="295">
        <v>-556.20000000000005</v>
      </c>
      <c r="G47" s="295">
        <v>-419.8</v>
      </c>
      <c r="H47" s="295">
        <v>-196.3</v>
      </c>
      <c r="I47" s="295">
        <v>-226.9</v>
      </c>
      <c r="J47" s="67">
        <v>-157</v>
      </c>
      <c r="K47" s="67">
        <v>-646.29999999999995</v>
      </c>
      <c r="L47" s="67">
        <v>-299.8</v>
      </c>
      <c r="M47" s="67">
        <v>-202.3</v>
      </c>
      <c r="N47" s="67">
        <v>0</v>
      </c>
      <c r="O47" s="67">
        <v>-18.7</v>
      </c>
      <c r="P47" s="11"/>
    </row>
    <row r="48" spans="2:20">
      <c r="B48" s="318" t="s">
        <v>81</v>
      </c>
      <c r="C48" s="72">
        <v>-412.9</v>
      </c>
      <c r="D48" s="72">
        <v>-343.7</v>
      </c>
      <c r="E48" s="236">
        <v>-290.89999999999998</v>
      </c>
      <c r="F48" s="236">
        <v>-236.7</v>
      </c>
      <c r="G48" s="236">
        <v>-179.2</v>
      </c>
      <c r="H48" s="295">
        <v>-137.80000000000001</v>
      </c>
      <c r="I48" s="295">
        <v>-128.9</v>
      </c>
      <c r="J48" s="67">
        <v>-129.69999999999999</v>
      </c>
      <c r="K48" s="67">
        <v>-133.1</v>
      </c>
      <c r="L48" s="67">
        <v>-136.19999999999999</v>
      </c>
      <c r="M48" s="67">
        <v>-127.3</v>
      </c>
      <c r="N48" s="67">
        <v>-100.9</v>
      </c>
      <c r="O48" s="67">
        <v>-78.900000000000006</v>
      </c>
      <c r="P48" s="11"/>
    </row>
    <row r="49" spans="2:16">
      <c r="B49" s="318" t="s">
        <v>82</v>
      </c>
      <c r="C49" s="75">
        <f>SUM(C42:C48)</f>
        <v>-1226.0999999999999</v>
      </c>
      <c r="D49" s="75">
        <f>SUM(D42:D48)</f>
        <v>-1111.5</v>
      </c>
      <c r="E49" s="296">
        <f>SUM(E42:E48)</f>
        <v>-850.9</v>
      </c>
      <c r="F49" s="296">
        <v>-657</v>
      </c>
      <c r="G49" s="296">
        <v>-398.5</v>
      </c>
      <c r="H49" s="296">
        <v>-605.20000000000005</v>
      </c>
      <c r="I49" s="296">
        <v>-478.2</v>
      </c>
      <c r="J49" s="75">
        <v>-349.9</v>
      </c>
      <c r="K49" s="75">
        <v>-252.1</v>
      </c>
      <c r="L49" s="75">
        <v>-444.1</v>
      </c>
      <c r="M49" s="75">
        <v>-271.39999999999998</v>
      </c>
      <c r="N49" s="75">
        <v>313.60000000000002</v>
      </c>
      <c r="O49" s="75">
        <v>-53.8</v>
      </c>
      <c r="P49" s="10"/>
    </row>
    <row r="50" spans="2:16">
      <c r="B50" s="315" t="s">
        <v>83</v>
      </c>
      <c r="C50" s="75">
        <v>-19.2</v>
      </c>
      <c r="D50" s="75">
        <v>42.4</v>
      </c>
      <c r="E50" s="296">
        <v>25.7</v>
      </c>
      <c r="F50" s="296">
        <v>6.8</v>
      </c>
      <c r="G50" s="296">
        <v>24.6</v>
      </c>
      <c r="H50" s="296">
        <v>-38.1</v>
      </c>
      <c r="I50" s="296">
        <v>-29</v>
      </c>
      <c r="J50" s="75">
        <v>85.4</v>
      </c>
      <c r="K50" s="75">
        <v>-11.6</v>
      </c>
      <c r="L50" s="75">
        <v>-10.9</v>
      </c>
      <c r="M50" s="75">
        <v>12.1</v>
      </c>
      <c r="N50" s="75">
        <v>-0.2</v>
      </c>
      <c r="O50" s="75">
        <v>-0.2</v>
      </c>
      <c r="P50" s="10"/>
    </row>
    <row r="51" spans="2:16" ht="25.5">
      <c r="B51" s="315" t="s">
        <v>87</v>
      </c>
      <c r="C51" s="67">
        <v>0</v>
      </c>
      <c r="D51" s="67">
        <v>0</v>
      </c>
      <c r="E51" s="295">
        <v>0</v>
      </c>
      <c r="F51" s="295"/>
      <c r="G51" s="295"/>
      <c r="H51" s="295">
        <v>0</v>
      </c>
      <c r="I51" s="295">
        <v>0</v>
      </c>
      <c r="J51" s="67">
        <v>0</v>
      </c>
      <c r="K51" s="67">
        <v>0</v>
      </c>
      <c r="L51" s="67">
        <v>0</v>
      </c>
      <c r="M51" s="67">
        <v>0</v>
      </c>
      <c r="N51" s="67">
        <v>43</v>
      </c>
      <c r="O51" s="67">
        <v>0</v>
      </c>
      <c r="P51" s="11"/>
    </row>
    <row r="52" spans="2:16">
      <c r="B52" s="315" t="s">
        <v>88</v>
      </c>
      <c r="C52" s="72">
        <f>C30+C40+C49+C50</f>
        <v>277.20000000000033</v>
      </c>
      <c r="D52" s="72">
        <f>D30+D40+D49+D50</f>
        <v>902.49999999999966</v>
      </c>
      <c r="E52" s="236">
        <f>E30+E40+E49+E50</f>
        <v>-433.89999999999981</v>
      </c>
      <c r="F52" s="236">
        <v>560.1</v>
      </c>
      <c r="G52" s="236">
        <v>194</v>
      </c>
      <c r="H52" s="295">
        <v>58.5</v>
      </c>
      <c r="I52" s="295">
        <v>271.5</v>
      </c>
      <c r="J52" s="67">
        <v>49.7</v>
      </c>
      <c r="K52" s="67">
        <v>56.2</v>
      </c>
      <c r="L52" s="67">
        <v>89.5</v>
      </c>
      <c r="M52" s="67">
        <v>-336.8</v>
      </c>
      <c r="N52" s="67">
        <v>183.3</v>
      </c>
      <c r="O52" s="67">
        <v>46</v>
      </c>
      <c r="P52" s="38"/>
    </row>
    <row r="53" spans="2:16">
      <c r="B53" s="318" t="s">
        <v>89</v>
      </c>
      <c r="C53" s="72">
        <f>D54</f>
        <v>1856.6999999999998</v>
      </c>
      <c r="D53" s="72">
        <f>E54</f>
        <v>954.2</v>
      </c>
      <c r="E53" s="236">
        <f>F54</f>
        <v>1388.1</v>
      </c>
      <c r="F53" s="236">
        <v>828</v>
      </c>
      <c r="G53" s="236">
        <v>634</v>
      </c>
      <c r="H53" s="322">
        <v>575.5</v>
      </c>
      <c r="I53" s="322">
        <v>304</v>
      </c>
      <c r="J53" s="77">
        <v>254.3</v>
      </c>
      <c r="K53" s="77">
        <v>198.1</v>
      </c>
      <c r="L53" s="77">
        <v>108.6</v>
      </c>
      <c r="M53" s="77">
        <v>445.4</v>
      </c>
      <c r="N53" s="77">
        <v>262.10000000000002</v>
      </c>
      <c r="O53" s="77">
        <v>216.1</v>
      </c>
      <c r="P53" s="10"/>
    </row>
    <row r="54" spans="2:16" ht="13.5" thickBot="1">
      <c r="B54" s="45" t="s">
        <v>90</v>
      </c>
      <c r="C54" s="78">
        <f>SUM(C52:C53)</f>
        <v>2133.9</v>
      </c>
      <c r="D54" s="78">
        <f>SUM(D52:D53)</f>
        <v>1856.6999999999998</v>
      </c>
      <c r="E54" s="323">
        <f>SUM(E52:E53)</f>
        <v>954.2</v>
      </c>
      <c r="F54" s="323">
        <v>1388.1</v>
      </c>
      <c r="G54" s="323">
        <v>828</v>
      </c>
      <c r="H54" s="324">
        <v>634</v>
      </c>
      <c r="I54" s="324">
        <v>575.5</v>
      </c>
      <c r="J54" s="13">
        <v>304</v>
      </c>
      <c r="K54" s="13">
        <v>254.3</v>
      </c>
      <c r="L54" s="13">
        <v>198.1</v>
      </c>
      <c r="M54" s="13">
        <v>108.6</v>
      </c>
      <c r="N54" s="13">
        <v>445.4</v>
      </c>
      <c r="O54" s="13">
        <v>262.10000000000002</v>
      </c>
      <c r="P54" s="10"/>
    </row>
    <row r="55" spans="2:16" ht="26.25" thickTop="1">
      <c r="B55" s="42" t="s">
        <v>91</v>
      </c>
      <c r="C55" s="67"/>
      <c r="D55" s="67"/>
      <c r="E55" s="295"/>
      <c r="F55" s="295"/>
      <c r="G55" s="295"/>
      <c r="H55" s="319"/>
      <c r="I55" s="319"/>
      <c r="J55" s="10"/>
      <c r="K55" s="10"/>
      <c r="L55" s="10"/>
      <c r="M55" s="10"/>
      <c r="N55" s="10"/>
      <c r="O55" s="10"/>
      <c r="P55" s="9"/>
    </row>
    <row r="56" spans="2:16">
      <c r="B56" s="31" t="s">
        <v>92</v>
      </c>
      <c r="E56" s="320"/>
      <c r="F56" s="320"/>
      <c r="G56" s="320"/>
      <c r="H56" s="319"/>
      <c r="I56" s="319"/>
      <c r="J56" s="10"/>
      <c r="K56" s="10"/>
      <c r="L56" s="10"/>
      <c r="M56" s="10"/>
      <c r="N56" s="10"/>
      <c r="O56" s="10"/>
      <c r="P56" s="11"/>
    </row>
    <row r="57" spans="2:16">
      <c r="B57" s="31" t="s">
        <v>93</v>
      </c>
      <c r="C57" s="235">
        <v>44.1</v>
      </c>
      <c r="D57" s="235">
        <v>60</v>
      </c>
      <c r="E57" s="325">
        <v>54.2</v>
      </c>
      <c r="F57" s="325">
        <v>33.9</v>
      </c>
      <c r="G57" s="325">
        <v>37.799999999999997</v>
      </c>
      <c r="H57" s="326">
        <v>38.9</v>
      </c>
      <c r="I57" s="326">
        <v>54.2</v>
      </c>
      <c r="J57" s="9">
        <v>68.5</v>
      </c>
      <c r="K57" s="9">
        <v>45</v>
      </c>
      <c r="L57" s="9">
        <v>47.1</v>
      </c>
      <c r="M57" s="9">
        <v>52.2</v>
      </c>
      <c r="N57" s="9">
        <v>44</v>
      </c>
      <c r="O57" s="9">
        <v>32.799999999999997</v>
      </c>
      <c r="P57" s="10"/>
    </row>
    <row r="58" spans="2:16">
      <c r="B58" s="35" t="s">
        <v>94</v>
      </c>
      <c r="C58" s="72">
        <v>717.5</v>
      </c>
      <c r="D58" s="72">
        <v>601.1</v>
      </c>
      <c r="E58" s="236">
        <v>752.6</v>
      </c>
      <c r="F58" s="236">
        <v>585.29999999999995</v>
      </c>
      <c r="G58" s="236">
        <v>418.6</v>
      </c>
      <c r="H58" s="327">
        <v>330.2</v>
      </c>
      <c r="I58" s="327">
        <v>262</v>
      </c>
      <c r="J58" s="12">
        <v>173.1</v>
      </c>
      <c r="K58" s="12">
        <v>221.1</v>
      </c>
      <c r="L58" s="12">
        <v>231.9</v>
      </c>
      <c r="M58" s="12">
        <v>360.5</v>
      </c>
      <c r="N58" s="12">
        <v>543.1</v>
      </c>
      <c r="O58" s="12">
        <v>359.3</v>
      </c>
      <c r="P58" s="38"/>
    </row>
    <row r="59" spans="2:16">
      <c r="B59" s="42" t="s">
        <v>95</v>
      </c>
      <c r="E59" s="320"/>
      <c r="F59" s="320"/>
      <c r="G59" s="320"/>
      <c r="H59" s="319"/>
      <c r="I59" s="319"/>
      <c r="J59" s="10"/>
      <c r="K59" s="10"/>
      <c r="L59" s="10"/>
      <c r="M59" s="10"/>
      <c r="N59" s="10"/>
      <c r="O59" s="10"/>
    </row>
    <row r="60" spans="2:16" ht="25.5">
      <c r="B60" s="35" t="s">
        <v>96</v>
      </c>
      <c r="C60" s="17">
        <v>0</v>
      </c>
      <c r="D60" s="17">
        <v>0</v>
      </c>
      <c r="E60" s="328">
        <v>0</v>
      </c>
      <c r="F60" s="328">
        <v>0</v>
      </c>
      <c r="G60" s="328">
        <v>0</v>
      </c>
      <c r="H60" s="328">
        <v>0</v>
      </c>
      <c r="I60" s="328">
        <v>0</v>
      </c>
      <c r="J60" s="17">
        <v>0</v>
      </c>
      <c r="K60" s="17">
        <v>108.9</v>
      </c>
      <c r="L60" s="17">
        <v>0</v>
      </c>
      <c r="M60" s="17">
        <v>0</v>
      </c>
      <c r="N60" s="17">
        <v>0</v>
      </c>
      <c r="O60" s="17">
        <v>0</v>
      </c>
    </row>
    <row r="61" spans="2:16">
      <c r="E61" s="320"/>
      <c r="F61" s="320"/>
      <c r="G61" s="234"/>
      <c r="H61" s="320"/>
      <c r="I61" s="320"/>
    </row>
    <row r="62" spans="2:16">
      <c r="E62" s="320"/>
      <c r="F62" s="320"/>
      <c r="G62" s="234"/>
      <c r="H62" s="320"/>
      <c r="I62" s="320"/>
    </row>
    <row r="63" spans="2:16">
      <c r="E63" s="320"/>
      <c r="F63" s="320"/>
      <c r="G63" s="234"/>
      <c r="H63" s="320"/>
      <c r="I63" s="320"/>
    </row>
    <row r="64" spans="2:16">
      <c r="E64" s="320"/>
      <c r="F64" s="320"/>
      <c r="G64" s="234"/>
      <c r="H64" s="320"/>
      <c r="I64" s="320"/>
    </row>
    <row r="65" spans="2:12">
      <c r="B65"/>
      <c r="C65"/>
      <c r="D65"/>
      <c r="E65" s="234"/>
      <c r="F65" s="234"/>
      <c r="G65" s="234"/>
      <c r="H65" s="234"/>
      <c r="I65" s="234"/>
      <c r="J65"/>
    </row>
    <row r="66" spans="2:12">
      <c r="B66"/>
      <c r="C66"/>
      <c r="D66"/>
      <c r="E66" s="234"/>
      <c r="F66" s="234"/>
      <c r="G66" s="234"/>
      <c r="H66" s="234"/>
      <c r="I66" s="234"/>
      <c r="J66"/>
    </row>
    <row r="67" spans="2:12">
      <c r="B67"/>
      <c r="C67"/>
      <c r="D67"/>
      <c r="E67" s="234"/>
      <c r="F67" s="234"/>
      <c r="G67" s="234"/>
      <c r="H67" s="234"/>
      <c r="I67" s="329"/>
      <c r="J67" s="210"/>
      <c r="K67" s="210"/>
    </row>
    <row r="68" spans="2:12">
      <c r="B68"/>
      <c r="C68"/>
      <c r="D68"/>
      <c r="E68" s="234"/>
      <c r="F68" s="234"/>
      <c r="G68" s="234"/>
      <c r="H68" s="234"/>
      <c r="I68" s="234"/>
      <c r="J68"/>
    </row>
    <row r="69" spans="2:12">
      <c r="B69"/>
      <c r="C69"/>
      <c r="D69"/>
      <c r="E69" s="234"/>
      <c r="F69" s="234"/>
      <c r="G69" s="234"/>
      <c r="H69" s="234"/>
      <c r="I69" s="330"/>
      <c r="J69" s="212"/>
      <c r="K69" s="212"/>
      <c r="L69" s="9"/>
    </row>
    <row r="70" spans="2:12">
      <c r="B70"/>
      <c r="C70"/>
      <c r="D70"/>
      <c r="E70" s="234"/>
      <c r="F70" s="234"/>
      <c r="G70" s="234"/>
      <c r="H70" s="234"/>
      <c r="I70" s="234"/>
      <c r="J70"/>
      <c r="L70" s="10"/>
    </row>
    <row r="71" spans="2:12">
      <c r="B71"/>
      <c r="C71"/>
      <c r="D71"/>
      <c r="E71" s="234"/>
      <c r="F71" s="234"/>
      <c r="G71" s="234"/>
      <c r="H71" s="234"/>
      <c r="I71" s="330"/>
      <c r="J71" s="212"/>
      <c r="K71" s="212"/>
      <c r="L71" s="67"/>
    </row>
    <row r="72" spans="2:12">
      <c r="B72"/>
      <c r="C72"/>
      <c r="D72"/>
      <c r="E72" s="234"/>
      <c r="F72" s="234"/>
      <c r="G72" s="234"/>
      <c r="H72" s="234"/>
      <c r="I72" s="330"/>
      <c r="J72" s="212"/>
      <c r="K72" s="212"/>
      <c r="L72" s="67"/>
    </row>
    <row r="73" spans="2:12">
      <c r="B73"/>
      <c r="C73"/>
      <c r="D73"/>
      <c r="E73" s="234"/>
      <c r="F73" s="234"/>
      <c r="G73" s="234"/>
      <c r="H73" s="234"/>
      <c r="I73" s="330"/>
      <c r="J73" s="212"/>
      <c r="K73" s="212"/>
      <c r="L73" s="67"/>
    </row>
    <row r="74" spans="2:12">
      <c r="B74"/>
      <c r="C74"/>
      <c r="D74"/>
      <c r="E74" s="234"/>
      <c r="F74" s="234"/>
      <c r="G74" s="234"/>
      <c r="H74" s="234"/>
      <c r="I74" s="330"/>
      <c r="J74" s="212"/>
      <c r="K74" s="212"/>
      <c r="L74" s="67"/>
    </row>
    <row r="75" spans="2:12">
      <c r="B75"/>
      <c r="C75"/>
      <c r="D75"/>
      <c r="E75" s="234"/>
      <c r="F75" s="234"/>
      <c r="G75" s="234"/>
      <c r="H75" s="234"/>
      <c r="I75" s="330"/>
      <c r="J75" s="212"/>
      <c r="K75" s="212"/>
      <c r="L75" s="67"/>
    </row>
    <row r="76" spans="2:12">
      <c r="B76"/>
      <c r="C76"/>
      <c r="D76"/>
      <c r="E76" s="234"/>
      <c r="F76" s="234"/>
      <c r="G76" s="234"/>
      <c r="H76" s="234"/>
      <c r="I76" s="234"/>
      <c r="J76"/>
      <c r="L76" s="16"/>
    </row>
    <row r="77" spans="2:12">
      <c r="B77"/>
      <c r="C77"/>
      <c r="D77"/>
      <c r="E77" s="234"/>
      <c r="F77" s="234"/>
      <c r="G77" s="234"/>
      <c r="H77" s="234"/>
      <c r="I77" s="330"/>
      <c r="J77" s="212"/>
      <c r="K77" s="212"/>
      <c r="L77" s="74"/>
    </row>
    <row r="78" spans="2:12">
      <c r="B78"/>
      <c r="C78"/>
      <c r="D78"/>
      <c r="E78" s="234"/>
      <c r="F78" s="234"/>
      <c r="G78" s="234"/>
      <c r="H78" s="234"/>
      <c r="I78" s="330"/>
      <c r="J78" s="212"/>
      <c r="K78" s="212"/>
      <c r="L78" s="74"/>
    </row>
    <row r="79" spans="2:12">
      <c r="B79"/>
      <c r="C79"/>
      <c r="D79"/>
      <c r="E79" s="234"/>
      <c r="F79" s="234"/>
      <c r="G79" s="234"/>
      <c r="H79" s="234"/>
      <c r="I79" s="330"/>
      <c r="J79" s="212"/>
      <c r="K79" s="212"/>
      <c r="L79" s="74"/>
    </row>
    <row r="80" spans="2:12">
      <c r="B80"/>
      <c r="C80"/>
      <c r="D80"/>
      <c r="E80" s="234"/>
      <c r="F80" s="234"/>
      <c r="G80" s="234"/>
      <c r="H80" s="234"/>
      <c r="I80" s="330"/>
      <c r="J80" s="212"/>
      <c r="K80" s="212"/>
      <c r="L80" s="74"/>
    </row>
    <row r="81" spans="2:12">
      <c r="B81"/>
      <c r="C81"/>
      <c r="D81"/>
      <c r="E81" s="234"/>
      <c r="F81" s="234"/>
      <c r="G81" s="234"/>
      <c r="H81" s="234"/>
      <c r="I81" s="330"/>
      <c r="J81" s="212"/>
      <c r="K81" s="212"/>
      <c r="L81" s="74"/>
    </row>
    <row r="82" spans="2:12">
      <c r="B82"/>
      <c r="C82"/>
      <c r="D82"/>
      <c r="E82" s="234"/>
      <c r="F82" s="234"/>
      <c r="G82" s="234"/>
      <c r="H82" s="234"/>
      <c r="I82" s="234"/>
      <c r="J82"/>
      <c r="L82" s="16"/>
    </row>
    <row r="83" spans="2:12">
      <c r="B83"/>
      <c r="C83"/>
      <c r="D83"/>
      <c r="E83" s="234"/>
      <c r="F83" s="234"/>
      <c r="G83" s="234"/>
      <c r="H83" s="234"/>
      <c r="I83" s="330"/>
      <c r="J83" s="212"/>
      <c r="K83" s="212"/>
      <c r="L83" s="16"/>
    </row>
    <row r="84" spans="2:12">
      <c r="B84"/>
      <c r="C84"/>
      <c r="D84"/>
      <c r="E84" s="234"/>
      <c r="F84" s="234"/>
      <c r="G84" s="234"/>
      <c r="H84" s="234"/>
      <c r="I84" s="330"/>
      <c r="J84" s="212"/>
      <c r="K84" s="212"/>
      <c r="L84" s="16"/>
    </row>
    <row r="85" spans="2:12">
      <c r="B85"/>
      <c r="C85"/>
      <c r="D85"/>
      <c r="E85" s="234"/>
      <c r="F85" s="234"/>
      <c r="G85" s="234"/>
      <c r="H85" s="234"/>
      <c r="I85" s="330"/>
      <c r="J85" s="212"/>
      <c r="K85" s="212"/>
    </row>
    <row r="86" spans="2:12">
      <c r="B86"/>
      <c r="C86"/>
      <c r="D86"/>
      <c r="E86" s="234"/>
      <c r="F86" s="234"/>
      <c r="G86" s="234"/>
      <c r="H86" s="234"/>
      <c r="I86" s="330"/>
      <c r="J86" s="212"/>
      <c r="K86" s="212"/>
    </row>
    <row r="87" spans="2:12">
      <c r="B87"/>
      <c r="C87"/>
      <c r="D87"/>
      <c r="E87" s="234"/>
      <c r="F87" s="234"/>
      <c r="G87" s="234"/>
      <c r="H87" s="234"/>
      <c r="I87" s="330"/>
      <c r="J87" s="212"/>
      <c r="K87" s="212"/>
    </row>
    <row r="88" spans="2:12">
      <c r="B88"/>
      <c r="C88"/>
      <c r="D88"/>
      <c r="E88" s="234"/>
      <c r="F88" s="234"/>
      <c r="G88" s="234"/>
      <c r="H88" s="234"/>
      <c r="I88" s="234"/>
      <c r="J88"/>
    </row>
    <row r="89" spans="2:12">
      <c r="B89"/>
      <c r="C89"/>
      <c r="D89"/>
      <c r="E89" s="234"/>
      <c r="F89" s="234"/>
      <c r="G89" s="234"/>
      <c r="H89" s="234"/>
      <c r="I89" s="330"/>
      <c r="J89" s="212"/>
      <c r="K89" s="212"/>
    </row>
    <row r="90" spans="2:12">
      <c r="B90"/>
      <c r="C90"/>
      <c r="D90"/>
      <c r="E90" s="234"/>
      <c r="F90" s="234"/>
      <c r="G90" s="234"/>
      <c r="H90" s="234"/>
      <c r="I90" s="330"/>
      <c r="J90" s="212"/>
      <c r="K90" s="212"/>
    </row>
    <row r="91" spans="2:12">
      <c r="B91"/>
      <c r="C91"/>
      <c r="D91"/>
      <c r="E91" s="234"/>
      <c r="F91" s="234"/>
      <c r="G91" s="234"/>
      <c r="H91" s="234"/>
      <c r="I91" s="330"/>
      <c r="J91" s="212"/>
      <c r="K91" s="212"/>
    </row>
    <row r="92" spans="2:12">
      <c r="B92"/>
      <c r="C92"/>
      <c r="D92"/>
      <c r="E92" s="234"/>
      <c r="F92" s="234"/>
      <c r="G92" s="234"/>
      <c r="H92" s="234"/>
      <c r="I92" s="330"/>
      <c r="J92" s="212"/>
      <c r="K92" s="212"/>
    </row>
    <row r="93" spans="2:12">
      <c r="B93"/>
      <c r="C93"/>
      <c r="D93"/>
      <c r="E93" s="234"/>
      <c r="F93" s="234"/>
      <c r="G93" s="234"/>
      <c r="H93" s="234"/>
      <c r="I93" s="330"/>
      <c r="J93" s="212"/>
      <c r="K93" s="212"/>
    </row>
    <row r="94" spans="2:12">
      <c r="B94"/>
      <c r="C94"/>
      <c r="D94"/>
      <c r="E94" s="234"/>
      <c r="F94" s="234"/>
      <c r="G94" s="234"/>
      <c r="H94" s="234"/>
      <c r="I94" s="330"/>
      <c r="J94" s="212"/>
      <c r="K94" s="212"/>
    </row>
    <row r="95" spans="2:12">
      <c r="B95"/>
      <c r="C95"/>
      <c r="D95"/>
      <c r="E95" s="234"/>
      <c r="F95" s="234"/>
      <c r="G95" s="234"/>
      <c r="H95" s="234"/>
      <c r="I95" s="330"/>
      <c r="J95" s="212"/>
      <c r="K95" s="212"/>
    </row>
    <row r="96" spans="2:12">
      <c r="B96"/>
      <c r="C96"/>
      <c r="D96"/>
      <c r="E96" s="234"/>
      <c r="F96" s="234"/>
      <c r="G96" s="320"/>
      <c r="H96" s="234"/>
      <c r="I96" s="330"/>
      <c r="J96" s="212"/>
      <c r="K96" s="212"/>
    </row>
    <row r="97" spans="2:11">
      <c r="B97"/>
      <c r="C97"/>
      <c r="D97"/>
      <c r="E97" s="234"/>
      <c r="F97" s="234"/>
      <c r="G97" s="320"/>
      <c r="H97" s="234"/>
      <c r="I97" s="330"/>
      <c r="J97" s="212"/>
      <c r="K97" s="212"/>
    </row>
    <row r="98" spans="2:11">
      <c r="B98"/>
      <c r="C98"/>
      <c r="D98"/>
      <c r="E98" s="234"/>
      <c r="F98" s="234"/>
      <c r="G98" s="320"/>
      <c r="H98" s="234"/>
      <c r="I98" s="330"/>
      <c r="J98" s="212"/>
      <c r="K98" s="212"/>
    </row>
    <row r="99" spans="2:11">
      <c r="B99"/>
      <c r="C99"/>
      <c r="D99"/>
      <c r="E99" s="234"/>
      <c r="F99" s="234"/>
      <c r="G99" s="320"/>
      <c r="H99" s="234"/>
      <c r="I99" s="330"/>
      <c r="J99" s="212"/>
      <c r="K99" s="212"/>
    </row>
    <row r="100" spans="2:11">
      <c r="B100"/>
      <c r="C100"/>
      <c r="D100"/>
      <c r="E100" s="234"/>
      <c r="F100" s="234"/>
      <c r="G100" s="320"/>
      <c r="H100" s="234"/>
      <c r="I100" s="234"/>
      <c r="J100"/>
    </row>
    <row r="101" spans="2:11">
      <c r="B101"/>
      <c r="C101"/>
      <c r="D101"/>
      <c r="E101" s="234"/>
      <c r="F101" s="234"/>
      <c r="G101" s="320"/>
      <c r="H101" s="234"/>
      <c r="I101" s="234"/>
      <c r="J101"/>
    </row>
    <row r="102" spans="2:11">
      <c r="B102"/>
      <c r="C102"/>
      <c r="D102"/>
      <c r="E102" s="234"/>
      <c r="F102" s="234"/>
      <c r="G102" s="320"/>
      <c r="H102" s="234"/>
      <c r="I102" s="330"/>
      <c r="J102" s="212"/>
      <c r="K102" s="212"/>
    </row>
    <row r="103" spans="2:11">
      <c r="B103"/>
      <c r="C103"/>
      <c r="D103"/>
      <c r="E103" s="234"/>
      <c r="F103" s="234"/>
      <c r="G103" s="320"/>
      <c r="H103" s="234"/>
      <c r="I103" s="330"/>
      <c r="J103" s="212"/>
      <c r="K103" s="212"/>
    </row>
    <row r="104" spans="2:11">
      <c r="B104"/>
      <c r="C104"/>
      <c r="D104"/>
      <c r="E104" s="234"/>
      <c r="F104" s="234"/>
      <c r="G104" s="320"/>
      <c r="H104" s="234"/>
      <c r="I104" s="234"/>
      <c r="J104"/>
    </row>
    <row r="105" spans="2:11">
      <c r="B105"/>
      <c r="C105"/>
      <c r="D105"/>
      <c r="E105" s="234"/>
      <c r="F105" s="234"/>
      <c r="G105" s="320"/>
      <c r="H105" s="234"/>
      <c r="I105" s="330"/>
      <c r="J105" s="212"/>
      <c r="K105" s="212"/>
    </row>
    <row r="106" spans="2:11">
      <c r="B106"/>
      <c r="C106"/>
      <c r="D106"/>
      <c r="E106" s="234"/>
      <c r="F106" s="234"/>
      <c r="G106" s="320"/>
      <c r="H106" s="234"/>
      <c r="I106" s="234"/>
      <c r="J106"/>
    </row>
    <row r="107" spans="2:11">
      <c r="E107" s="320"/>
      <c r="F107" s="320"/>
      <c r="G107" s="320"/>
      <c r="H107" s="320"/>
      <c r="I107" s="320"/>
    </row>
    <row r="108" spans="2:11">
      <c r="E108" s="320"/>
      <c r="F108" s="320"/>
      <c r="G108" s="320"/>
      <c r="H108" s="320"/>
      <c r="I108" s="320"/>
    </row>
    <row r="109" spans="2:11">
      <c r="E109" s="320"/>
      <c r="F109" s="320"/>
      <c r="G109" s="320"/>
      <c r="H109" s="320"/>
      <c r="I109" s="320"/>
    </row>
    <row r="110" spans="2:11">
      <c r="E110" s="320"/>
      <c r="F110" s="320"/>
      <c r="G110" s="320"/>
      <c r="H110" s="320"/>
      <c r="I110" s="320"/>
    </row>
    <row r="111" spans="2:11">
      <c r="E111" s="320"/>
      <c r="F111" s="320"/>
      <c r="G111" s="320"/>
      <c r="H111" s="320"/>
      <c r="I111" s="320"/>
    </row>
    <row r="112" spans="2:11">
      <c r="E112" s="320"/>
      <c r="F112" s="320"/>
      <c r="G112" s="320"/>
      <c r="H112" s="320"/>
      <c r="I112" s="320"/>
    </row>
    <row r="113" spans="5:9">
      <c r="E113" s="320"/>
      <c r="F113" s="320"/>
      <c r="G113" s="320"/>
      <c r="H113" s="320"/>
      <c r="I113" s="320"/>
    </row>
    <row r="114" spans="5:9">
      <c r="E114" s="320"/>
      <c r="F114" s="320"/>
      <c r="G114" s="320"/>
      <c r="H114" s="320"/>
      <c r="I114" s="320"/>
    </row>
    <row r="115" spans="5:9">
      <c r="E115" s="320"/>
      <c r="F115" s="320"/>
      <c r="G115" s="320"/>
      <c r="H115" s="320"/>
      <c r="I115" s="320"/>
    </row>
    <row r="116" spans="5:9">
      <c r="E116" s="320"/>
      <c r="F116" s="320"/>
      <c r="G116" s="320"/>
      <c r="H116" s="320"/>
      <c r="I116" s="320"/>
    </row>
    <row r="117" spans="5:9">
      <c r="E117" s="320"/>
      <c r="F117" s="320"/>
      <c r="G117" s="320"/>
      <c r="H117" s="320"/>
      <c r="I117" s="320"/>
    </row>
    <row r="118" spans="5:9">
      <c r="E118" s="320"/>
      <c r="F118" s="320"/>
      <c r="G118" s="320"/>
      <c r="H118" s="320"/>
      <c r="I118" s="320"/>
    </row>
    <row r="119" spans="5:9">
      <c r="E119" s="320"/>
      <c r="F119" s="320"/>
      <c r="G119" s="320"/>
      <c r="H119" s="320"/>
      <c r="I119" s="320"/>
    </row>
    <row r="120" spans="5:9">
      <c r="E120" s="320"/>
      <c r="F120" s="320"/>
      <c r="G120" s="320"/>
      <c r="H120" s="320"/>
      <c r="I120" s="320"/>
    </row>
    <row r="121" spans="5:9">
      <c r="E121" s="320"/>
      <c r="F121" s="320"/>
      <c r="G121" s="320"/>
      <c r="H121" s="320"/>
      <c r="I121" s="320"/>
    </row>
    <row r="122" spans="5:9">
      <c r="E122" s="320"/>
      <c r="F122" s="320"/>
      <c r="G122" s="320"/>
      <c r="H122" s="320"/>
      <c r="I122" s="320"/>
    </row>
    <row r="123" spans="5:9">
      <c r="E123" s="320"/>
      <c r="F123" s="320"/>
      <c r="G123" s="320"/>
      <c r="H123" s="320"/>
      <c r="I123" s="320"/>
    </row>
    <row r="124" spans="5:9">
      <c r="E124" s="320"/>
      <c r="F124" s="320"/>
      <c r="G124" s="320"/>
      <c r="H124" s="320"/>
      <c r="I124" s="320"/>
    </row>
    <row r="125" spans="5:9">
      <c r="E125" s="320"/>
      <c r="F125" s="320"/>
      <c r="G125" s="320"/>
      <c r="H125" s="320"/>
      <c r="I125" s="320"/>
    </row>
    <row r="126" spans="5:9">
      <c r="E126" s="320"/>
      <c r="F126" s="320"/>
      <c r="G126" s="320"/>
      <c r="H126" s="320"/>
      <c r="I126" s="320"/>
    </row>
    <row r="127" spans="5:9">
      <c r="E127" s="320"/>
      <c r="F127" s="320"/>
      <c r="G127" s="320"/>
      <c r="H127" s="320"/>
      <c r="I127" s="320"/>
    </row>
    <row r="128" spans="5:9">
      <c r="E128" s="320"/>
      <c r="F128" s="320"/>
      <c r="G128" s="320"/>
      <c r="H128" s="320"/>
      <c r="I128" s="320"/>
    </row>
    <row r="129" spans="5:9">
      <c r="E129" s="320"/>
      <c r="F129" s="320"/>
      <c r="G129" s="320"/>
      <c r="H129" s="320"/>
      <c r="I129" s="320"/>
    </row>
    <row r="130" spans="5:9">
      <c r="E130" s="320"/>
      <c r="F130" s="320"/>
      <c r="G130" s="320"/>
      <c r="H130" s="320"/>
      <c r="I130" s="320"/>
    </row>
    <row r="131" spans="5:9">
      <c r="E131" s="320"/>
      <c r="F131" s="320"/>
      <c r="G131" s="320"/>
      <c r="H131" s="320"/>
      <c r="I131" s="320"/>
    </row>
    <row r="132" spans="5:9">
      <c r="E132" s="320"/>
      <c r="F132" s="320"/>
      <c r="G132" s="320"/>
      <c r="H132" s="320"/>
      <c r="I132" s="320"/>
    </row>
    <row r="133" spans="5:9">
      <c r="E133" s="320"/>
      <c r="F133" s="320"/>
      <c r="G133" s="320"/>
      <c r="H133" s="320"/>
      <c r="I133" s="320"/>
    </row>
    <row r="134" spans="5:9">
      <c r="E134" s="320"/>
      <c r="F134" s="320"/>
      <c r="G134" s="320"/>
      <c r="H134" s="320"/>
      <c r="I134" s="320"/>
    </row>
    <row r="135" spans="5:9">
      <c r="E135" s="320"/>
      <c r="F135" s="320"/>
      <c r="G135" s="320"/>
      <c r="H135" s="320"/>
      <c r="I135" s="320"/>
    </row>
    <row r="136" spans="5:9">
      <c r="E136" s="320"/>
      <c r="F136" s="320"/>
      <c r="G136" s="320"/>
      <c r="H136" s="320"/>
      <c r="I136" s="320"/>
    </row>
    <row r="137" spans="5:9">
      <c r="E137" s="320"/>
      <c r="F137" s="320"/>
      <c r="G137" s="320"/>
      <c r="H137" s="320"/>
      <c r="I137" s="320"/>
    </row>
    <row r="138" spans="5:9">
      <c r="E138" s="320"/>
      <c r="F138" s="320"/>
      <c r="G138" s="320"/>
      <c r="H138" s="320"/>
      <c r="I138" s="320"/>
    </row>
    <row r="139" spans="5:9">
      <c r="E139" s="320"/>
      <c r="F139" s="320"/>
      <c r="G139" s="320"/>
      <c r="H139" s="320"/>
      <c r="I139" s="320"/>
    </row>
    <row r="140" spans="5:9">
      <c r="E140" s="320"/>
      <c r="F140" s="320"/>
      <c r="G140" s="320"/>
      <c r="H140" s="320"/>
      <c r="I140" s="320"/>
    </row>
    <row r="141" spans="5:9">
      <c r="E141" s="320"/>
      <c r="F141" s="320"/>
      <c r="G141" s="320"/>
      <c r="H141" s="320"/>
      <c r="I141" s="320"/>
    </row>
    <row r="142" spans="5:9">
      <c r="E142" s="320"/>
      <c r="F142" s="320"/>
      <c r="G142" s="320"/>
      <c r="H142" s="320"/>
      <c r="I142" s="320"/>
    </row>
    <row r="143" spans="5:9">
      <c r="E143" s="320"/>
      <c r="F143" s="320"/>
      <c r="G143" s="320"/>
      <c r="H143" s="320"/>
      <c r="I143" s="320"/>
    </row>
    <row r="144" spans="5:9">
      <c r="E144" s="320"/>
      <c r="F144" s="320"/>
      <c r="G144" s="320"/>
      <c r="H144" s="320"/>
      <c r="I144" s="320"/>
    </row>
    <row r="145" spans="5:9">
      <c r="E145" s="320"/>
      <c r="F145" s="320"/>
      <c r="G145" s="320"/>
      <c r="H145" s="320"/>
      <c r="I145" s="320"/>
    </row>
    <row r="146" spans="5:9">
      <c r="E146" s="320"/>
      <c r="F146" s="320"/>
      <c r="G146" s="320"/>
      <c r="H146" s="320"/>
      <c r="I146" s="320"/>
    </row>
    <row r="147" spans="5:9">
      <c r="E147" s="320"/>
      <c r="F147" s="320"/>
      <c r="G147" s="320"/>
      <c r="H147" s="320"/>
      <c r="I147" s="320"/>
    </row>
    <row r="148" spans="5:9">
      <c r="E148" s="320"/>
      <c r="F148" s="320"/>
      <c r="G148" s="320"/>
      <c r="H148" s="320"/>
      <c r="I148" s="320"/>
    </row>
    <row r="149" spans="5:9">
      <c r="E149" s="320"/>
      <c r="F149" s="320"/>
      <c r="G149" s="320"/>
      <c r="H149" s="320"/>
      <c r="I149" s="320"/>
    </row>
    <row r="150" spans="5:9">
      <c r="E150" s="320"/>
      <c r="F150" s="320"/>
      <c r="G150" s="320"/>
      <c r="H150" s="320"/>
      <c r="I150" s="320"/>
    </row>
    <row r="151" spans="5:9">
      <c r="E151" s="320"/>
      <c r="F151" s="320"/>
      <c r="G151" s="320"/>
      <c r="H151" s="320"/>
      <c r="I151" s="320"/>
    </row>
    <row r="152" spans="5:9">
      <c r="E152" s="320"/>
      <c r="F152" s="320"/>
      <c r="G152" s="320"/>
      <c r="H152" s="320"/>
      <c r="I152" s="320"/>
    </row>
    <row r="153" spans="5:9">
      <c r="E153" s="320"/>
      <c r="F153" s="320"/>
      <c r="G153" s="320"/>
      <c r="H153" s="320"/>
      <c r="I153" s="320"/>
    </row>
    <row r="154" spans="5:9">
      <c r="E154" s="320"/>
      <c r="F154" s="320"/>
      <c r="G154" s="320"/>
      <c r="H154" s="320"/>
      <c r="I154" s="320"/>
    </row>
    <row r="155" spans="5:9">
      <c r="E155" s="320"/>
      <c r="F155" s="320"/>
      <c r="G155" s="320"/>
      <c r="H155" s="320"/>
      <c r="I155" s="320"/>
    </row>
    <row r="156" spans="5:9">
      <c r="E156" s="320"/>
      <c r="F156" s="320"/>
      <c r="G156" s="320"/>
      <c r="H156" s="320"/>
      <c r="I156" s="320"/>
    </row>
    <row r="157" spans="5:9">
      <c r="E157" s="320"/>
      <c r="F157" s="320"/>
      <c r="G157" s="320"/>
      <c r="H157" s="320"/>
      <c r="I157" s="320"/>
    </row>
    <row r="158" spans="5:9">
      <c r="E158" s="320"/>
      <c r="F158" s="320"/>
      <c r="G158" s="320"/>
      <c r="H158" s="320"/>
      <c r="I158" s="320"/>
    </row>
    <row r="159" spans="5:9">
      <c r="E159" s="320"/>
      <c r="F159" s="320"/>
      <c r="G159" s="320"/>
      <c r="H159" s="320"/>
      <c r="I159" s="320"/>
    </row>
    <row r="160" spans="5:9">
      <c r="E160" s="320"/>
      <c r="F160" s="320"/>
      <c r="G160" s="320"/>
      <c r="H160" s="320"/>
      <c r="I160" s="320"/>
    </row>
    <row r="161" spans="5:9">
      <c r="E161" s="320"/>
      <c r="F161" s="320"/>
      <c r="G161" s="320"/>
      <c r="H161" s="320"/>
      <c r="I161" s="320"/>
    </row>
    <row r="162" spans="5:9">
      <c r="E162" s="320"/>
      <c r="F162" s="320"/>
      <c r="G162" s="320"/>
      <c r="H162" s="320"/>
      <c r="I162" s="320"/>
    </row>
    <row r="163" spans="5:9">
      <c r="E163" s="320"/>
      <c r="F163" s="320"/>
      <c r="G163" s="320"/>
      <c r="H163" s="320"/>
      <c r="I163" s="320"/>
    </row>
    <row r="164" spans="5:9">
      <c r="E164" s="320"/>
      <c r="F164" s="320"/>
      <c r="G164" s="320"/>
      <c r="H164" s="320"/>
      <c r="I164" s="320"/>
    </row>
    <row r="165" spans="5:9">
      <c r="E165" s="320"/>
      <c r="F165" s="320"/>
      <c r="G165" s="320"/>
      <c r="H165" s="320"/>
      <c r="I165" s="320"/>
    </row>
    <row r="166" spans="5:9">
      <c r="E166" s="320"/>
      <c r="F166" s="320"/>
      <c r="G166" s="320"/>
      <c r="H166" s="320"/>
      <c r="I166" s="320"/>
    </row>
    <row r="167" spans="5:9">
      <c r="E167" s="320"/>
      <c r="F167" s="320"/>
      <c r="G167" s="320"/>
      <c r="H167" s="320"/>
      <c r="I167" s="320"/>
    </row>
    <row r="168" spans="5:9">
      <c r="E168" s="320"/>
      <c r="F168" s="320"/>
      <c r="G168" s="320"/>
      <c r="H168" s="320"/>
      <c r="I168" s="320"/>
    </row>
    <row r="169" spans="5:9">
      <c r="E169" s="320"/>
      <c r="F169" s="320"/>
      <c r="G169" s="320"/>
      <c r="H169" s="320"/>
      <c r="I169" s="320"/>
    </row>
    <row r="170" spans="5:9">
      <c r="E170" s="320"/>
      <c r="F170" s="320"/>
      <c r="G170" s="320"/>
      <c r="H170" s="320"/>
      <c r="I170" s="320"/>
    </row>
    <row r="171" spans="5:9">
      <c r="E171" s="320"/>
      <c r="F171" s="320"/>
      <c r="G171" s="320"/>
      <c r="H171" s="320"/>
      <c r="I171" s="320"/>
    </row>
  </sheetData>
  <mergeCells count="2">
    <mergeCell ref="B8:K8"/>
    <mergeCell ref="R41:T41"/>
  </mergeCells>
  <phoneticPr fontId="0" type="noConversion"/>
  <pageMargins left="0.75" right="0.75" top="1" bottom="1" header="0.5" footer="0.5"/>
  <pageSetup scale="79" fitToHeight="2" orientation="landscape" r:id="rId1"/>
  <headerFooter alignWithMargins="0">
    <oddFooter>&amp;CFinancial Statement Analysis and Valuation: Roadmap&amp;RStephen H. Penman 2001</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11</vt:i4>
      </vt:variant>
    </vt:vector>
  </HeadingPairs>
  <TitlesOfParts>
    <vt:vector size="30" baseType="lpstr">
      <vt:lpstr>Introduction</vt:lpstr>
      <vt:lpstr>The Roadmap</vt:lpstr>
      <vt:lpstr>1.  Downloading Statements</vt:lpstr>
      <vt:lpstr>2.  Reformulation</vt:lpstr>
      <vt:lpstr>3.  Summary of steps</vt:lpstr>
      <vt:lpstr>Nike Statement of SE</vt:lpstr>
      <vt:lpstr>Nike Balance Sheet</vt:lpstr>
      <vt:lpstr>Nike Income Statement</vt:lpstr>
      <vt:lpstr>Nike Statement of Cash Flows</vt:lpstr>
      <vt:lpstr>Reformulation Checks</vt:lpstr>
      <vt:lpstr>3. Financial Statement Analysis</vt:lpstr>
      <vt:lpstr>Profitability and Growth</vt:lpstr>
      <vt:lpstr>Common Size and Trend Analysis</vt:lpstr>
      <vt:lpstr>Charts</vt:lpstr>
      <vt:lpstr>4. Valuation - Essentials</vt:lpstr>
      <vt:lpstr>Simple Forecasts and Valuations</vt:lpstr>
      <vt:lpstr>Full Forecasting and Valuation</vt:lpstr>
      <vt:lpstr>Abnormal OI Growth Model</vt:lpstr>
      <vt:lpstr>5.  Bells and Whistles</vt:lpstr>
      <vt:lpstr>'3. Financial Statement Analysis'!Print_Area</vt:lpstr>
      <vt:lpstr>Charts!Print_Area</vt:lpstr>
      <vt:lpstr>'Common Size and Trend Analysis'!Print_Area</vt:lpstr>
      <vt:lpstr>'Full Forecasting and Valuation'!Print_Area</vt:lpstr>
      <vt:lpstr>Introduction!Print_Area</vt:lpstr>
      <vt:lpstr>'Nike Balance Sheet'!Print_Area</vt:lpstr>
      <vt:lpstr>'Nike Income Statement'!Print_Area</vt:lpstr>
      <vt:lpstr>'Nike Statement of Cash Flows'!Print_Area</vt:lpstr>
      <vt:lpstr>'Nike Statement of SE'!Print_Area</vt:lpstr>
      <vt:lpstr>'Profitability and Growth'!Print_Area</vt:lpstr>
      <vt:lpstr>'Simple Forecasts and Valuations'!Print_Area</vt:lpstr>
    </vt:vector>
  </TitlesOfParts>
  <Company>Columbia Business School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Doctoral Program</dc:creator>
  <cp:lastModifiedBy>Kien</cp:lastModifiedBy>
  <cp:lastPrinted>2009-01-13T19:57:02Z</cp:lastPrinted>
  <dcterms:created xsi:type="dcterms:W3CDTF">2000-09-21T20:09:55Z</dcterms:created>
  <dcterms:modified xsi:type="dcterms:W3CDTF">2012-11-03T01:07:14Z</dcterms:modified>
</cp:coreProperties>
</file>