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ieu.nguyen-trung\Desktop\Test_Folder\Sample\"/>
    </mc:Choice>
  </mc:AlternateContent>
  <xr:revisionPtr revIDLastSave="0" documentId="13_ncr:81_{5433626E-656F-49B0-B220-406E2280860D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OEM_Package_20200302" sheetId="1" r:id="rId1"/>
    <sheet name="Template_Weekly_Report" sheetId="2" r:id="rId2"/>
    <sheet name="Sheet1" sheetId="3" r:id="rId3"/>
    <sheet name="|-&gt;" sheetId="4" r:id="rId4"/>
    <sheet name="Template" sheetId="5" r:id="rId5"/>
    <sheet name="Table" sheetId="6" r:id="rId6"/>
    <sheet name="Check_List" sheetId="7" r:id="rId7"/>
    <sheet name="Sheet2" sheetId="8" r:id="rId8"/>
  </sheets>
  <definedNames>
    <definedName name="_xlnm._FilterDatabase" localSheetId="0" hidden="1">COEM_Package_20200302!$B$2:$AG$164</definedName>
    <definedName name="_xlnm._FilterDatabase" localSheetId="4" hidden="1">Template!$B$2:$R$14</definedName>
    <definedName name="Z_00B4488D_95A4_4856_B7E0_BFC3373F6C87_.wvu.FilterData" localSheetId="0" hidden="1">COEM_Package_20200302!$A$2:$AG$164</definedName>
    <definedName name="Z_01EDE723_52E9_40B7_9054_DC526F36A118_.wvu.FilterData" localSheetId="0" hidden="1">COEM_Package_20200302!$A$2:$AG$26</definedName>
    <definedName name="Z_09D01E11_5602_4BFB_B258_BB045597F741_.wvu.FilterData" localSheetId="0" hidden="1">COEM_Package_20200302!$B$2:$AG$164</definedName>
    <definedName name="Z_12ECA52F_E1F6_4C62_BB28_211497D1C61B_.wvu.FilterData" localSheetId="0" hidden="1">COEM_Package_20200302!$B$2:$AG$164</definedName>
    <definedName name="Z_1688F1F8_7FFB_4A1C_8908_5BDE7EC108C6_.wvu.FilterData" localSheetId="0" hidden="1">COEM_Package_20200302!$B$2:$AG$66</definedName>
    <definedName name="Z_17568297_DE94_42DB_A62D_8B9302C2B85A_.wvu.FilterData" localSheetId="0" hidden="1">COEM_Package_20200302!$B$2:$AF$160</definedName>
    <definedName name="Z_176CD623_4DF1_4454_BE73_44811274886F_.wvu.FilterData" localSheetId="0" hidden="1">COEM_Package_20200302!$A$2:$AG$26</definedName>
    <definedName name="Z_2050022B_86AE_4EC1_9C92_6C8DD4BC2669_.wvu.FilterData" localSheetId="0" hidden="1">COEM_Package_20200302!$B$2:$AG$66</definedName>
    <definedName name="Z_2162F9F4_DB3B_406E_9B5C_FA4E58EE84AC_.wvu.FilterData" localSheetId="0" hidden="1">COEM_Package_20200302!$A$2:$AG$26</definedName>
    <definedName name="Z_250915DF_0B97_45D7_B29D_7EED4C89C1C1_.wvu.FilterData" localSheetId="0" hidden="1">COEM_Package_20200302!$B$2:$AG$164</definedName>
    <definedName name="Z_250915DF_0B97_45D7_B29D_7EED4C89C1C1_.wvu.FilterData" localSheetId="4" hidden="1">Template!$B$2:$R$14</definedName>
    <definedName name="Z_250A96BD_283B_4529_9CB6_3A77A173C150_.wvu.FilterData" localSheetId="0" hidden="1">COEM_Package_20200302!$B$2:$AG$164</definedName>
    <definedName name="Z_2796A872_74B9_41A6_AD05_2D7FFBF27D76_.wvu.FilterData" localSheetId="0" hidden="1">COEM_Package_20200302!$B$2:$AF$160</definedName>
    <definedName name="Z_2DAA5E76_B8FF_4CD7_93D9_37F81863218D_.wvu.FilterData" localSheetId="0" hidden="1">COEM_Package_20200302!$P$2:$P$180</definedName>
    <definedName name="Z_3209B137_0A1A_4F2D_BBCA_FE6D9DBDF35B_.wvu.FilterData" localSheetId="0" hidden="1">COEM_Package_20200302!$A$2:$AG$164</definedName>
    <definedName name="Z_35B0B6AE_086F_4F08_9CA9_A72BF8F13B9D_.wvu.FilterData" localSheetId="0" hidden="1">COEM_Package_20200302!$B$2:$AG$66</definedName>
    <definedName name="Z_382D887A_F8D5_4E00_A4D1_AE3B77523470_.wvu.FilterData" localSheetId="0" hidden="1">COEM_Package_20200302!$B$2:$AG$66</definedName>
    <definedName name="Z_3AB52AB1_CE4B_4E65_9B66_3B1B58BC84F6_.wvu.FilterData" localSheetId="0" hidden="1">COEM_Package_20200302!$A$2:$AG$26</definedName>
    <definedName name="Z_3EE173E3_F30C_4123_BA68_472D213EF7CF_.wvu.FilterData" localSheetId="0" hidden="1">COEM_Package_20200302!$B$2:$AG$66</definedName>
    <definedName name="Z_40C2C641_E735_404F_AD62_31E9BAD1216F_.wvu.FilterData" localSheetId="0" hidden="1">COEM_Package_20200302!$A$2:$AG$164</definedName>
    <definedName name="Z_41B1B4D1_A075_484C_97B9_D2394E82262D_.wvu.FilterData" localSheetId="0" hidden="1">COEM_Package_20200302!$B$2:$AG$164</definedName>
    <definedName name="Z_41B6B490_4439_41A5_84D6_228571039AC9_.wvu.FilterData" localSheetId="0" hidden="1">COEM_Package_20200302!$O$2:$O$180</definedName>
    <definedName name="Z_41E0E866_DA86_4AEB_BF76_E491B63B8D67_.wvu.FilterData" localSheetId="0" hidden="1">COEM_Package_20200302!$A$2:$AG$164</definedName>
    <definedName name="Z_4559A19F_8862_4382_B831_23064F006456_.wvu.FilterData" localSheetId="0" hidden="1">COEM_Package_20200302!$A$2:$AG$26</definedName>
    <definedName name="Z_4E06BDBF_2CED_473B_850B_2A6C7311FF41_.wvu.Cols" localSheetId="0" hidden="1">COEM_Package_20200302!$M:$N</definedName>
    <definedName name="Z_4E06BDBF_2CED_473B_850B_2A6C7311FF41_.wvu.FilterData" localSheetId="0" hidden="1">COEM_Package_20200302!$A$2:$AG$164</definedName>
    <definedName name="Z_4E06BDBF_2CED_473B_850B_2A6C7311FF41_.wvu.FilterData" localSheetId="4" hidden="1">Template!$B$2:$R$14</definedName>
    <definedName name="Z_4FB3B41F_CA28_4DD6_8996_D23358E75053_.wvu.FilterData" localSheetId="0" hidden="1">COEM_Package_20200302!$B$2:$AG$164</definedName>
    <definedName name="Z_51B33DD2_3A4F_4ED6_8425_E4D47FE10114_.wvu.FilterData" localSheetId="0" hidden="1">COEM_Package_20200302!$A$2:$AG$26</definedName>
    <definedName name="Z_531A45AE_CB7E_48BC_80BF_D6DD27FCC565_.wvu.FilterData" localSheetId="0" hidden="1">COEM_Package_20200302!$A$2:$AG$26</definedName>
    <definedName name="Z_531D8BB1_1EA1_41B2_896B_A69A6024C4FA_.wvu.FilterData" localSheetId="0" hidden="1">COEM_Package_20200302!$B$2:$AG$164</definedName>
    <definedName name="Z_594856DB_1796_41BA_9D27_B22FF73A30E5_.wvu.FilterData" localSheetId="0" hidden="1">COEM_Package_20200302!$B$2:$AG$66</definedName>
    <definedName name="Z_5A69BDDC_69D1_4C06_9FA2_5E7FFAF1DD5D_.wvu.FilterData" localSheetId="0" hidden="1">COEM_Package_20200302!$B$2:$AG$66</definedName>
    <definedName name="Z_60AF476A_0248_4AA2_AE15_DC04C7E32858_.wvu.FilterData" localSheetId="0" hidden="1">COEM_Package_20200302!$A$2:$AG$26</definedName>
    <definedName name="Z_60D2C030_4E31_4E07_8E1C_44D2EE84B177_.wvu.FilterData" localSheetId="0" hidden="1">COEM_Package_20200302!$B$2:$AG$164</definedName>
    <definedName name="Z_60D2C030_4E31_4E07_8E1C_44D2EE84B177_.wvu.FilterData" localSheetId="4" hidden="1">Template!$B$2:$R$14</definedName>
    <definedName name="Z_67638758_F59B_4CE4_ABF7_530DFBE3C588_.wvu.FilterData" localSheetId="0" hidden="1">COEM_Package_20200302!$O$2:$O$180</definedName>
    <definedName name="Z_67823219_E5F6_4230_86E0_7EF8352BE893_.wvu.FilterData" localSheetId="0" hidden="1">COEM_Package_20200302!$B$2:$AG$164</definedName>
    <definedName name="Z_6B1BA5A9_E057_4F4A_9C65_C6B9C02CC00C_.wvu.FilterData" localSheetId="0" hidden="1">COEM_Package_20200302!$P$2:$P$180</definedName>
    <definedName name="Z_72A6EB0A_84D5_4B8A_AC51_54CCD061630B_.wvu.Cols" localSheetId="0" hidden="1">COEM_Package_20200302!$M:$N</definedName>
    <definedName name="Z_72A6EB0A_84D5_4B8A_AC51_54CCD061630B_.wvu.FilterData" localSheetId="0" hidden="1">COEM_Package_20200302!$B$2:$AG$164</definedName>
    <definedName name="Z_72A6EB0A_84D5_4B8A_AC51_54CCD061630B_.wvu.FilterData" localSheetId="4" hidden="1">Template!$B$2:$R$14</definedName>
    <definedName name="Z_7341A8CD_FBA6_4B2D_8E4A_3A0E9AF8C404_.wvu.FilterData" localSheetId="0" hidden="1">COEM_Package_20200302!$B$2:$AG$66</definedName>
    <definedName name="Z_740DC6B1_F8A3_42A4_9DBA_B7F4B4302024_.wvu.FilterData" localSheetId="0" hidden="1">COEM_Package_20200302!$B$2:$AF$10</definedName>
    <definedName name="Z_75EBBE3D_6BBB_4DA6_9D69_395330ADF817_.wvu.FilterData" localSheetId="0" hidden="1">COEM_Package_20200302!$B$2:$AG$66</definedName>
    <definedName name="Z_7C5EA105_2752_453D_88BA_A08BD8FF34E5_.wvu.FilterData" localSheetId="0" hidden="1">COEM_Package_20200302!$A$2:$AG$26</definedName>
    <definedName name="Z_7E0EA425_A420_4443_B9E0_CDF0AA9E5D09_.wvu.Cols" localSheetId="0" hidden="1">COEM_Package_20200302!$N:$N,COEM_Package_20200302!$P:$Q</definedName>
    <definedName name="Z_7E0EA425_A420_4443_B9E0_CDF0AA9E5D09_.wvu.FilterData" localSheetId="0" hidden="1">COEM_Package_20200302!$B$2:$AG$164</definedName>
    <definedName name="Z_7E0EA425_A420_4443_B9E0_CDF0AA9E5D09_.wvu.FilterData" localSheetId="4" hidden="1">Template!$B$2:$R$14</definedName>
    <definedName name="Z_7ECC2B8E_6A82_42F5_8AB0_4A51C54EA5EC_.wvu.Cols" localSheetId="0" hidden="1">COEM_Package_20200302!$M:$N</definedName>
    <definedName name="Z_7ECC2B8E_6A82_42F5_8AB0_4A51C54EA5EC_.wvu.FilterData" localSheetId="0" hidden="1">COEM_Package_20200302!$P$2:$P$180</definedName>
    <definedName name="Z_7ECC2B8E_6A82_42F5_8AB0_4A51C54EA5EC_.wvu.FilterData" localSheetId="4" hidden="1">Template!$B$2:$R$14</definedName>
    <definedName name="Z_839DFCBD_B2E4_4623_A615_58494692EC74_.wvu.FilterData" localSheetId="0" hidden="1">COEM_Package_20200302!$P$2:$P$180</definedName>
    <definedName name="Z_906FB9A6_0BB7_413C_A628_192CC46EA33D_.wvu.FilterData" localSheetId="0" hidden="1">COEM_Package_20200302!$A$2:$AG$164</definedName>
    <definedName name="Z_925FB698_D7FE_42C7_AA05_C2908FECE4B8_.wvu.FilterData" localSheetId="0" hidden="1">COEM_Package_20200302!$A$2:$AG$26</definedName>
    <definedName name="Z_9AFC86BF_9493_4ED5_8763_E5A763C0997C_.wvu.FilterData" localSheetId="0" hidden="1">COEM_Package_20200302!$P$2:$P$180</definedName>
    <definedName name="Z_9BBC5FBB_CEC7_4B7E_8FC1_DC9F240B7B1A_.wvu.FilterData" localSheetId="0" hidden="1">COEM_Package_20200302!$B$2:$AF$160</definedName>
    <definedName name="Z_9ED4B296_E9A0_43D8_A56B_F4D7CC736352_.wvu.FilterData" localSheetId="0" hidden="1">COEM_Package_20200302!$B$2:$AF$10</definedName>
    <definedName name="Z_A239C479_B2DC_4DCA_A930_634A835634B0_.wvu.FilterData" localSheetId="0" hidden="1">COEM_Package_20200302!$B$2:$AF$160</definedName>
    <definedName name="Z_A51EBE84_CBC8_46F9_AE0C_B070690415D4_.wvu.FilterData" localSheetId="0" hidden="1">COEM_Package_20200302!$P$2:$P$180</definedName>
    <definedName name="Z_ACD49FC7_935A_41EE_92F2_C7EE22A85C5A_.wvu.FilterData" localSheetId="0" hidden="1">COEM_Package_20200302!$A$2:$AG$164</definedName>
    <definedName name="Z_B156AFFA_16DF_4425_86DA_8148471DAEFC_.wvu.FilterData" localSheetId="0" hidden="1">COEM_Package_20200302!$B$2:$AG$66</definedName>
    <definedName name="Z_B90DB7C2_E51D_4CF2_8FD5_1F2A71149B77_.wvu.FilterData" localSheetId="0" hidden="1">COEM_Package_20200302!$B$2:$AG$26</definedName>
    <definedName name="Z_BA1EA899_A67B_4AE0_83A4_B82D05331D8F_.wvu.FilterData" localSheetId="0" hidden="1">COEM_Package_20200302!$P$2:$P$180</definedName>
    <definedName name="Z_BBAE6BD0_8958_494E_83AF_3471AF879750_.wvu.FilterData" localSheetId="0" hidden="1">COEM_Package_20200302!$B$2:$AF$66</definedName>
    <definedName name="Z_BF6030AA_D1CA_4D5C_8CFB_69427E72B945_.wvu.FilterData" localSheetId="0" hidden="1">COEM_Package_20200302!$B$2:$AG$164</definedName>
    <definedName name="Z_C2903E39_3C94_4EB6_A3CC_96D0BE27A109_.wvu.FilterData" localSheetId="0" hidden="1">COEM_Package_20200302!$A$2:$AG$26</definedName>
    <definedName name="Z_C4BC5062_8F38_4A96_A004_5659583461FE_.wvu.FilterData" localSheetId="0" hidden="1">COEM_Package_20200302!$A$2:$AG$26</definedName>
    <definedName name="Z_C81A18B8_F373_4EA5_8BEE_9CCD78D9B614_.wvu.FilterData" localSheetId="0" hidden="1">COEM_Package_20200302!$A$2:$AG$164</definedName>
    <definedName name="Z_CB28C596_9F9E_494B_B56D_ECD6004C6E89_.wvu.FilterData" localSheetId="0" hidden="1">COEM_Package_20200302!$A$2:$AG$164</definedName>
    <definedName name="Z_CF7D8FA3_D125_4EB9_A053_2F4A0FE3836A_.wvu.FilterData" localSheetId="0" hidden="1">COEM_Package_20200302!$A$2:$AG$164</definedName>
    <definedName name="Z_D1CE1C7B_C5EA_487A_B174_370E881055E2_.wvu.Cols" localSheetId="0" hidden="1">COEM_Package_20200302!$N:$N,COEM_Package_20200302!$P:$Q</definedName>
    <definedName name="Z_D1CE1C7B_C5EA_487A_B174_370E881055E2_.wvu.FilterData" localSheetId="0" hidden="1">COEM_Package_20200302!$B$2:$AG$164</definedName>
    <definedName name="Z_D1CE1C7B_C5EA_487A_B174_370E881055E2_.wvu.FilterData" localSheetId="4" hidden="1">Template!$B$2:$R$14</definedName>
    <definedName name="Z_D5F9A537_3EF6_4FA9_94D8_ABB431F3ED7F_.wvu.FilterData" localSheetId="0" hidden="1">COEM_Package_20200302!$P$2:$P$180</definedName>
    <definedName name="Z_D64A1F39_2F26_414B_BFD8_5E15BACEFD82_.wvu.FilterData" localSheetId="0" hidden="1">COEM_Package_20200302!$A$2:$AG$26</definedName>
    <definedName name="Z_DAD7BB38_0E1F_419E_B884_7AE8DE7DB88D_.wvu.FilterData" localSheetId="0" hidden="1">COEM_Package_20200302!$B$2:$AG$66</definedName>
    <definedName name="Z_DDF827EC_E1F1_48B8_B7DB_C164C61411CF_.wvu.FilterData" localSheetId="0" hidden="1">COEM_Package_20200302!$A$2:$AG$164</definedName>
    <definedName name="Z_E37D5B95_51DD_42C5_B085_60C100330042_.wvu.FilterData" localSheetId="0" hidden="1">COEM_Package_20200302!$A$2:$AG$164</definedName>
    <definedName name="Z_E812050A_1B97_4FAB_80D7_B16A7EC3293F_.wvu.FilterData" localSheetId="0" hidden="1">COEM_Package_20200302!$A$2:$AG$164</definedName>
    <definedName name="Z_E8991E61_6D05_4C3B_B928_FD787FF86F58_.wvu.FilterData" localSheetId="0" hidden="1">COEM_Package_20200302!$P$2:$P$180</definedName>
    <definedName name="Z_EC0B8CCD_915D_49CD_ACCB_A918B8A65D1A_.wvu.FilterData" localSheetId="0" hidden="1">COEM_Package_20200302!$A$2:$AG$26</definedName>
    <definedName name="Z_F93920D1_8A54_4156_8F64_4987EBB7BAC5_.wvu.FilterData" localSheetId="0" hidden="1">COEM_Package_20200302!$A$2:$AG$26</definedName>
  </definedNames>
  <calcPr calcId="191029"/>
  <customWorkbookViews>
    <customWorkbookView name="Nguyen Trung Hieu - Personal View" guid="{D1CE1C7B-C5EA-487A-B174-370E881055E2}" mergeInterval="0" personalView="1" maximized="1" xWindow="-11" yWindow="-11" windowWidth="1942" windowHeight="1042" activeSheetId="2"/>
    <customWorkbookView name="EXTERNAL Nguyen Kim Thanh (Ban Vien, RBVH/EPS45) - Personal View" guid="{4E06BDBF-2CED-473B-850B-2A6C7311FF41}" mergeInterval="0" personalView="1" maximized="1" xWindow="-8" yWindow="-8" windowWidth="1936" windowHeight="1176" activeSheetId="1"/>
    <customWorkbookView name="EXTERNAL Nguyen Tai Hau (Ban Vien, RBVH/EPS45) - Personal View" guid="{7ECC2B8E-6A82-42F5-8AB0-4A51C54EA5EC}" mergeInterval="0" personalView="1" maximized="1" xWindow="-8" yWindow="-8" windowWidth="1936" windowHeight="1176" tabRatio="428" activeSheetId="1"/>
    <customWorkbookView name="EXTERNAL Nguyen Trung Hieu (Ban Vien, RBVH/EPS45) - Personal View" guid="{250915DF-0B97-45D7-B29D-7EED4C89C1C1}" mergeInterval="0" personalView="1" maximized="1" xWindow="-8" yWindow="-8" windowWidth="1936" windowHeight="1176" activeSheetId="1"/>
    <customWorkbookView name="EXTERNAL Ly Chung (Ban Vien, RBVH/EPS45) - Personal View" guid="{60D2C030-4E31-4E07-8E1C-44D2EE84B177}" mergeInterval="0" personalView="1" maximized="1" xWindow="-8" yWindow="-8" windowWidth="1936" windowHeight="1186" tabRatio="428" activeSheetId="1"/>
    <customWorkbookView name="EXTERNAL Do Phu Loc (Ban Vien, RBVH/EPS45) - Personal View" guid="{72A6EB0A-84D5-4B8A-AC51-54CCD061630B}" mergeInterval="0" personalView="1" maximized="1" xWindow="-8" yWindow="-8" windowWidth="1936" windowHeight="1176" tabRatio="460" activeSheetId="1"/>
    <customWorkbookView name="EXTERNAL Nguyen Tuan Duong (Ban Vien, RBVH/EPS45) - Personal View" guid="{7E0EA425-A420-4443-B9E0-CDF0AA9E5D09}" mergeInterval="0" personalView="1" maximized="1" xWindow="-8" yWindow="-8" windowWidth="1936" windowHeight="1135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" i="8" l="1"/>
  <c r="H19" i="8"/>
  <c r="U128" i="1"/>
  <c r="K10" i="8"/>
  <c r="J10" i="8"/>
  <c r="U107" i="1"/>
  <c r="U106" i="1"/>
  <c r="U105" i="1"/>
  <c r="U104" i="1"/>
  <c r="U103" i="1"/>
  <c r="K19" i="8"/>
  <c r="U108" i="1"/>
  <c r="U109" i="1"/>
  <c r="U111" i="1"/>
  <c r="U112" i="1"/>
  <c r="U113" i="1"/>
  <c r="U114" i="1"/>
  <c r="U115" i="1"/>
  <c r="U117" i="1"/>
  <c r="J19" i="8"/>
  <c r="F14" i="8" s="1"/>
  <c r="K28" i="8"/>
  <c r="J28" i="8"/>
  <c r="U122" i="1"/>
  <c r="L28" i="8"/>
  <c r="L19" i="8"/>
  <c r="L10" i="8"/>
  <c r="F7" i="8"/>
  <c r="F5" i="8"/>
  <c r="U152" i="1"/>
  <c r="F16" i="8" l="1"/>
  <c r="F25" i="8"/>
  <c r="F23" i="8"/>
  <c r="F188" i="1" l="1"/>
  <c r="U118" i="1"/>
  <c r="U119" i="1"/>
  <c r="L138" i="1" l="1"/>
  <c r="L137" i="1"/>
  <c r="L136" i="1"/>
  <c r="L135" i="1"/>
  <c r="L134" i="1"/>
  <c r="L133" i="1"/>
  <c r="U141" i="1"/>
  <c r="U120" i="1" l="1"/>
  <c r="U121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77" i="1"/>
  <c r="U76" i="1"/>
  <c r="U71" i="1"/>
  <c r="U70" i="1"/>
  <c r="U69" i="1"/>
  <c r="U68" i="1"/>
  <c r="U67" i="1"/>
  <c r="U66" i="1"/>
  <c r="U65" i="1"/>
  <c r="U64" i="1"/>
  <c r="U63" i="1"/>
  <c r="U62" i="1"/>
  <c r="U61" i="1"/>
  <c r="U60" i="1"/>
  <c r="U58" i="1"/>
  <c r="U56" i="1"/>
  <c r="U55" i="1"/>
  <c r="U54" i="1"/>
  <c r="U53" i="1"/>
  <c r="U52" i="1"/>
  <c r="U50" i="1"/>
  <c r="U49" i="1"/>
  <c r="U48" i="1"/>
  <c r="U43" i="1"/>
  <c r="U42" i="1"/>
  <c r="U41" i="1"/>
  <c r="U40" i="1"/>
  <c r="U39" i="1"/>
  <c r="U38" i="1"/>
  <c r="U37" i="1"/>
  <c r="U36" i="1"/>
  <c r="U35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6" i="1"/>
  <c r="U14" i="1"/>
  <c r="U13" i="1"/>
  <c r="U12" i="1"/>
  <c r="U11" i="1"/>
  <c r="U9" i="1"/>
  <c r="U8" i="1"/>
  <c r="U7" i="1"/>
  <c r="U6" i="1"/>
  <c r="L151" i="1" l="1"/>
  <c r="L147" i="1" l="1"/>
  <c r="L148" i="1"/>
  <c r="L149" i="1"/>
  <c r="L150" i="1"/>
  <c r="E177" i="1" l="1"/>
  <c r="E12" i="2" s="1"/>
  <c r="L139" i="1" l="1"/>
  <c r="L140" i="1"/>
  <c r="L141" i="1"/>
  <c r="L142" i="1"/>
  <c r="L143" i="1"/>
  <c r="L144" i="1"/>
  <c r="L145" i="1"/>
  <c r="L146" i="1"/>
  <c r="E168" i="1"/>
  <c r="F12" i="2" s="1"/>
  <c r="L132" i="1"/>
  <c r="L131" i="1"/>
  <c r="L130" i="1"/>
  <c r="L129" i="1"/>
  <c r="E169" i="1" l="1"/>
  <c r="F13" i="2" s="1"/>
  <c r="E170" i="1"/>
  <c r="F14" i="2" s="1"/>
  <c r="E171" i="1"/>
  <c r="E172" i="1"/>
  <c r="F8" i="2" s="1"/>
  <c r="E186" i="1"/>
  <c r="E178" i="1"/>
  <c r="E13" i="2" s="1"/>
  <c r="E179" i="1"/>
  <c r="E14" i="2" s="1"/>
  <c r="D168" i="1"/>
  <c r="D169" i="1"/>
  <c r="D170" i="1"/>
  <c r="D171" i="1"/>
  <c r="D172" i="1"/>
  <c r="E8" i="2" s="1"/>
  <c r="D177" i="1"/>
  <c r="D178" i="1"/>
  <c r="D179" i="1"/>
  <c r="D181" i="1"/>
  <c r="E7" i="2" s="1"/>
  <c r="D188" i="1" l="1"/>
  <c r="E187" i="1"/>
  <c r="D186" i="1"/>
  <c r="E188" i="1"/>
  <c r="D187" i="1"/>
  <c r="F181" i="1"/>
  <c r="S116" i="1"/>
  <c r="U116" i="1" s="1"/>
  <c r="S110" i="1"/>
  <c r="U110" i="1" s="1"/>
  <c r="S84" i="1"/>
  <c r="S83" i="1"/>
  <c r="S82" i="1"/>
  <c r="S81" i="1"/>
  <c r="S80" i="1"/>
  <c r="S79" i="1"/>
  <c r="S78" i="1"/>
  <c r="S75" i="1"/>
  <c r="S74" i="1"/>
  <c r="S73" i="1"/>
  <c r="S72" i="1"/>
  <c r="S59" i="1"/>
  <c r="S57" i="1"/>
  <c r="S51" i="1"/>
  <c r="S47" i="1"/>
  <c r="S46" i="1"/>
  <c r="S45" i="1"/>
  <c r="S44" i="1"/>
  <c r="S34" i="1"/>
  <c r="S33" i="1"/>
  <c r="S32" i="1"/>
  <c r="S31" i="1"/>
  <c r="S23" i="1"/>
  <c r="S15" i="1"/>
  <c r="S10" i="1"/>
  <c r="F186" i="1"/>
  <c r="L118" i="1"/>
  <c r="L119" i="1"/>
  <c r="L120" i="1"/>
  <c r="L121" i="1"/>
  <c r="L122" i="1"/>
  <c r="T15" i="1" l="1"/>
  <c r="U15" i="1"/>
  <c r="T81" i="1"/>
  <c r="U81" i="1"/>
  <c r="T23" i="1"/>
  <c r="U23" i="1"/>
  <c r="T34" i="1"/>
  <c r="U34" i="1"/>
  <c r="T47" i="1"/>
  <c r="U47" i="1"/>
  <c r="T72" i="1"/>
  <c r="U72" i="1"/>
  <c r="T78" i="1"/>
  <c r="U78" i="1"/>
  <c r="T82" i="1"/>
  <c r="U82" i="1"/>
  <c r="T116" i="1"/>
  <c r="T33" i="1"/>
  <c r="U33" i="1"/>
  <c r="T46" i="1"/>
  <c r="U46" i="1"/>
  <c r="T59" i="1"/>
  <c r="U59" i="1"/>
  <c r="T75" i="1"/>
  <c r="U75" i="1"/>
  <c r="T110" i="1"/>
  <c r="T31" i="1"/>
  <c r="U31" i="1"/>
  <c r="T44" i="1"/>
  <c r="U44" i="1"/>
  <c r="T51" i="1"/>
  <c r="U51" i="1"/>
  <c r="T73" i="1"/>
  <c r="U73" i="1"/>
  <c r="T79" i="1"/>
  <c r="U79" i="1"/>
  <c r="T83" i="1"/>
  <c r="U83" i="1"/>
  <c r="T10" i="1"/>
  <c r="U10" i="1"/>
  <c r="T32" i="1"/>
  <c r="U32" i="1"/>
  <c r="T45" i="1"/>
  <c r="U45" i="1"/>
  <c r="T57" i="1"/>
  <c r="U57" i="1"/>
  <c r="T74" i="1"/>
  <c r="U74" i="1"/>
  <c r="T80" i="1"/>
  <c r="U80" i="1"/>
  <c r="T84" i="1"/>
  <c r="U84" i="1"/>
  <c r="E180" i="1"/>
  <c r="T6" i="1"/>
  <c r="D180" i="1"/>
  <c r="D189" i="1" s="1"/>
  <c r="F187" i="1"/>
  <c r="E189" i="1" l="1"/>
  <c r="E15" i="2"/>
  <c r="E181" i="1"/>
  <c r="F7" i="2" s="1"/>
  <c r="F180" i="1"/>
  <c r="F179" i="1"/>
  <c r="F178" i="1"/>
  <c r="F177" i="1"/>
  <c r="D34" i="2" l="1"/>
  <c r="D35" i="2"/>
  <c r="D36" i="2"/>
  <c r="D33" i="2"/>
  <c r="D13" i="2"/>
  <c r="D14" i="2"/>
  <c r="D15" i="2"/>
  <c r="D12" i="2"/>
  <c r="F172" i="1"/>
  <c r="F168" i="1"/>
  <c r="D193" i="1" s="1"/>
  <c r="E193" i="1" s="1"/>
  <c r="F170" i="1"/>
  <c r="D195" i="1" s="1"/>
  <c r="E195" i="1" s="1"/>
  <c r="G7" i="2" l="1"/>
  <c r="H172" i="1"/>
  <c r="H181" i="1"/>
  <c r="G8" i="2"/>
  <c r="G172" i="1"/>
  <c r="G181" i="1"/>
  <c r="F189" i="1"/>
  <c r="F171" i="1"/>
  <c r="D196" i="1" s="1"/>
  <c r="E196" i="1" s="1"/>
  <c r="F169" i="1"/>
  <c r="D194" i="1" s="1"/>
  <c r="E194" i="1" s="1"/>
  <c r="D197" i="1" l="1"/>
  <c r="E197" i="1" s="1"/>
  <c r="G186" i="1"/>
  <c r="G187" i="1"/>
  <c r="G188" i="1" l="1"/>
  <c r="L103" i="1" l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B167" i="3" l="1"/>
  <c r="B166" i="3"/>
  <c r="B165" i="3"/>
  <c r="B164" i="3"/>
  <c r="B163" i="3"/>
  <c r="B162" i="3"/>
  <c r="B161" i="3"/>
  <c r="B160" i="3"/>
  <c r="B155" i="3"/>
  <c r="B154" i="3"/>
  <c r="B153" i="3"/>
  <c r="B152" i="3"/>
  <c r="B151" i="3"/>
  <c r="B150" i="3"/>
  <c r="B149" i="3"/>
  <c r="B148" i="3"/>
  <c r="A167" i="3"/>
  <c r="A166" i="3"/>
  <c r="A165" i="3"/>
  <c r="A164" i="3"/>
  <c r="A163" i="3"/>
  <c r="A162" i="3"/>
  <c r="A161" i="3"/>
  <c r="A160" i="3"/>
  <c r="A155" i="3"/>
  <c r="A154" i="3"/>
  <c r="A153" i="3"/>
  <c r="A152" i="3"/>
  <c r="A151" i="3"/>
  <c r="A150" i="3"/>
  <c r="A149" i="3"/>
  <c r="A148" i="3"/>
  <c r="L89" i="1" l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74" i="1" l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67" i="1"/>
  <c r="L68" i="1"/>
  <c r="L69" i="1"/>
  <c r="L70" i="1"/>
  <c r="L71" i="1"/>
  <c r="L72" i="1"/>
  <c r="L7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l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8" i="1" l="1"/>
  <c r="B127" i="1"/>
  <c r="B129" i="1" s="1"/>
  <c r="B130" i="1" s="1"/>
  <c r="B131" i="1" s="1"/>
  <c r="B132" i="1" s="1"/>
  <c r="L20" i="1"/>
  <c r="L21" i="1"/>
  <c r="L22" i="1"/>
  <c r="L23" i="1"/>
  <c r="L24" i="1"/>
  <c r="L25" i="1"/>
  <c r="B133" i="1" l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G180" i="1"/>
  <c r="L66" i="1" l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L5" i="1"/>
  <c r="L4" i="1"/>
  <c r="L3" i="1"/>
  <c r="O3" i="5" l="1"/>
  <c r="O4" i="5"/>
  <c r="O5" i="5"/>
  <c r="O6" i="5"/>
  <c r="O7" i="5"/>
  <c r="O8" i="5"/>
  <c r="O9" i="5"/>
  <c r="O10" i="5"/>
  <c r="D19" i="5"/>
  <c r="E19" i="5"/>
  <c r="H19" i="5" s="1"/>
  <c r="F19" i="5"/>
  <c r="D20" i="5"/>
  <c r="E20" i="5"/>
  <c r="F20" i="5"/>
  <c r="D21" i="5"/>
  <c r="E21" i="5"/>
  <c r="F21" i="5"/>
  <c r="D22" i="5"/>
  <c r="E22" i="5"/>
  <c r="F22" i="5"/>
  <c r="D23" i="5"/>
  <c r="E23" i="5"/>
  <c r="H23" i="5" s="1"/>
  <c r="F23" i="5"/>
  <c r="D24" i="5"/>
  <c r="E24" i="5"/>
  <c r="F24" i="5"/>
  <c r="D25" i="5"/>
  <c r="E25" i="5"/>
  <c r="F25" i="5"/>
  <c r="D26" i="5"/>
  <c r="H26" i="5" s="1"/>
  <c r="E26" i="5"/>
  <c r="F26" i="5"/>
  <c r="D27" i="5"/>
  <c r="E27" i="5"/>
  <c r="H27" i="5" s="1"/>
  <c r="F27" i="5"/>
  <c r="D28" i="5"/>
  <c r="E28" i="5"/>
  <c r="F28" i="5"/>
  <c r="D29" i="5"/>
  <c r="E29" i="5"/>
  <c r="F29" i="5"/>
  <c r="D30" i="5"/>
  <c r="E30" i="5"/>
  <c r="F30" i="5"/>
  <c r="D36" i="5"/>
  <c r="E36" i="5"/>
  <c r="H36" i="5" s="1"/>
  <c r="F36" i="5"/>
  <c r="D37" i="5"/>
  <c r="E37" i="5"/>
  <c r="F37" i="5"/>
  <c r="G37" i="5" l="1"/>
  <c r="G30" i="5"/>
  <c r="G22" i="5"/>
  <c r="G19" i="5"/>
  <c r="G28" i="5"/>
  <c r="G29" i="5"/>
  <c r="G24" i="5"/>
  <c r="H22" i="5"/>
  <c r="G36" i="5"/>
  <c r="H30" i="5"/>
  <c r="G27" i="5"/>
  <c r="G25" i="5"/>
  <c r="G20" i="5"/>
  <c r="H29" i="5"/>
  <c r="G26" i="5"/>
  <c r="G23" i="5"/>
  <c r="G21" i="5"/>
  <c r="H25" i="5"/>
  <c r="H21" i="5"/>
  <c r="H37" i="5"/>
  <c r="H28" i="5"/>
  <c r="H24" i="5"/>
  <c r="H20" i="5"/>
  <c r="G178" i="1"/>
  <c r="G179" i="1" l="1"/>
  <c r="H188" i="1" l="1"/>
  <c r="H178" i="1"/>
  <c r="H189" i="1"/>
  <c r="F15" i="2"/>
  <c r="H179" i="1"/>
  <c r="H186" i="1"/>
  <c r="H187" i="1"/>
  <c r="G189" i="1"/>
  <c r="H169" i="1"/>
  <c r="G169" i="1"/>
  <c r="H168" i="1"/>
  <c r="G168" i="1"/>
  <c r="H171" i="1"/>
  <c r="G171" i="1"/>
  <c r="H180" i="1"/>
  <c r="H177" i="1"/>
  <c r="G177" i="1"/>
  <c r="H170" i="1"/>
  <c r="G1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EXTERNAL Nguyen Tuan Duong (Ban Vien, RBVH/EPS45)</author>
  </authors>
  <commentList>
    <comment ref="A27" authorId="0" guid="{FDA402DF-2C9E-4CAF-A915-58C9185E003A}" shapeId="0" xr:uid="{00000000-0006-0000-0000-000001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Purple must be complete before 11-03
</t>
        </r>
      </text>
    </comment>
    <comment ref="I27" authorId="0" guid="{7EE9DC19-1016-46DE-8BE2-3130D62EDD67}" shapeId="0" xr:uid="{00000000-0006-0000-0000-000002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run Tool Auto Comment to generate header and add cmt in section "Test Goal"
</t>
        </r>
      </text>
    </comment>
    <comment ref="K69" authorId="0" guid="{9E98D8F5-1D91-4716-99DD-1FC3BABA2ADA}" shapeId="0" xr:uid="{00000000-0006-0000-0000-000003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\\hc-ut40745c\Ban_Vien_external\DB\05-march 
</t>
        </r>
      </text>
    </comment>
    <comment ref="A74" authorId="0" guid="{A2662913-535E-4E71-89BB-6A3E5669EA94}" shapeId="0" xr:uid="{00000000-0006-0000-0000-000004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Yellow must be complete before 12-03
</t>
        </r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4" authorId="0" guid="{C207DAE2-6DE3-49C2-BA9E-834311A59297}" shapeId="0" xr:uid="{00000000-0006-0000-0000-000005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\\hc-ut40745c\Ban_Vien_external\DB\04-march
</t>
        </r>
      </text>
    </comment>
    <comment ref="I76" authorId="0" guid="{A3A0BBC4-800B-400B-8ED3-526E4537FEB3}" shapeId="0" xr:uid="{00000000-0006-0000-0000-000006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use "Auto Comment"
</t>
        </r>
      </text>
    </comment>
    <comment ref="A89" authorId="0" guid="{16CB9283-FB38-4534-8E58-1DC3168BC104}" shapeId="0" xr:uid="{00000000-0006-0000-0000-000007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Orange must be complete before 13_Mar
</t>
        </r>
      </text>
    </comment>
    <comment ref="B103" authorId="0" guid="{990D99C1-8A90-4C70-89E7-CAD518908566}" shapeId="0" xr:uid="{00000000-0006-0000-0000-000008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17_Mar
</t>
        </r>
      </text>
    </comment>
    <comment ref="A118" authorId="0" guid="{B0D6B8CC-3604-46AE-AFFD-CA644EC8AF8D}" shapeId="0" xr:uid="{00000000-0006-0000-0000-000009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18_Mar</t>
        </r>
      </text>
    </comment>
    <comment ref="A123" authorId="0" guid="{FEBECE99-52F3-4578-8873-BC824C643D54}" shapeId="0" xr:uid="{00000000-0006-0000-0000-00000A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20_Mar
</t>
        </r>
      </text>
    </comment>
    <comment ref="A133" authorId="0" guid="{5CC175EB-02D8-4662-856F-1C792DECC823}" shapeId="0" xr:uid="{00000000-0006-0000-0000-00000B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25_Mar
</t>
        </r>
      </text>
    </comment>
    <comment ref="A147" authorId="0" guid="{C0BF41C0-2465-4635-BB85-3D99468F0EE3}" shapeId="0" xr:uid="{00000000-0006-0000-0000-00000C000000}">
      <text>
        <r>
          <rPr>
            <b/>
            <sz val="9"/>
            <color indexed="81"/>
            <rFont val="Tahoma"/>
            <family val="2"/>
          </rPr>
          <t>EXTERNAL Nguyen Tuan Duong (Ban Vien, RBVH/EPS45):</t>
        </r>
        <r>
          <rPr>
            <sz val="9"/>
            <color indexed="81"/>
            <rFont val="Tahoma"/>
            <family val="2"/>
          </rPr>
          <t xml:space="preserve">
Must be complete before 26_Mar</t>
        </r>
      </text>
    </comment>
  </commentList>
</comments>
</file>

<file path=xl/sharedStrings.xml><?xml version="1.0" encoding="utf-8"?>
<sst xmlns="http://schemas.openxmlformats.org/spreadsheetml/2006/main" count="2414" uniqueCount="509">
  <si>
    <t>No</t>
  </si>
  <si>
    <t>Type</t>
  </si>
  <si>
    <t>ASW</t>
  </si>
  <si>
    <t>PSW</t>
  </si>
  <si>
    <t>No\Type</t>
  </si>
  <si>
    <t>Member</t>
  </si>
  <si>
    <t>hieu.nguyen-trung</t>
  </si>
  <si>
    <t>duong.nguyen-tuan</t>
  </si>
  <si>
    <t>TaskGroup</t>
  </si>
  <si>
    <t>Tester</t>
  </si>
  <si>
    <t>1. Test Design (.xls)
2. Plot File (.plt)
3. ATT project
4. Coverage Log</t>
  </si>
  <si>
    <t>1. TPA file (.tpa)
2. test report (.html)
3. test report (.xml)
4. test summary (.html)
5. File Coverage Fail Reason (.xls)</t>
  </si>
  <si>
    <t>KPI Table</t>
  </si>
  <si>
    <t>Start</t>
  </si>
  <si>
    <t>End</t>
  </si>
  <si>
    <t>LOC</t>
  </si>
  <si>
    <t>C0</t>
  </si>
  <si>
    <t>C1</t>
  </si>
  <si>
    <t>MCDC</t>
  </si>
  <si>
    <t>Reason</t>
  </si>
  <si>
    <t>Status</t>
  </si>
  <si>
    <t>Ready for review</t>
  </si>
  <si>
    <t>Status Table</t>
  </si>
  <si>
    <t>N/A</t>
  </si>
  <si>
    <t>Ready for PLC</t>
  </si>
  <si>
    <t>KPI/days</t>
  </si>
  <si>
    <t>Total Day</t>
  </si>
  <si>
    <t>Ongoing</t>
  </si>
  <si>
    <t>Total Loc Assigned</t>
  </si>
  <si>
    <t>Total LOC Complete</t>
  </si>
  <si>
    <t>Status (%)</t>
  </si>
  <si>
    <t>#</t>
  </si>
  <si>
    <t>Types</t>
  </si>
  <si>
    <t>Assigned ELOCs</t>
  </si>
  <si>
    <t>Completed ELOCs</t>
  </si>
  <si>
    <t>Status (%)
(Completed/Assigned)</t>
  </si>
  <si>
    <t>Total Days</t>
  </si>
  <si>
    <t>External Name</t>
  </si>
  <si>
    <t>PSW
ELOCs</t>
  </si>
  <si>
    <t>ASW
ELOCs</t>
  </si>
  <si>
    <t>1. Completed ELOCs of the team from the beginning of Month (Mar) till Now:</t>
  </si>
  <si>
    <t>2. Completed ELOCs of each member from the beginning of Month (Mar) till Now:</t>
  </si>
  <si>
    <t>3. Risks/ Pending Issues:</t>
  </si>
  <si>
    <t>Risks/ Issues</t>
  </si>
  <si>
    <t>4. Found Defects/ OPLs in Month (Mar):</t>
  </si>
  <si>
    <t>5. Leave Plan (Mar):</t>
  </si>
  <si>
    <t>Num of Day</t>
  </si>
  <si>
    <t>Detail</t>
  </si>
  <si>
    <t>Date</t>
  </si>
  <si>
    <t>Note:</t>
  </si>
  <si>
    <t>PSW: 450 ELOCs</t>
  </si>
  <si>
    <t>ASW: 150 ELOCs</t>
  </si>
  <si>
    <t>Productivity of each Member per Day</t>
  </si>
  <si>
    <t>Total Productivity per Month</t>
  </si>
  <si>
    <t>PSW: 450x4x20 = 36,000 ELOCs</t>
  </si>
  <si>
    <t>ASW: 130x4x20 = 10,400 ELOCs</t>
  </si>
  <si>
    <t>Table Type of Testing</t>
  </si>
  <si>
    <t>Table Tester</t>
  </si>
  <si>
    <t>Detail Output</t>
  </si>
  <si>
    <t>ATT</t>
  </si>
  <si>
    <t>Cantata</t>
  </si>
  <si>
    <t>Tool</t>
  </si>
  <si>
    <t>Table KPI ASW</t>
  </si>
  <si>
    <t>Table KPI PSW</t>
  </si>
  <si>
    <t>LOC Complete</t>
  </si>
  <si>
    <t>Actual hour</t>
  </si>
  <si>
    <t>Estimation hour</t>
  </si>
  <si>
    <t>Task Jira</t>
  </si>
  <si>
    <t>PAP_Odometry</t>
  </si>
  <si>
    <t>Project</t>
  </si>
  <si>
    <t>ComponentName</t>
  </si>
  <si>
    <t>TaskID</t>
  </si>
  <si>
    <t>ItemName</t>
  </si>
  <si>
    <t>GAC_220680_Carbon_A18_ESPHevx_FPA/RPA_BL03</t>
  </si>
  <si>
    <t>MC_227282_SGMW_E200_Plus_ESPCPiGen9.3_BSS04_SP02</t>
  </si>
  <si>
    <t>241595_GAC_A27_ESP9.3CP_BL04</t>
  </si>
  <si>
    <t>223331_GAC_A39_Carbon_ESP9.3HD_OBD_BL07</t>
  </si>
  <si>
    <t>rb\as\gaig\prj\dsmpr\src\RBVoltageHandler\src\</t>
  </si>
  <si>
    <t>rb\as\sgmw\CN210S\app\net\RBScl\RBScl_SGMW\src\</t>
  </si>
  <si>
    <t>rb\as\gaig\A10\dsmpr\src\RBHMI\src\</t>
  </si>
  <si>
    <t>rb\as\cnms_core\app\obd\ObdCyclesHandler\src\</t>
  </si>
  <si>
    <t>RBVoltageHandler_Suppression.c</t>
  </si>
  <si>
    <t>SGMW_RBA_NDS_HBCRequest_Callout.c</t>
  </si>
  <si>
    <t>RBHMI_LDMLamp_CNMS.c</t>
  </si>
  <si>
    <t>ObdCyclesHandler.c</t>
  </si>
  <si>
    <t>DFN_ESP_Gen9.3_532EC_244112_BSS01</t>
  </si>
  <si>
    <t>Planned Start</t>
  </si>
  <si>
    <t>Planned End</t>
  </si>
  <si>
    <t>-</t>
  </si>
  <si>
    <t>ItemRevision</t>
  </si>
  <si>
    <t>4.2.104.1</t>
  </si>
  <si>
    <t>MC_232534_SGMW_CN202C_ESP9.3CPi_ACC_BSS04_SP02</t>
  </si>
  <si>
    <t xml:space="preserve">RBAPLCust\src\ESP\        </t>
  </si>
  <si>
    <t>RBAPLCUST_EOLDelayCtrlOrAPBMi.c</t>
  </si>
  <si>
    <t>RBAPLCUST_RDBI_TPMS.c</t>
  </si>
  <si>
    <t xml:space="preserve">RBAPLCust\src\ESP\ </t>
  </si>
  <si>
    <t>RBAPLCUST_RoutineControl_TPMSReset.c</t>
  </si>
  <si>
    <t>Package</t>
  </si>
  <si>
    <t>hau.nguyen-tai</t>
  </si>
  <si>
    <t>bang.nguyen-duy</t>
  </si>
  <si>
    <t>dac.luu-cong</t>
  </si>
  <si>
    <t>duong.nguyen</t>
  </si>
  <si>
    <t>loc.do-phu</t>
  </si>
  <si>
    <t>thanh.nguyen-kim</t>
  </si>
  <si>
    <t>chung.ly</t>
  </si>
  <si>
    <t>GAC_Beryllium_GEN93_ESP_Mainpath_BL05</t>
  </si>
  <si>
    <t>NET_SCL_Tx_APAInformSts.c</t>
  </si>
  <si>
    <t>Database</t>
  </si>
  <si>
    <t>GAC_ESPHevX_HADHAP_Int</t>
  </si>
  <si>
    <t>SGMW_ESP93_Carbon_Int</t>
  </si>
  <si>
    <t>Gac_ESP93CP_A26HD_Int</t>
  </si>
  <si>
    <t>GAC_ESP93CP_Carbon_Int</t>
  </si>
  <si>
    <t>GAC_ESP93CP_Int</t>
  </si>
  <si>
    <t>BB</t>
  </si>
  <si>
    <t>bb99885</t>
  </si>
  <si>
    <t>BB81650 &amp; BB81651</t>
  </si>
  <si>
    <t>bb99735</t>
  </si>
  <si>
    <t>BB81261</t>
  </si>
  <si>
    <t>BYD_IPB_SW_Mainstream_BL05</t>
  </si>
  <si>
    <t>RBA_NDS_Complex_Callout.c</t>
  </si>
  <si>
    <t>GWM_ESP9.3CP_RBVH_Stream_BSS04</t>
  </si>
  <si>
    <t>RBAPLCUST_RBDI_NVMData.c</t>
  </si>
  <si>
    <t>RBAPLCUST_RDBI_PBCData.c</t>
  </si>
  <si>
    <t>NET_ATM_Callout_GWM.c</t>
  </si>
  <si>
    <t>V3.3.147305.2</t>
  </si>
  <si>
    <t>none</t>
  </si>
  <si>
    <t>BYD_IPB_BL05_Int</t>
  </si>
  <si>
    <t>GWM_CP_RBVH_Stream_Int</t>
  </si>
  <si>
    <t>Ready for delivery</t>
  </si>
  <si>
    <t>Complete &amp; Closed</t>
  </si>
  <si>
    <t>V4.2.104.1</t>
  </si>
  <si>
    <t>Actually ELOC = 294</t>
  </si>
  <si>
    <t>Actually ELOC = 183</t>
  </si>
  <si>
    <t>CNMS Super Deuterium BSS01</t>
  </si>
  <si>
    <t>RBAPLCUST_RDBI_AnalogData.c</t>
  </si>
  <si>
    <t>RBAPLCUST_RDBI_StatusInformation.c</t>
  </si>
  <si>
    <t>RBAPLCUST_RoutineControl_iBoosterActuatorTest.c</t>
  </si>
  <si>
    <t>RBAPLCUST_InputOutputControl.c</t>
  </si>
  <si>
    <t>RBAPLCUST_InputOutputControl_GeneralFunctions.c</t>
  </si>
  <si>
    <t>RBAPLCUST_RDBI_ActuationState.c</t>
  </si>
  <si>
    <t>RBAPLCUST_RDBI_CBDS.c</t>
  </si>
  <si>
    <t>RBAPLCUST_RDBI_IOCtrlState.c</t>
  </si>
  <si>
    <t>RBAPLCUST_RDBI_IPBAssemblyMode.c</t>
  </si>
  <si>
    <t>RBAPLCUST_RDBI_PBC.c</t>
  </si>
  <si>
    <t>RBAPLCUST_RDBI_SystemData.c</t>
  </si>
  <si>
    <t>RBAPLCUST_RDBI_SystemSensor.c</t>
  </si>
  <si>
    <t>RBAPLCUST_RoutineControl_INSCalibration.c</t>
  </si>
  <si>
    <t>RBAPLCUST_RoutineControl_IPBAirMonitoring.c</t>
  </si>
  <si>
    <t>RBAPLCUST_RoutineControl_IPBBrakeFluidChange.c</t>
  </si>
  <si>
    <t>RBAPLCUST_RoutineControl_IPBComfortPulseCalibration.c</t>
  </si>
  <si>
    <t>RBAPLCUST_RoutineControl_IPBDynamicTest.c</t>
  </si>
  <si>
    <t>RBAPLCUST_RoutineControl_IPBEvacAndFill.c</t>
  </si>
  <si>
    <t>RBAPLCUST_RoutineControl_IPBLeakageAndAirTest.c</t>
  </si>
  <si>
    <t>RBAPLCUST_RoutineControl_IPBRepairBleed.c</t>
  </si>
  <si>
    <t>RBAPLCUST_RoutineControl_IPBRPSCalibration.c</t>
  </si>
  <si>
    <t>RBAPLCUST_RoutineControl_IPBTandemMasterCylinderTest.c</t>
  </si>
  <si>
    <t>RBAPLCUST_RoutineControl_SteeringAngleSensorCalibration.c</t>
  </si>
  <si>
    <t>RBAPLCUST_RoutineControl_WheelSpeedSensorTest.c</t>
  </si>
  <si>
    <t>RBAPLCUST_WDBI_IPBAssemblyMode.c</t>
  </si>
  <si>
    <t>RBAPLCUST_RBDI_NVMData_Common.c</t>
  </si>
  <si>
    <t>RBAPLCUST_EcuReset.c</t>
  </si>
  <si>
    <t>RBAPLCUST_GeneralFunctions.c</t>
  </si>
  <si>
    <t>RBAPLCUST_NVMGeneric.c</t>
  </si>
  <si>
    <t>RBAPLCUST_RDBI_VehicleSpeed.c</t>
  </si>
  <si>
    <t>RBAPLCUST_RDBI_WheelSpeed.c</t>
  </si>
  <si>
    <t>RBAPLCUST_RoutineControl_EOLTable.c</t>
  </si>
  <si>
    <t>RBAPLCUST_RoutineControl_SpeedLimit.c</t>
  </si>
  <si>
    <t>RBAPLCUST_RoutineControl_VRShutdown.c</t>
  </si>
  <si>
    <t>RBAPLCUST_WDBI_NVMData_ESP.c</t>
  </si>
  <si>
    <t>RBAPLCUST_RBDI_NVMData_ESP.c</t>
  </si>
  <si>
    <t>rb\as\cnms_core\app\dcom\RBAPLCust\src\IPB</t>
  </si>
  <si>
    <t>rb\as\gaig\prj\dsmpr\src\RBVoltageHandler\src</t>
  </si>
  <si>
    <t>rb\as\sgmw\CN210S\app\net\RBScl\RBScl_SGMW\src</t>
  </si>
  <si>
    <t>rb\as\gaig\A10\dsmpr\src\RBHMI\src</t>
  </si>
  <si>
    <t>rb\as\cnms_core\app\obd\ObdCyclesHandler\src</t>
  </si>
  <si>
    <t>rb\as\cnms_core\app\net\scl\LDMFunctions\APA\src</t>
  </si>
  <si>
    <t>ELOC Assigned</t>
  </si>
  <si>
    <t>ELOC Recheck With Tool</t>
  </si>
  <si>
    <r>
      <t>Wrong extension C "RBHMI_LDMLamp_CNMS</t>
    </r>
    <r>
      <rPr>
        <sz val="11"/>
        <color rgb="FFFF0000"/>
        <rFont val="Calibri"/>
        <family val="2"/>
        <scheme val="minor"/>
      </rPr>
      <t>.C</t>
    </r>
    <r>
      <rPr>
        <sz val="11"/>
        <color theme="1"/>
        <rFont val="Calibri"/>
        <family val="2"/>
        <scheme val="minor"/>
      </rPr>
      <t>"</t>
    </r>
  </si>
  <si>
    <t>Bug (Condition is always TRUE)</t>
  </si>
  <si>
    <t>Status Result</t>
  </si>
  <si>
    <t>NG</t>
  </si>
  <si>
    <t>OK</t>
  </si>
  <si>
    <t>Bug (Condition is always TRUE) so can not cover MCDC.</t>
  </si>
  <si>
    <t>CNMS_Deuterium_Int</t>
  </si>
  <si>
    <t>Yes</t>
  </si>
  <si>
    <t>PeerReviewer</t>
  </si>
  <si>
    <t>Estimation base TOOL</t>
  </si>
  <si>
    <t>Owner Contact</t>
  </si>
  <si>
    <t>Remark</t>
  </si>
  <si>
    <t>Please ensure your push correct the Package name with the TaskGroup</t>
  </si>
  <si>
    <t xml:space="preserve">+ Location for delivery to internal team: </t>
  </si>
  <si>
    <t>Location</t>
  </si>
  <si>
    <t>\\hc-ut40745c\Ban_Vien_external\Release\Gen_9.3</t>
  </si>
  <si>
    <t>+ Location Internal Project:</t>
  </si>
  <si>
    <t>\\hc-ut40346c\NHI5HC\hieunguyen\0000_Project</t>
  </si>
  <si>
    <t>\\hc-ut40346c\NHI5HC\hieunguyen\0000_Project\001_Prj\01_COEM\01_Output_Package</t>
  </si>
  <si>
    <t>+ Location Internal Your Output:</t>
  </si>
  <si>
    <t>+ Location Internal Your Release Output:</t>
  </si>
  <si>
    <t>\\hc-ut40346c\NHI5HC\hieunguyen\0000_Project\001_Prj\01_COEM\02_Release_Package</t>
  </si>
  <si>
    <t>Status Review</t>
  </si>
  <si>
    <t>Tool collect 148 ELOC, but the real is 357</t>
  </si>
  <si>
    <t>Got 1 findings</t>
  </si>
  <si>
    <t>rb\as\gwm\core\app\dcom\RBAPLCust\src</t>
  </si>
  <si>
    <t>rb\as\gwm\core\app\net\scl\Callout\src\ATMwithoutSportPlus</t>
  </si>
  <si>
    <t>rb\as\gwm\core\app\net\scl\Callout\src\ATMwithSportPlus</t>
  </si>
  <si>
    <t>RB_SCL_GAC_RX.c</t>
  </si>
  <si>
    <t>RB_SCL_GAC_TX.c</t>
  </si>
  <si>
    <t>NET_SCL_Tx_AEB.c</t>
  </si>
  <si>
    <t>rb\as\sgmw\core\app\dcom\RBAPLCust\src\ESP</t>
  </si>
  <si>
    <t>rb\as\gaig\A10\app\net\RBScl\RBSclGAC\src</t>
  </si>
  <si>
    <t>rb\as\cnms_core\app\net\scl\LDMFunctions\ACC\src</t>
  </si>
  <si>
    <t>Bug (Condition not occur)</t>
  </si>
  <si>
    <t>COEM process: test--&gt;review test----(feedback no finding)--&gt;generate WT----(review WT no finding)---&gt; done task
Tức là bên anh gửi UT output cho internal =&gt; Có OPL có bug =&gt; Internal review OK =&gt; Làm walkthrough =&gt; Sau đó internal review Walkthrough =&gt; Send email cho External confirm OK =&gt; Mark Done</t>
  </si>
  <si>
    <t>Pending for OPL</t>
  </si>
  <si>
    <t>rb\as\cnms_core\app\dcom\RBAPLCust\src\ESP</t>
  </si>
  <si>
    <t>Type of Comment</t>
  </si>
  <si>
    <t>Auto</t>
  </si>
  <si>
    <t>Manual</t>
  </si>
  <si>
    <t>rb\as\rbcn\core\app\dcom\RBAPLCust\src\IPB</t>
  </si>
  <si>
    <t>HDC_InvalidThrPos</t>
  </si>
  <si>
    <t>rb\as\rbcn\core\app\dcom\RBAPLCust\src\iBooster</t>
  </si>
  <si>
    <t>rb\as\cnms_core\app\dcom\RBAPLCust\src\common</t>
  </si>
  <si>
    <t>FAW_C105EV_ESPhev</t>
  </si>
  <si>
    <t>rb\as\cnms_core\app\net\scl_callout\</t>
  </si>
  <si>
    <t>RBA_NDS_ABS_3_Callout.c</t>
  </si>
  <si>
    <t>RBA_NDS_APC_1_Callout.c</t>
  </si>
  <si>
    <t>RBA_NDS_ESP_3_Callout.c</t>
  </si>
  <si>
    <t>RBA_NDS_HCU_PT_10_Callout.c</t>
  </si>
  <si>
    <t>RBA_NDS_HCU_PT_2_Callout.c</t>
  </si>
  <si>
    <t>RBA_NDS_SystemInfo.c</t>
  </si>
  <si>
    <t>FAW_Carbon_TypeF_HevX_Int</t>
  </si>
  <si>
    <t>OPL It does not impact to SW functionality.</t>
  </si>
  <si>
    <t>rb\as\BYD\ipb\app\net\RBScl\Scl_Callout\src</t>
  </si>
  <si>
    <t>Have issues with database, complexity of code</t>
  </si>
  <si>
    <t>OPL is already feedback, confirm it can be ignore</t>
  </si>
  <si>
    <t>Bug, con not cover MCDC beacause this is true case for above condition</t>
  </si>
  <si>
    <t>No code</t>
  </si>
  <si>
    <t>rb\as\core\app\asw\apbmi\host\PDM\APBPbcVariantItem_C\SRC\</t>
  </si>
  <si>
    <t>\rb\as\sgmw\CN210S\app\net\RbNetPrj\RBNet_Can\src\</t>
  </si>
  <si>
    <t xml:space="preserve">\rb\as\sgmw\CN210S\app\net\RBScl\RBScl_SGMW\src\  </t>
  </si>
  <si>
    <t>\rb\as\sgmw\CN210S\app\net\RBScl\RBScl_SGMW\src\</t>
  </si>
  <si>
    <r>
      <t>MC_</t>
    </r>
    <r>
      <rPr>
        <b/>
        <sz val="11"/>
        <color rgb="FFFF0000"/>
        <rFont val="Calibri"/>
        <family val="2"/>
        <scheme val="minor"/>
      </rPr>
      <t>227282</t>
    </r>
    <r>
      <rPr>
        <sz val="11"/>
        <color theme="1"/>
        <rFont val="Calibri"/>
        <family val="2"/>
        <scheme val="minor"/>
      </rPr>
      <t>_SGMW_E200_Plus_ESPCPiGen9.3_BSS04_SP02</t>
    </r>
  </si>
  <si>
    <t>PbcVariantItem_PersistentData.c</t>
  </si>
  <si>
    <t>NET_CheckSumLib_CNMS.c</t>
  </si>
  <si>
    <t>NET_SCL_Tx_SGMW_AyCompensationExport.c</t>
  </si>
  <si>
    <t>NET_SCL_Tx_SGMW_TPMF.c</t>
  </si>
  <si>
    <t>SGMW_RBA_NDS_Belt_Door_Callout.c</t>
  </si>
  <si>
    <t>SGMW_RBA_NDS_SystemInfo_Callout.c</t>
  </si>
  <si>
    <t>225378_FAW_D357_High_BL31</t>
  </si>
  <si>
    <t>TPMS_Handler_COMMON_CN.c</t>
  </si>
  <si>
    <t>TPMS_NvM_COMMON_CN.c</t>
  </si>
  <si>
    <t>TPMS_PSW_Interface_COMMON_CN.c</t>
  </si>
  <si>
    <t>Dem_PrjSpecificIndiHandling.c</t>
  </si>
  <si>
    <t>ApbHostData_Project.c</t>
  </si>
  <si>
    <t>NET_AliveCounterLib_CNMS.c</t>
  </si>
  <si>
    <t>NET_ChecksumLib_CNMS_Crc1850.c</t>
  </si>
  <si>
    <t>NET_MonitoringClasses_F30.c</t>
  </si>
  <si>
    <t>Obd_CalId.c</t>
  </si>
  <si>
    <t>EcuM_stub.c</t>
  </si>
  <si>
    <t>RBPduHandler_Callouts.c</t>
  </si>
  <si>
    <t>TestEnvironment_Fee_EV711101.c</t>
  </si>
  <si>
    <t>CNMS_Var_DcmRead.c</t>
  </si>
  <si>
    <t>CNMS_Var_Global.c</t>
  </si>
  <si>
    <t>FAW_MainPath_V2.0_Int</t>
  </si>
  <si>
    <t>rb\as\fawMP\fawcore\app\tpms\MW\Common\src\</t>
  </si>
  <si>
    <t xml:space="preserve">rb\as\fawMP\fawcore\app\dsm\RBWarningIndicator\src\              </t>
  </si>
  <si>
    <t xml:space="preserve">rb\as\fawMP\prjConf\app\asw\apbmi\host\PDM\APBHostData_Project_C\SRC\  </t>
  </si>
  <si>
    <t xml:space="preserve">rb\as\fawMP\prjConf\app\net\RbNetPrj\RBNet_Can\src\              </t>
  </si>
  <si>
    <t xml:space="preserve">rb\as\fawMP\prjConf\app\obd\ObdCvnCalId\src\                     </t>
  </si>
  <si>
    <t xml:space="preserve">rb\as\fawMP\prjConf\dsmpr\src\Cubas\ESM\EcuM\src\              </t>
  </si>
  <si>
    <t xml:space="preserve">rb\as\fawMP\prjConf\dsmpr\src\                                 </t>
  </si>
  <si>
    <t xml:space="preserve">rb\as\fawMP\prjConf\hswpr\tst\hswsim\src\                      </t>
  </si>
  <si>
    <t>rb\as\fawMP\prjConf\varcode</t>
  </si>
  <si>
    <t>221259_FAW_C105EV_L2_ESPhev_BL62</t>
  </si>
  <si>
    <t>FAW_Carbon_TypeF_IBooster_Int</t>
  </si>
  <si>
    <t>SAIC EP22 M2 withDA ESP9.3 BSS02</t>
  </si>
  <si>
    <t>MC_228919_SGMW_CN202C_ABS9.3CBi_Carbon_BSS02_SP02</t>
  </si>
  <si>
    <t>MC_227282_SGMW_E200_Plus_ESPCPiGen9.3_BSS04</t>
  </si>
  <si>
    <t>rb\as\fawhevx\fawcore\app\net\RBScl\src\</t>
  </si>
  <si>
    <t>rb\as\faw\core\app\net\net_OBD_Off\RBScl\src\</t>
  </si>
  <si>
    <t>\RBVAR\src\</t>
  </si>
  <si>
    <t xml:space="preserve">\RBScl\RBScl_BB80507\src\     </t>
  </si>
  <si>
    <t>\RBScl\RBScl_SGMW\src\src_xmt\</t>
  </si>
  <si>
    <t>rb\as\saic\CpiwAPB\app\dsm\RBHMI\src\</t>
  </si>
  <si>
    <t>rb\as\sgmw\CN210S\app\dsm\RBVAR\src\</t>
  </si>
  <si>
    <t>\src\</t>
  </si>
  <si>
    <t xml:space="preserve">rb\as\core\app\dcom\rbapleol\src\             </t>
  </si>
  <si>
    <t xml:space="preserve">rb\as\saic\core\app\dcom\RBAPLCust\src\ESP\   </t>
  </si>
  <si>
    <t>rb\as\saic\core\app\dcom\RBAPLCust\src\common\</t>
  </si>
  <si>
    <t xml:space="preserve">rb\as\saic\CpiwAPB\app\asw\aswif\src\         </t>
  </si>
  <si>
    <t>ComScl_Scl_Complex_proc.c</t>
  </si>
  <si>
    <t>NET_Monitoring.c</t>
  </si>
  <si>
    <t>RBAPLEOL_ValvesToggling.c</t>
  </si>
  <si>
    <t>RBAPLCUST_RDBI_SnapshotRead.c</t>
  </si>
  <si>
    <t>DNCIF_DTCOnCan.c</t>
  </si>
  <si>
    <t>RBAPLCUST_DTCOnCan.c</t>
  </si>
  <si>
    <t>RBVAR_SystemStateManagement_COMMON.c</t>
  </si>
  <si>
    <t>ComScl_Scl_ComplexProc_BB80507.c</t>
  </si>
  <si>
    <t>NET_SCL_Tx_SystemInfo.c</t>
  </si>
  <si>
    <t>RBAPLCUST_ReadDTC.c</t>
  </si>
  <si>
    <t>RBHMI_ConfigOutputDriver_PRJ.c</t>
  </si>
  <si>
    <t>RBAPLCUST_DiagnosticSessionControl.c</t>
  </si>
  <si>
    <t>RBVAR_SystemStateManagement_PROJECT.c</t>
  </si>
  <si>
    <t>BB97499</t>
  </si>
  <si>
    <t>BB81433</t>
  </si>
  <si>
    <t>BB81434</t>
  </si>
  <si>
    <t>BB81435</t>
  </si>
  <si>
    <t>BB81436</t>
  </si>
  <si>
    <t>BB81437</t>
  </si>
  <si>
    <t>BB81033</t>
  </si>
  <si>
    <t>FAW_Carbon_TypeF_Hevx_Int</t>
  </si>
  <si>
    <t>SAIC_A_ARCH_CMP_ESP93_Carbon_Int</t>
  </si>
  <si>
    <t>SGMW_ABS93_MS_Int</t>
  </si>
  <si>
    <t>Cant cover 100%. Owner said that's fine.</t>
  </si>
  <si>
    <t>No code, already confirmed with Mr.Hai</t>
  </si>
  <si>
    <t xml:space="preserve">dupplicate </t>
  </si>
  <si>
    <t>Cant cover 100% when (RBFS_RBAPLEOLValvesToggling==RBFS_RBAPLEOLValvesToggling_OFF). Owner said that's fine.</t>
  </si>
  <si>
    <t>Cant cover 100% when (RBFS_RBAPLEOLComfortPulseCalib == RBFS_RBAPLEOLComfortPulseCalib_OFF). Owner said that's fine.</t>
  </si>
  <si>
    <t>Cant cover 100% when (RBFS_RBAPLEOLDynamicTest == RBFS_RBAPLEOLDynamicTest_OFF). Owner said that's fine.</t>
  </si>
  <si>
    <t>Actually ELOC = 122</t>
  </si>
  <si>
    <t>Tool Issue</t>
  </si>
  <si>
    <t>No code for test</t>
  </si>
  <si>
    <t>No have function for test</t>
  </si>
  <si>
    <t>BYD_IPB_SW_Mainstream_BL05_SP09</t>
  </si>
  <si>
    <t>BYD_Carbon_Mainstream_BL01</t>
  </si>
  <si>
    <t>rb\as\cnms_core\app\net\scl_callout\src\</t>
  </si>
  <si>
    <t>\MainstreamF30\rb\as\byd\Bydcarbon\app\net\RBScl_Callout\</t>
  </si>
  <si>
    <t xml:space="preserve">\MainstreamF30\rb\as\byd\Bydcarbon\app\net\RBScl\        </t>
  </si>
  <si>
    <t xml:space="preserve">\MainstreamF30\rb\as\byd\Bydcarbon\app\net\RBScl\ </t>
  </si>
  <si>
    <t>RBA_NDS_ESP_2_Callout.c</t>
  </si>
  <si>
    <t>NET_SCL_Rx_SGMW_RemoteControl.c</t>
  </si>
  <si>
    <t>NET_SCL_Rx_SystemInfo.c</t>
  </si>
  <si>
    <t>ComScl_RxPdu_WorkingMode_Monitor.c</t>
  </si>
  <si>
    <t>NET_SCL_Rx_EngineSpeed.c</t>
  </si>
  <si>
    <t>NET_SCL_Rx_GearBox.c</t>
  </si>
  <si>
    <t>NET_SCL_Rx_TCU.c</t>
  </si>
  <si>
    <t>NET_SCL_Rx_VAF_Complex.c</t>
  </si>
  <si>
    <t>RBA_NDS_WheelOdoEdges_Callout.c</t>
  </si>
  <si>
    <t>rba_SCL_Settings.c</t>
  </si>
  <si>
    <t>RBNET_Scl_Complexsignals.c</t>
  </si>
  <si>
    <t>BYD_Carbon_ESP93_Int</t>
  </si>
  <si>
    <t>No function to test.</t>
  </si>
  <si>
    <t>HHT_VX1_ESPHevX_BL2_Sprint3</t>
  </si>
  <si>
    <t>VDCVAFS_PreindicatorArbitrator</t>
  </si>
  <si>
    <t>VDCVAFS_VDCActiveArbitrator</t>
  </si>
  <si>
    <t>CM_IVC_HHT_HADPADActivation</t>
  </si>
  <si>
    <t>2.1.805.3</t>
  </si>
  <si>
    <t>1371465_1367009.zip</t>
  </si>
  <si>
    <t>1366969.zip</t>
  </si>
  <si>
    <t>Fixed comment</t>
  </si>
  <si>
    <t>Fixed comment, function switch. Re-run OK.</t>
  </si>
  <si>
    <t>Fixed comment, function switch. Add test script 2. Re-run OK.</t>
  </si>
  <si>
    <t xml:space="preserve">Fixed comment, function switch. </t>
  </si>
  <si>
    <t>Duration</t>
  </si>
  <si>
    <t>Total</t>
  </si>
  <si>
    <t>Judge Total KPI</t>
  </si>
  <si>
    <t>CM_IVC_RWS_Status</t>
  </si>
  <si>
    <t>CM_IVC_ModeHandling</t>
  </si>
  <si>
    <t>rb\as\sgmw\core\app\dcom\RBAPLCust\src</t>
  </si>
  <si>
    <t>rb\as\core\hwp\cubas\Diagnosis</t>
  </si>
  <si>
    <t>rb\as\core\app\net</t>
  </si>
  <si>
    <t>rb\as\fawMPHev\prjConf\app\net</t>
  </si>
  <si>
    <t>GWM_ESP9.3_CHB071_HP_RC2</t>
  </si>
  <si>
    <t>FAW_HQEV_2WD_MC</t>
  </si>
  <si>
    <t>GWM_CHB071HevX_Carbon_Int</t>
  </si>
  <si>
    <t>FAW_MainPathHEV_Int</t>
  </si>
  <si>
    <t>Please check with task ID: 1364387</t>
  </si>
  <si>
    <t>DemCSMosar_EventLogger.c</t>
  </si>
  <si>
    <t>RBDsm_Measurement.c</t>
  </si>
  <si>
    <t>RBCAN_CanSMBusOffRecovery.c</t>
  </si>
  <si>
    <t>NET_SCL_Tx_APBMi.c</t>
  </si>
  <si>
    <t>NET_SCL_Rx_HHC.c</t>
  </si>
  <si>
    <t>Total day of ASW + PSW</t>
  </si>
  <si>
    <t>rba_BldrCmp_Cfg_NvmIf.c</t>
  </si>
  <si>
    <t>rba_BldrCmp_Cfg_CheckMem.c</t>
  </si>
  <si>
    <t>rba_BldrCmp_Cfg_Functions.c</t>
  </si>
  <si>
    <t>Owner confirm could be ignore</t>
  </si>
  <si>
    <t>239689_NIO_G1.3&amp;G1.F_ESPHevX_BSS03_SP01</t>
  </si>
  <si>
    <t>E111_ESPHevx_BSL30</t>
  </si>
  <si>
    <t>Geely_KC2A_ESP9.3_HB_225750_BB8033_BL04_SP01</t>
  </si>
  <si>
    <t>1345833.zip</t>
  </si>
  <si>
    <t>CDD_SsmSelContr</t>
  </si>
  <si>
    <t>4.0.146322.0</t>
  </si>
  <si>
    <t>FAW_E111_ESPHevX_Int</t>
  </si>
  <si>
    <t xml:space="preserve">Geely_Beryllium2_OBD_China6_Int </t>
  </si>
  <si>
    <t>GAC_Carbon_Stream_ESPCP_BL04</t>
  </si>
  <si>
    <t>rb\as\gaig\core\app\dcom\RBAPLCust\src\common\</t>
  </si>
  <si>
    <t>rb\as\gaig\core\app\dcom\RBAPLCust\src\ESP\</t>
  </si>
  <si>
    <t>rb\as\cnms_core\app\dcom\RBAPLCust\src\ESP\</t>
  </si>
  <si>
    <t>rb\as\gaig\core\app\dcom\Cubas\src\Dcm_CNMS\</t>
  </si>
  <si>
    <t>rb\as\dfsk\CpiwAPB\app\dsm\RBVAR\src\</t>
  </si>
  <si>
    <t>rb\as\dfsk\CpiwAPB\app\net\RBScl\RBScl_DFSK\src\</t>
  </si>
  <si>
    <t>rb\as\dfsk\CpiwAPB\hswpr\tst\hswsim\src\</t>
  </si>
  <si>
    <t>GAC_220680_Carbon_A18_ESPHevx_FPA\RPA_BL03</t>
  </si>
  <si>
    <t>CHEN Xiaomin (CC-AS\EVA-SW31-CN)</t>
  </si>
  <si>
    <t>WANG Yang (CC-AS\EVA-SW32-CN)</t>
  </si>
  <si>
    <t>MIAO Huafeng (CC-AS\EVA-SW32-CN)</t>
  </si>
  <si>
    <t>QIAN Li (CC-AS\EVA-SW2-CN)</t>
  </si>
  <si>
    <t>SUN Yun (CC-AS\EVA-SW31-CN)</t>
  </si>
  <si>
    <t>ZHANG Yu (CC-AS\EVA-SW31-CN)</t>
  </si>
  <si>
    <t>GUO Sasa (CC-AS\EVA-SW3-CN)</t>
  </si>
  <si>
    <t>Ngo Nhat Tan (RBVH\EAS12)</t>
  </si>
  <si>
    <t>HU Evan (CC-AS\EVA-SW33-CN)</t>
  </si>
  <si>
    <t>Nguyen Quang Vinh (RBVH\EAS15)</t>
  </si>
  <si>
    <t>LU Martin (CC-AS\ESW2-CN)</t>
  </si>
  <si>
    <t>N\A</t>
  </si>
  <si>
    <t>XU Sherry (CC-AS\EVA-SW2-CN)</t>
  </si>
  <si>
    <t>BAO Eric (CC-AS\EVA-SW32-CN)</t>
  </si>
  <si>
    <t>JIN Li (CC-AS\EVA-SW33-CN)</t>
  </si>
  <si>
    <t>SUN Nan (CC-AS\EVA-SW1-CN)</t>
  </si>
  <si>
    <t>FANG Amanda (CC-AS\EVA-SW31-CN)</t>
  </si>
  <si>
    <t>Pham Duc Trung (RBVH\EAS11)</t>
  </si>
  <si>
    <t>LI Xiaoyu (CC-AS\EVA-SW2-CN)</t>
  </si>
  <si>
    <t>LESLIE PUTHOOR Milda (CC-AS\EVA-SW31-CN)</t>
  </si>
  <si>
    <t>DIAO Aimei (CC-AS\EVA-SW32-CN)</t>
  </si>
  <si>
    <t>LI Zhiyuan (CC-AS\EVA-SW31-CN)</t>
  </si>
  <si>
    <t>Nguyen Duc Huong Quynh (RBVH\EAS12)</t>
  </si>
  <si>
    <t>ZHANG Ruipeng (BEG\ESW-CN)</t>
  </si>
  <si>
    <t>WANG Zhenyu (CC-AS\EVA-SW2-CN)</t>
  </si>
  <si>
    <t>Chitra Chandrasekaran (RBEI\EBB7)</t>
  </si>
  <si>
    <t>rb\as\geely\core\app\dcom\RBAPLCust\src\</t>
  </si>
  <si>
    <t>KASIVASAKAM Murugananth (CC-AS\EVA-SW32-CN)</t>
  </si>
  <si>
    <t>240688_DFSK_F517\527\537_EVR_Carbon_ESP9.3</t>
  </si>
  <si>
    <t>KPI\days</t>
  </si>
  <si>
    <t>rba\Bldr_FAW</t>
  </si>
  <si>
    <t>RBAPLCUST_RBDI_VariandCode.c</t>
  </si>
  <si>
    <t>RBAPLCUST_RDBI_TPMS_GAC.c</t>
  </si>
  <si>
    <t>RBAPLCUST_WDBI_TPMS_GAC.c</t>
  </si>
  <si>
    <t>DcmAppl_DcmSwitchCommunicationControl.c</t>
  </si>
  <si>
    <t>RBVAR_VarCode_PROJECT.c</t>
  </si>
  <si>
    <t>NET_VAR_IsVcActive.c</t>
  </si>
  <si>
    <t>RBA_NDS_Rx_ASW_Callout.c</t>
  </si>
  <si>
    <t>RBA_NDS_Rx_VAF_Callout.c</t>
  </si>
  <si>
    <t>RBA_NDS_Tx_ASW_Callout.c</t>
  </si>
  <si>
    <t>TestEnvironment_Fee_EV702148.c</t>
  </si>
  <si>
    <t>81262, 81708</t>
  </si>
  <si>
    <t>81262, 81709</t>
  </si>
  <si>
    <t>81262, 81710</t>
  </si>
  <si>
    <t>81262, 81711</t>
  </si>
  <si>
    <t>81262, 81712</t>
  </si>
  <si>
    <t>81262, 81713</t>
  </si>
  <si>
    <t>81262, 81714</t>
  </si>
  <si>
    <t>DFSK_ESP_Carbon_Int</t>
  </si>
  <si>
    <t>PAN Qi (CC-AS/EVA-SW31-CN)</t>
  </si>
  <si>
    <t>Nguyen Hiep Thanh (RBVH/EAS11)</t>
  </si>
  <si>
    <t>Owner said it doesn’t affect the project</t>
  </si>
  <si>
    <t>- Cant cover true case if (*length_pu16 &gt; maxLength_u16) at line 95
- Cant cover false case if (retValue == E_OK) at line 276
Owner said it doesn’t affect the project</t>
  </si>
  <si>
    <t>Adapt_236234_SMART_VDDM_ESPHevX_BSS02_E2_SP2</t>
  </si>
  <si>
    <t>235199_SAIC_EP21_MCE_ESP9.3HevX_BSS03_SP02</t>
  </si>
  <si>
    <t>GEEA2.0\rb\as\cevt\Geely\app\dsm\RBVAR\src\</t>
  </si>
  <si>
    <t>VAR09_OutputDriver_CEVT.c</t>
  </si>
  <si>
    <t>VAR09_IDDefinitionTable_CEVT.c</t>
  </si>
  <si>
    <t>rba_BldrCmp_Cfg_PrjFunctions.c</t>
  </si>
  <si>
    <t>rba_BldrCMP_Cfg_CRC.c</t>
  </si>
  <si>
    <t>CEVT_GEEA_SMART_Deuterium_Int</t>
  </si>
  <si>
    <t>SAIC_EP_CMP_ESPHevX_Int</t>
  </si>
  <si>
    <t>ZHANG Guorong (CC-AS/EVA-SW32-CN)</t>
  </si>
  <si>
    <t>Moogambika Ratha Krishnan (RBEI/EBB7)</t>
  </si>
  <si>
    <t>235199_SAIC_EP21_MCE_ESP9.3HevX_BSS03_SP03</t>
  </si>
  <si>
    <t>rb\as\saicep\esphevx\app\net\RBScl\src\</t>
  </si>
  <si>
    <t>ComScl_Scl_Complex.c</t>
  </si>
  <si>
    <t>TANG Yanqi (CC-AS/EVA-SW31-CN)</t>
  </si>
  <si>
    <t>ESPhevXSAICEP\rba\Bldr\config\ApplicationLayer\rba_BldrCmp\src</t>
  </si>
  <si>
    <t>GAC_Carbon_RPA_iBooster_Mainpath_BL04</t>
  </si>
  <si>
    <t>PFA_ISC_SituationSupport</t>
  </si>
  <si>
    <t>1366593.zip</t>
  </si>
  <si>
    <t>1.0.147.2.1.3.147315.1</t>
  </si>
  <si>
    <t>CUI Jin (CC-AS/EVA-SW1-CN)</t>
  </si>
  <si>
    <t>Raised OPL</t>
  </si>
  <si>
    <t>Raised OPL : Improvement code swap two api</t>
  </si>
  <si>
    <t>Got 1 defect
Reason: not send to internal team</t>
  </si>
  <si>
    <t>- Can't cover MCDC,C0,C1  for case have for loop because of not generating coverage.</t>
  </si>
  <si>
    <t>233878_GAC_A20_CarbonESP9.3CP_BL04</t>
  </si>
  <si>
    <t>GEELY_BX11_ESP9.3HD_BL06_SP01</t>
  </si>
  <si>
    <t>GEELY_BX11_ESPHEVX_BL06_SP01</t>
  </si>
  <si>
    <t>AvhSendSoftSwctrlst</t>
  </si>
  <si>
    <t xml:space="preserve">ApbDynConfig                 </t>
  </si>
  <si>
    <t>EPBVirtualButtonSignalProcess</t>
  </si>
  <si>
    <t xml:space="preserve">EPBButton_StpOnBrkProcess    </t>
  </si>
  <si>
    <t xml:space="preserve">EPBButtonArbitration         </t>
  </si>
  <si>
    <t xml:space="preserve">EPBVirtualButton_DragMode    </t>
  </si>
  <si>
    <t xml:space="preserve">HMI_ApbFunctionLamp </t>
  </si>
  <si>
    <t>HMI_ApbFunctionLamp</t>
  </si>
  <si>
    <t>1380028.zip</t>
  </si>
  <si>
    <t>1379963.zip</t>
  </si>
  <si>
    <t>1381575.zip</t>
  </si>
  <si>
    <t>1382215.zip</t>
  </si>
  <si>
    <t>v 1.1</t>
  </si>
  <si>
    <t>(1.1.315.1)</t>
  </si>
  <si>
    <t>(1.0.315.0)</t>
  </si>
  <si>
    <t>v 1.0</t>
  </si>
  <si>
    <t>(1.0.315.1)</t>
  </si>
  <si>
    <t>(v2.0.147303.0)</t>
  </si>
  <si>
    <t>(V1.3.147303.0)</t>
  </si>
  <si>
    <t>LIU Qiang (CC-AS/EVA-SW2-CN)</t>
  </si>
  <si>
    <t>QIU Liqi (CC-AS/EVA-SW2-CN)</t>
  </si>
  <si>
    <t>HOU Jue (CC-AS/EVA-SW2-CN)</t>
  </si>
  <si>
    <t>ZHANG Lucy (CC-AS/EVA-SW2-CN)</t>
  </si>
  <si>
    <t>Time</t>
  </si>
  <si>
    <t>days</t>
  </si>
  <si>
    <t>Assigned
ELOCs</t>
  </si>
  <si>
    <t>Completed
ELOCs</t>
  </si>
  <si>
    <t>Effort
(days)</t>
  </si>
  <si>
    <t>Actual Effort
(days)</t>
  </si>
  <si>
    <t>Total Hours</t>
  </si>
  <si>
    <t>-Day-off Fri, 20-Mar</t>
  </si>
  <si>
    <t>Num of OPLs</t>
  </si>
  <si>
    <t>Num 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</si>
</sst>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61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9C0006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  <font>
      <sz val="10"/>
      <color rgb="FF006100"/>
      <name val="Arial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Fill="1" applyBorder="1"/>
    <xf numFmtId="14" fontId="0" fillId="0" borderId="1" xfId="0" applyNumberFormat="1" applyBorder="1"/>
    <xf numFmtId="0" fontId="0" fillId="0" borderId="0" xfId="0" applyBorder="1"/>
    <xf numFmtId="1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/>
    <xf numFmtId="0" fontId="0" fillId="2" borderId="1" xfId="0" applyFill="1" applyBorder="1"/>
    <xf numFmtId="0" fontId="0" fillId="0" borderId="1" xfId="0" quotePrefix="1" applyBorder="1"/>
    <xf numFmtId="0" fontId="5" fillId="0" borderId="0" xfId="0" applyNumberFormat="1" applyFont="1" applyFill="1" applyBorder="1" applyAlignment="1" applyProtection="1"/>
    <xf numFmtId="0" fontId="4" fillId="0" borderId="0" xfId="0" applyFont="1" applyFill="1"/>
    <xf numFmtId="0" fontId="6" fillId="0" borderId="1" xfId="0" applyFont="1" applyFill="1" applyBorder="1" applyAlignment="1">
      <alignment horizontal="left" vertical="top"/>
    </xf>
    <xf numFmtId="164" fontId="6" fillId="0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/>
    </xf>
    <xf numFmtId="164" fontId="0" fillId="0" borderId="1" xfId="0" applyNumberFormat="1" applyFont="1" applyBorder="1" applyAlignment="1">
      <alignment horizontal="left" vertical="top"/>
    </xf>
    <xf numFmtId="0" fontId="6" fillId="3" borderId="1" xfId="0" applyNumberFormat="1" applyFont="1" applyFill="1" applyBorder="1" applyAlignment="1" applyProtection="1">
      <alignment horizontal="left" vertical="top"/>
    </xf>
    <xf numFmtId="0" fontId="6" fillId="3" borderId="1" xfId="0" applyFont="1" applyFill="1" applyBorder="1" applyAlignment="1">
      <alignment horizontal="left" vertical="top"/>
    </xf>
    <xf numFmtId="14" fontId="0" fillId="0" borderId="1" xfId="0" applyNumberFormat="1" applyFont="1" applyBorder="1" applyAlignment="1">
      <alignment horizontal="left" vertical="top"/>
    </xf>
    <xf numFmtId="0" fontId="6" fillId="0" borderId="1" xfId="0" applyNumberFormat="1" applyFont="1" applyFill="1" applyBorder="1" applyAlignment="1" applyProtection="1">
      <alignment horizontal="left" vertical="top"/>
    </xf>
    <xf numFmtId="0" fontId="6" fillId="0" borderId="0" xfId="0" applyNumberFormat="1" applyFont="1" applyFill="1" applyBorder="1" applyAlignment="1" applyProtection="1">
      <alignment horizontal="left" vertical="top"/>
    </xf>
    <xf numFmtId="0" fontId="6" fillId="0" borderId="1" xfId="0" quotePrefix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6" fillId="0" borderId="1" xfId="0" quotePrefix="1" applyNumberFormat="1" applyFont="1" applyFill="1" applyBorder="1" applyAlignment="1" applyProtection="1">
      <alignment horizontal="left" vertical="top"/>
    </xf>
    <xf numFmtId="164" fontId="8" fillId="4" borderId="1" xfId="0" applyNumberFormat="1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0" fillId="0" borderId="0" xfId="0" applyFill="1" applyBorder="1"/>
    <xf numFmtId="0" fontId="0" fillId="0" borderId="0" xfId="0" applyFill="1"/>
    <xf numFmtId="0" fontId="0" fillId="0" borderId="1" xfId="0" quotePrefix="1" applyFont="1" applyFill="1" applyBorder="1" applyAlignment="1">
      <alignment horizontal="left" vertical="top"/>
    </xf>
    <xf numFmtId="0" fontId="2" fillId="0" borderId="0" xfId="0" applyFont="1" applyFill="1" applyBorder="1"/>
    <xf numFmtId="0" fontId="6" fillId="7" borderId="1" xfId="0" applyNumberFormat="1" applyFont="1" applyFill="1" applyBorder="1" applyAlignment="1" applyProtection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6" fillId="2" borderId="1" xfId="0" applyNumberFormat="1" applyFont="1" applyFill="1" applyBorder="1" applyAlignment="1" applyProtection="1">
      <alignment horizontal="left" vertical="top"/>
    </xf>
    <xf numFmtId="0" fontId="6" fillId="9" borderId="1" xfId="0" applyNumberFormat="1" applyFont="1" applyFill="1" applyBorder="1" applyAlignment="1" applyProtection="1">
      <alignment horizontal="left" vertical="top"/>
    </xf>
    <xf numFmtId="0" fontId="13" fillId="0" borderId="1" xfId="0" applyFont="1" applyBorder="1"/>
    <xf numFmtId="0" fontId="14" fillId="0" borderId="1" xfId="0" applyFont="1" applyBorder="1" applyAlignment="1">
      <alignment horizontal="left" vertical="top"/>
    </xf>
    <xf numFmtId="0" fontId="14" fillId="0" borderId="1" xfId="0" quotePrefix="1" applyFont="1" applyBorder="1" applyAlignment="1">
      <alignment horizontal="left" vertical="top"/>
    </xf>
    <xf numFmtId="0" fontId="0" fillId="10" borderId="1" xfId="0" applyFill="1" applyBorder="1" applyAlignment="1">
      <alignment horizontal="left" vertical="top"/>
    </xf>
    <xf numFmtId="0" fontId="0" fillId="10" borderId="1" xfId="0" quotePrefix="1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15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6" fillId="11" borderId="1" xfId="0" applyNumberFormat="1" applyFont="1" applyFill="1" applyBorder="1" applyAlignment="1" applyProtection="1">
      <alignment horizontal="left" vertical="top"/>
    </xf>
    <xf numFmtId="0" fontId="17" fillId="0" borderId="1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7" fillId="0" borderId="1" xfId="0" quotePrefix="1" applyFont="1" applyBorder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6" fillId="12" borderId="1" xfId="0" applyNumberFormat="1" applyFont="1" applyFill="1" applyBorder="1" applyAlignment="1" applyProtection="1">
      <alignment horizontal="left" vertical="top"/>
    </xf>
    <xf numFmtId="0" fontId="0" fillId="12" borderId="1" xfId="0" applyFont="1" applyFill="1" applyBorder="1" applyAlignment="1">
      <alignment horizontal="left" vertical="top"/>
    </xf>
    <xf numFmtId="0" fontId="0" fillId="12" borderId="1" xfId="0" quotePrefix="1" applyFont="1" applyFill="1" applyBorder="1" applyAlignment="1">
      <alignment horizontal="left" vertical="top"/>
    </xf>
    <xf numFmtId="164" fontId="0" fillId="12" borderId="1" xfId="0" applyNumberFormat="1" applyFont="1" applyFill="1" applyBorder="1" applyAlignment="1">
      <alignment horizontal="left" vertical="top"/>
    </xf>
    <xf numFmtId="10" fontId="0" fillId="0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2" fontId="0" fillId="0" borderId="1" xfId="0" applyNumberFormat="1" applyBorder="1"/>
    <xf numFmtId="0" fontId="6" fillId="6" borderId="1" xfId="0" applyNumberFormat="1" applyFont="1" applyFill="1" applyBorder="1" applyAlignment="1" applyProtection="1">
      <alignment horizontal="left" vertical="top"/>
    </xf>
    <xf numFmtId="0" fontId="6" fillId="13" borderId="1" xfId="0" applyNumberFormat="1" applyFont="1" applyFill="1" applyBorder="1" applyAlignment="1" applyProtection="1">
      <alignment horizontal="left" vertical="top"/>
    </xf>
    <xf numFmtId="164" fontId="0" fillId="10" borderId="1" xfId="0" applyNumberFormat="1" applyFont="1" applyFill="1" applyBorder="1" applyAlignment="1">
      <alignment horizontal="left" vertical="top"/>
    </xf>
    <xf numFmtId="0" fontId="6" fillId="14" borderId="1" xfId="0" applyNumberFormat="1" applyFont="1" applyFill="1" applyBorder="1" applyAlignment="1" applyProtection="1">
      <alignment horizontal="left" vertical="top"/>
    </xf>
    <xf numFmtId="14" fontId="18" fillId="15" borderId="1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0" fillId="0" borderId="1" xfId="0" quotePrefix="1" applyFont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/>
    </xf>
    <xf numFmtId="0" fontId="19" fillId="0" borderId="0" xfId="0" applyFont="1" applyFill="1"/>
    <xf numFmtId="0" fontId="20" fillId="0" borderId="0" xfId="0" applyFont="1" applyFill="1"/>
    <xf numFmtId="0" fontId="20" fillId="0" borderId="1" xfId="0" applyFont="1" applyFill="1" applyBorder="1" applyAlignment="1">
      <alignment horizontal="left" vertical="top"/>
    </xf>
    <xf numFmtId="0" fontId="20" fillId="0" borderId="1" xfId="0" quotePrefix="1" applyFont="1" applyFill="1" applyBorder="1" applyAlignment="1">
      <alignment horizontal="left" vertical="top"/>
    </xf>
    <xf numFmtId="164" fontId="20" fillId="0" borderId="1" xfId="0" applyNumberFormat="1" applyFont="1" applyFill="1" applyBorder="1" applyAlignment="1">
      <alignment horizontal="left" vertical="top"/>
    </xf>
    <xf numFmtId="14" fontId="20" fillId="0" borderId="1" xfId="0" applyNumberFormat="1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 vertical="top"/>
    </xf>
    <xf numFmtId="0" fontId="20" fillId="0" borderId="1" xfId="0" applyNumberFormat="1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left" vertical="top"/>
    </xf>
    <xf numFmtId="0" fontId="22" fillId="11" borderId="1" xfId="0" applyNumberFormat="1" applyFont="1" applyFill="1" applyBorder="1" applyAlignment="1" applyProtection="1">
      <alignment horizontal="left" vertical="top"/>
    </xf>
    <xf numFmtId="0" fontId="22" fillId="6" borderId="1" xfId="0" applyNumberFormat="1" applyFont="1" applyFill="1" applyBorder="1" applyAlignment="1" applyProtection="1">
      <alignment horizontal="left" vertical="top"/>
    </xf>
    <xf numFmtId="0" fontId="19" fillId="3" borderId="1" xfId="0" applyFont="1" applyFill="1" applyBorder="1" applyAlignment="1">
      <alignment horizontal="left" vertical="top"/>
    </xf>
    <xf numFmtId="164" fontId="0" fillId="0" borderId="1" xfId="0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0" fontId="16" fillId="0" borderId="0" xfId="0" applyFont="1"/>
    <xf numFmtId="0" fontId="24" fillId="0" borderId="1" xfId="0" applyFont="1" applyBorder="1" applyAlignment="1">
      <alignment horizontal="left" vertical="top"/>
    </xf>
    <xf numFmtId="164" fontId="25" fillId="0" borderId="1" xfId="0" applyNumberFormat="1" applyFont="1" applyFill="1" applyBorder="1" applyAlignment="1">
      <alignment horizontal="left" vertical="top"/>
    </xf>
    <xf numFmtId="164" fontId="6" fillId="0" borderId="1" xfId="0" applyNumberFormat="1" applyFont="1" applyFill="1" applyBorder="1" applyAlignment="1" applyProtection="1">
      <alignment horizontal="left" vertical="top"/>
    </xf>
    <xf numFmtId="0" fontId="26" fillId="4" borderId="1" xfId="0" applyFont="1" applyFill="1" applyBorder="1" applyAlignment="1">
      <alignment horizontal="left" vertical="top"/>
    </xf>
    <xf numFmtId="0" fontId="25" fillId="0" borderId="1" xfId="0" applyFont="1" applyFill="1" applyBorder="1" applyAlignment="1">
      <alignment horizontal="left" vertical="top"/>
    </xf>
    <xf numFmtId="0" fontId="25" fillId="0" borderId="0" xfId="0" applyNumberFormat="1" applyFont="1" applyFill="1" applyBorder="1" applyAlignment="1" applyProtection="1"/>
    <xf numFmtId="0" fontId="24" fillId="14" borderId="1" xfId="0" applyNumberFormat="1" applyFont="1" applyFill="1" applyBorder="1" applyAlignment="1" applyProtection="1">
      <alignment horizontal="left"/>
    </xf>
    <xf numFmtId="0" fontId="25" fillId="0" borderId="1" xfId="0" applyNumberFormat="1" applyFont="1" applyFill="1" applyBorder="1" applyAlignment="1" applyProtection="1">
      <alignment horizontal="left"/>
    </xf>
    <xf numFmtId="0" fontId="25" fillId="0" borderId="1" xfId="0" quotePrefix="1" applyNumberFormat="1" applyFont="1" applyFill="1" applyBorder="1" applyAlignment="1" applyProtection="1">
      <alignment horizontal="left"/>
    </xf>
    <xf numFmtId="0" fontId="25" fillId="6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Border="1" applyAlignment="1">
      <alignment horizontal="left" vertical="top"/>
    </xf>
    <xf numFmtId="164" fontId="25" fillId="0" borderId="1" xfId="0" applyNumberFormat="1" applyFont="1" applyFill="1" applyBorder="1" applyAlignment="1" applyProtection="1">
      <alignment horizontal="left"/>
    </xf>
    <xf numFmtId="164" fontId="0" fillId="0" borderId="1" xfId="0" applyNumberFormat="1" applyBorder="1" applyAlignment="1">
      <alignment horizontal="left" vertical="top"/>
    </xf>
    <xf numFmtId="0" fontId="25" fillId="0" borderId="1" xfId="0" applyFont="1" applyBorder="1" applyAlignment="1">
      <alignment horizontal="left" vertical="top"/>
    </xf>
    <xf numFmtId="0" fontId="25" fillId="3" borderId="1" xfId="0" applyNumberFormat="1" applyFont="1" applyFill="1" applyBorder="1" applyAlignment="1" applyProtection="1">
      <alignment horizontal="left"/>
    </xf>
    <xf numFmtId="0" fontId="4" fillId="16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6" fillId="4" borderId="0" xfId="0" applyFont="1" applyFill="1"/>
    <xf numFmtId="0" fontId="26" fillId="4" borderId="1" xfId="0" applyNumberFormat="1" applyFont="1" applyFill="1" applyBorder="1" applyAlignment="1" applyProtection="1">
      <alignment horizontal="left" vertical="top"/>
    </xf>
    <xf numFmtId="0" fontId="26" fillId="4" borderId="1" xfId="0" quotePrefix="1" applyFont="1" applyFill="1" applyBorder="1" applyAlignment="1">
      <alignment horizontal="left" vertical="top"/>
    </xf>
    <xf numFmtId="0" fontId="26" fillId="4" borderId="1" xfId="0" applyFont="1" applyFill="1" applyBorder="1" applyAlignment="1">
      <alignment horizontal="left"/>
    </xf>
    <xf numFmtId="164" fontId="26" fillId="4" borderId="1" xfId="0" applyNumberFormat="1" applyFont="1" applyFill="1" applyBorder="1" applyAlignment="1">
      <alignment horizontal="left" vertical="top"/>
    </xf>
    <xf numFmtId="0" fontId="0" fillId="0" borderId="0" xfId="0" applyFont="1"/>
    <xf numFmtId="0" fontId="0" fillId="2" borderId="1" xfId="0" applyFont="1" applyFill="1" applyBorder="1" applyAlignment="1">
      <alignment horizontal="left" vertical="top"/>
    </xf>
    <xf numFmtId="0" fontId="0" fillId="17" borderId="1" xfId="0" applyFont="1" applyFill="1" applyBorder="1" applyAlignment="1">
      <alignment horizontal="left" vertical="top"/>
    </xf>
    <xf numFmtId="0" fontId="20" fillId="17" borderId="1" xfId="0" applyFont="1" applyFill="1" applyBorder="1" applyAlignment="1">
      <alignment horizontal="left" vertical="top"/>
    </xf>
    <xf numFmtId="0" fontId="17" fillId="19" borderId="1" xfId="0" applyFont="1" applyFill="1" applyBorder="1" applyAlignment="1">
      <alignment horizontal="left" vertical="top"/>
    </xf>
    <xf numFmtId="0" fontId="0" fillId="19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right"/>
    </xf>
    <xf numFmtId="0" fontId="2" fillId="18" borderId="1" xfId="0" applyFont="1" applyFill="1" applyBorder="1"/>
    <xf numFmtId="0" fontId="2" fillId="18" borderId="1" xfId="0" applyFont="1" applyFill="1" applyBorder="1" applyAlignment="1">
      <alignment horizontal="right"/>
    </xf>
    <xf numFmtId="0" fontId="6" fillId="20" borderId="1" xfId="0" applyNumberFormat="1" applyFont="1" applyFill="1" applyBorder="1" applyAlignment="1" applyProtection="1">
      <alignment horizontal="left" vertical="top"/>
    </xf>
    <xf numFmtId="0" fontId="17" fillId="11" borderId="1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right"/>
    </xf>
    <xf numFmtId="0" fontId="0" fillId="0" borderId="1" xfId="0" quotePrefix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037505B-52BE-4BDC-AFEB-C16B430DBACE}" diskRevisions="1" revisionId="30" version="8">
  <header guid="{9A1F4644-6B78-492C-8823-F3C9317B8603}" dateTime="2020-03-20T19:09:28" maxSheetId="9" userName="EXTERNAL Nguyen Tuan Duong (Ban Vien, RBVH/EPS45)" r:id="rId1">
    <sheetIdMap count="8">
      <sheetId val="1"/>
      <sheetId val="2"/>
      <sheetId val="3"/>
      <sheetId val="4"/>
      <sheetId val="5"/>
      <sheetId val="6"/>
      <sheetId val="7"/>
      <sheetId val="8"/>
    </sheetIdMap>
  </header>
  <header guid="{5C8DE2E6-E62E-4DDB-878C-428645919A52}" dateTime="2020-03-20T19:10:18" maxSheetId="9" userName="EXTERNAL Do Phu Loc (Ban Vien, RBVH/EPS45)" r:id="rId2">
    <sheetIdMap count="8">
      <sheetId val="1"/>
      <sheetId val="2"/>
      <sheetId val="3"/>
      <sheetId val="4"/>
      <sheetId val="5"/>
      <sheetId val="6"/>
      <sheetId val="7"/>
      <sheetId val="8"/>
    </sheetIdMap>
  </header>
  <header guid="{34E60032-022F-441F-9F06-12111020B7D9}" dateTime="2020-03-20T19:11:22" maxSheetId="9" userName="EXTERNAL Do Phu Loc (Ban Vien, RBVH/EPS45)" r:id="rId3" minRId="4" maxRId="7">
    <sheetIdMap count="8">
      <sheetId val="1"/>
      <sheetId val="2"/>
      <sheetId val="3"/>
      <sheetId val="4"/>
      <sheetId val="5"/>
      <sheetId val="6"/>
      <sheetId val="7"/>
      <sheetId val="8"/>
    </sheetIdMap>
  </header>
  <header guid="{32B03B2A-D33A-44D3-9C26-2F0ACEF4BDDF}" dateTime="2020-03-20T19:24:33" maxSheetId="9" userName="EXTERNAL Nguyen Tuan Duong (Ban Vien, RBVH/EPS45)" r:id="rId4" minRId="11">
    <sheetIdMap count="8">
      <sheetId val="1"/>
      <sheetId val="2"/>
      <sheetId val="3"/>
      <sheetId val="4"/>
      <sheetId val="5"/>
      <sheetId val="6"/>
      <sheetId val="7"/>
      <sheetId val="8"/>
    </sheetIdMap>
  </header>
  <header guid="{5A86511C-C750-44FD-9102-D5F640FB61E4}" dateTime="2020-03-20T19:26:53" maxSheetId="9" userName="EXTERNAL Nguyen Tuan Duong (Ban Vien, RBVH/EPS45)" r:id="rId5" minRId="12" maxRId="13">
    <sheetIdMap count="8">
      <sheetId val="1"/>
      <sheetId val="2"/>
      <sheetId val="3"/>
      <sheetId val="4"/>
      <sheetId val="5"/>
      <sheetId val="6"/>
      <sheetId val="7"/>
      <sheetId val="8"/>
    </sheetIdMap>
  </header>
  <header guid="{5B854AB7-0A5E-460A-9911-E88C418769DD}" dateTime="2020-03-20T19:27:10" maxSheetId="9" userName="EXTERNAL Nguyen Tuan Duong (Ban Vien, RBVH/EPS45)" r:id="rId6" minRId="17" maxRId="21">
    <sheetIdMap count="8">
      <sheetId val="1"/>
      <sheetId val="2"/>
      <sheetId val="3"/>
      <sheetId val="4"/>
      <sheetId val="5"/>
      <sheetId val="6"/>
      <sheetId val="7"/>
      <sheetId val="8"/>
    </sheetIdMap>
  </header>
  <header guid="{E71EA651-E725-4C88-A699-7E6741F71A56}" dateTime="2020-03-20T19:50:40" maxSheetId="9" userName="EXTERNAL Nguyen Tuan Duong (Ban Vien, RBVH/EPS45)" r:id="rId7" minRId="25" maxRId="26">
    <sheetIdMap count="8">
      <sheetId val="1"/>
      <sheetId val="2"/>
      <sheetId val="3"/>
      <sheetId val="4"/>
      <sheetId val="5"/>
      <sheetId val="6"/>
      <sheetId val="7"/>
      <sheetId val="8"/>
    </sheetIdMap>
  </header>
  <header guid="{E037505B-52BE-4BDC-AFEB-C16B430DBACE}" dateTime="2020-03-22T12:23:46" maxSheetId="9" userName="Nguyen Trung Hieu" r:id="rId8" minRId="27">
    <sheetIdMap count="8">
      <sheetId val="1"/>
      <sheetId val="2"/>
      <sheetId val="3"/>
      <sheetId val="4"/>
      <sheetId val="5"/>
      <sheetId val="6"/>
      <sheetId val="7"/>
      <sheetId val="8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40:XFD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6100"/>
        <name val="Arial"/>
        <scheme val="none"/>
      </font>
      <fill>
        <patternFill patternType="solid">
          <fgColor indexed="65"/>
          <bgColor rgb="FFC6EFCE"/>
        </patternFill>
      </fill>
    </dxf>
  </rfmt>
  <rcv guid="{72A6EB0A-84D5-4B8A-AC51-54CCD061630B}" action="delete"/>
  <rdn rId="0" localSheetId="1" customView="1" name="Z_72A6EB0A_84D5_4B8A_AC51_54CCD061630B_.wvu.Cols" hidden="1" oldHidden="1">
    <formula>COEM_Package_20200302!$M:$N</formula>
    <oldFormula>COEM_Package_20200302!$M:$N</oldFormula>
  </rdn>
  <rdn rId="0" localSheetId="1" customView="1" name="Z_72A6EB0A_84D5_4B8A_AC51_54CCD061630B_.wvu.FilterData" hidden="1" oldHidden="1">
    <formula>COEM_Package_20200302!$B$2:$AG$164</formula>
    <oldFormula>COEM_Package_20200302!$O$2:$O$197</oldFormula>
  </rdn>
  <rdn rId="0" localSheetId="5" customView="1" name="Z_72A6EB0A_84D5_4B8A_AC51_54CCD061630B_.wvu.FilterData" hidden="1" oldHidden="1">
    <formula>Template!$B$2:$R$14</formula>
    <oldFormula>Template!$B$2:$R$14</oldFormula>
  </rdn>
  <rcv guid="{72A6EB0A-84D5-4B8A-AC51-54CCD061630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O153" t="inlineStr">
      <is>
        <t>loc.do-phu</t>
      </is>
    </nc>
  </rcc>
  <rcc rId="5" sId="1">
    <nc r="O156" t="inlineStr">
      <is>
        <t>loc.do-phu</t>
      </is>
    </nc>
  </rcc>
  <rcc rId="6" sId="1">
    <nc r="O157" t="inlineStr">
      <is>
        <t>loc.do-phu</t>
      </is>
    </nc>
  </rcc>
  <rcc rId="7" sId="1">
    <nc r="O155" t="inlineStr">
      <is>
        <t>loc.do-phu</t>
      </is>
    </nc>
  </rcc>
  <rcv guid="{72A6EB0A-84D5-4B8A-AC51-54CCD061630B}" action="delete"/>
  <rdn rId="0" localSheetId="1" customView="1" name="Z_72A6EB0A_84D5_4B8A_AC51_54CCD061630B_.wvu.Cols" hidden="1" oldHidden="1">
    <formula>COEM_Package_20200302!$M:$N</formula>
    <oldFormula>COEM_Package_20200302!$M:$N</oldFormula>
  </rdn>
  <rdn rId="0" localSheetId="1" customView="1" name="Z_72A6EB0A_84D5_4B8A_AC51_54CCD061630B_.wvu.FilterData" hidden="1" oldHidden="1">
    <formula>COEM_Package_20200302!$B$2:$AG$164</formula>
    <oldFormula>COEM_Package_20200302!$B$2:$AG$164</oldFormula>
  </rdn>
  <rdn rId="0" localSheetId="5" customView="1" name="Z_72A6EB0A_84D5_4B8A_AC51_54CCD061630B_.wvu.FilterData" hidden="1" oldHidden="1">
    <formula>Template!$B$2:$R$14</formula>
    <oldFormula>Template!$B$2:$R$14</oldFormula>
  </rdn>
  <rcv guid="{72A6EB0A-84D5-4B8A-AC51-54CCD061630B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2">
    <oc r="E34" t="inlineStr">
      <is>
        <t>1</t>
      </is>
    </oc>
    <nc r="E34">
      <v>1</v>
    </nc>
  </rcc>
  <rfmt sheetId="2" sqref="F25:F28">
    <dxf>
      <alignment horizontal="center" readingOrder="0"/>
    </dxf>
  </rfmt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" sId="1">
    <nc r="T128">
      <v>15</v>
    </nc>
  </rcc>
  <rfmt sheetId="1" sqref="U128" start="0" length="0">
    <dxf>
      <font>
        <sz val="11"/>
        <color rgb="FF000000"/>
        <name val="Calibri"/>
        <scheme val="minor"/>
      </font>
      <alignment horizontal="left" vertical="top" readingOrder="0"/>
    </dxf>
  </rfmt>
  <rcc rId="13" sId="1" odxf="1" dxf="1">
    <nc r="U128">
      <f>ROUNDDOWN(S128/HLOOKUP(D128,Table!$C$3:$D$4,2,0)*8,2)</f>
    </nc>
    <ndxf>
      <font>
        <sz val="11"/>
        <color theme="1"/>
        <name val="Calibri"/>
        <scheme val="minor"/>
      </font>
    </ndxf>
  </rcc>
  <rcv guid="{7E0EA425-A420-4443-B9E0-CDF0AA9E5D09}" action="delete"/>
  <rdn rId="0" localSheetId="1" customView="1" name="Z_7E0EA425_A420_4443_B9E0_CDF0AA9E5D09_.wvu.Cols" hidden="1" oldHidden="1">
    <formula>COEM_Package_20200302!$N:$N,COEM_Package_20200302!$P:$Q</formula>
    <oldFormula>COEM_Package_20200302!$N:$N,COEM_Package_20200302!$P:$Q</oldFormula>
  </rdn>
  <rdn rId="0" localSheetId="1" customView="1" name="Z_7E0EA425_A420_4443_B9E0_CDF0AA9E5D09_.wvu.FilterData" hidden="1" oldHidden="1">
    <formula>COEM_Package_20200302!$B$2:$AG$164</formula>
    <oldFormula>COEM_Package_20200302!$B$2:$AG$164</oldFormula>
  </rdn>
  <rdn rId="0" localSheetId="5" customView="1" name="Z_7E0EA425_A420_4443_B9E0_CDF0AA9E5D09_.wvu.FilterData" hidden="1" oldHidden="1">
    <formula>Template!$B$2:$R$14</formula>
    <oldFormula>Template!$B$2:$R$14</oldFormula>
  </rdn>
  <rcv guid="{7E0EA425-A420-4443-B9E0-CDF0AA9E5D09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 odxf="1" dxf="1" numFmtId="19">
    <nc r="Z128">
      <v>43908</v>
    </nc>
    <odxf>
      <numFmt numFmtId="0" formatCode="General"/>
      <alignment horizontal="general" vertical="bottom" readingOrder="0"/>
    </odxf>
    <ndxf>
      <numFmt numFmtId="164" formatCode="[$-409]d\-mmm\-yyyy;@"/>
      <alignment horizontal="left" vertical="top" readingOrder="0"/>
    </ndxf>
  </rcc>
  <rcc rId="18" sId="1" odxf="1" dxf="1">
    <nc r="AB128" t="inlineStr">
      <is>
        <t>OK</t>
      </is>
    </nc>
    <odxf>
      <numFmt numFmtId="0" formatCode="General"/>
      <alignment horizontal="general" vertical="bottom" readingOrder="0"/>
    </odxf>
    <ndxf>
      <numFmt numFmtId="19" formatCode="m/d/yyyy"/>
      <alignment horizontal="left" vertical="top" readingOrder="0"/>
    </ndxf>
  </rcc>
  <rcc rId="19" sId="1" odxf="1" dxf="1">
    <nc r="AC128">
      <v>100</v>
    </nc>
    <odxf>
      <font>
        <sz val="11"/>
        <color theme="1"/>
        <name val="Calibri"/>
        <scheme val="minor"/>
      </font>
      <alignment horizontal="general" vertical="bottom" readingOrder="0"/>
    </odxf>
    <ndxf>
      <font>
        <sz val="11"/>
        <color theme="1"/>
        <name val="Calibri"/>
        <scheme val="minor"/>
      </font>
      <alignment horizontal="left" vertical="top" readingOrder="0"/>
    </ndxf>
  </rcc>
  <rcc rId="20" sId="1" odxf="1" dxf="1">
    <nc r="AD128">
      <v>100</v>
    </nc>
    <odxf>
      <font>
        <sz val="11"/>
        <color theme="1"/>
        <name val="Calibri"/>
        <scheme val="minor"/>
      </font>
      <alignment horizontal="general" vertical="bottom" readingOrder="0"/>
    </odxf>
    <ndxf>
      <font>
        <sz val="11"/>
        <color theme="1"/>
        <name val="Calibri"/>
        <scheme val="minor"/>
      </font>
      <alignment horizontal="left" vertical="top" readingOrder="0"/>
    </ndxf>
  </rcc>
  <rcc rId="21" sId="1" odxf="1" dxf="1">
    <nc r="AE128">
      <v>100</v>
    </nc>
    <odxf>
      <font>
        <sz val="11"/>
        <color theme="1"/>
        <name val="Calibri"/>
        <scheme val="minor"/>
      </font>
      <alignment horizontal="general" vertical="bottom" readingOrder="0"/>
    </odxf>
    <ndxf>
      <font>
        <sz val="11"/>
        <color theme="1"/>
        <name val="Calibri"/>
        <scheme val="minor"/>
      </font>
      <alignment horizontal="left" vertical="top" readingOrder="0"/>
    </ndxf>
  </rcc>
  <rcv guid="{7E0EA425-A420-4443-B9E0-CDF0AA9E5D09}" action="delete"/>
  <rdn rId="0" localSheetId="1" customView="1" name="Z_7E0EA425_A420_4443_B9E0_CDF0AA9E5D09_.wvu.Cols" hidden="1" oldHidden="1">
    <formula>COEM_Package_20200302!$N:$N,COEM_Package_20200302!$P:$Q</formula>
    <oldFormula>COEM_Package_20200302!$N:$N,COEM_Package_20200302!$P:$Q</oldFormula>
  </rdn>
  <rdn rId="0" localSheetId="1" customView="1" name="Z_7E0EA425_A420_4443_B9E0_CDF0AA9E5D09_.wvu.FilterData" hidden="1" oldHidden="1">
    <formula>COEM_Package_20200302!$B$2:$AG$164</formula>
    <oldFormula>COEM_Package_20200302!$B$2:$AG$164</oldFormula>
  </rdn>
  <rdn rId="0" localSheetId="5" customView="1" name="Z_7E0EA425_A420_4443_B9E0_CDF0AA9E5D09_.wvu.FilterData" hidden="1" oldHidden="1">
    <formula>Template!$B$2:$R$14</formula>
    <oldFormula>Template!$B$2:$R$14</oldFormula>
  </rdn>
  <rcv guid="{7E0EA425-A420-4443-B9E0-CDF0AA9E5D09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G128">
    <dxf>
      <fill>
        <patternFill patternType="solid">
          <bgColor rgb="FF92D050"/>
        </patternFill>
      </fill>
    </dxf>
  </rfmt>
  <rfmt sheetId="1" sqref="E123" start="0" length="0">
    <dxf>
      <font>
        <sz val="11"/>
        <color theme="1"/>
        <name val="Calibri"/>
        <scheme val="minor"/>
      </font>
    </dxf>
  </rfmt>
  <rfmt sheetId="8" sqref="D31" start="0" length="0">
    <dxf>
      <font>
        <b/>
        <sz val="11"/>
        <color theme="1"/>
        <name val="Calibri"/>
        <scheme val="minor"/>
      </font>
    </dxf>
  </rfmt>
  <rfmt sheetId="8" sqref="E31" start="0" length="0">
    <dxf>
      <font>
        <b/>
        <sz val="11"/>
        <color theme="1"/>
        <name val="Calibri"/>
        <scheme val="minor"/>
      </font>
    </dxf>
  </rfmt>
  <rfmt sheetId="8" sqref="F31" start="0" length="0">
    <dxf>
      <font>
        <b/>
        <sz val="11"/>
        <color theme="1"/>
        <name val="Calibri"/>
        <scheme val="minor"/>
      </font>
    </dxf>
  </rfmt>
  <rfmt sheetId="8" sqref="E32" start="0" length="0">
    <dxf>
      <font>
        <b/>
        <sz val="11"/>
        <color theme="1"/>
        <name val="Calibri"/>
        <scheme val="minor"/>
      </font>
    </dxf>
  </rfmt>
  <rfmt sheetId="8" sqref="E33" start="0" length="0">
    <dxf>
      <font>
        <b/>
        <sz val="11"/>
        <color theme="1"/>
        <name val="Calibri"/>
        <scheme val="minor"/>
      </font>
    </dxf>
  </rfmt>
  <rfmt sheetId="8" sqref="E34" start="0" length="0">
    <dxf>
      <font>
        <b/>
        <sz val="11"/>
        <color theme="1"/>
        <name val="Calibri"/>
        <scheme val="minor"/>
      </font>
    </dxf>
  </rfmt>
  <rfmt sheetId="1" sqref="T123">
    <dxf>
      <fill>
        <patternFill patternType="solid">
          <bgColor rgb="FF92D050"/>
        </patternFill>
      </fill>
    </dxf>
  </rfmt>
  <rfmt sheetId="1" sqref="T132">
    <dxf>
      <fill>
        <patternFill patternType="solid">
          <bgColor rgb="FF92D050"/>
        </patternFill>
      </fill>
    </dxf>
  </rfmt>
  <rcc rId="25" sId="8">
    <oc r="H19">
      <v>6094</v>
    </oc>
    <nc r="H19">
      <f>6094+111</f>
    </nc>
  </rcc>
  <rcc rId="26" sId="8">
    <oc r="I19">
      <v>6094</v>
    </oc>
    <nc r="I19">
      <f>6094+41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>
    <oc r="T140">
      <v>435</v>
    </oc>
    <nc r="T140">
      <v>439</v>
    </nc>
  </rcc>
  <rdn rId="0" localSheetId="1" customView="1" name="Z_D1CE1C7B_C5EA_487A_B174_370E881055E2_.wvu.Cols" hidden="1" oldHidden="1">
    <formula>COEM_Package_20200302!$N:$N,COEM_Package_20200302!$P:$Q</formula>
  </rdn>
  <rdn rId="0" localSheetId="1" customView="1" name="Z_D1CE1C7B_C5EA_487A_B174_370E881055E2_.wvu.FilterData" hidden="1" oldHidden="1">
    <formula>COEM_Package_20200302!$B$2:$AG$164</formula>
  </rdn>
  <rdn rId="0" localSheetId="5" customView="1" name="Z_D1CE1C7B_C5EA_487A_B174_370E881055E2_.wvu.FilterData" hidden="1" oldHidden="1">
    <formula>Template!$B$2:$R$14</formula>
  </rdn>
  <rcv guid="{D1CE1C7B-C5EA-487A-B174-370E881055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comments" Target="../comments1.xml"/><Relationship Id="rId4" Type="http://schemas.openxmlformats.org/officeDocument/2006/relationships/printerSettings" Target="../printerSettings/printerSettings4.bin"/><Relationship Id="rId9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2:AG198"/>
  <sheetViews>
    <sheetView topLeftCell="A168" zoomScale="85" zoomScaleNormal="85" workbookViewId="0">
      <selection activeCell="F184" sqref="F184"/>
    </sheetView>
  </sheetViews>
  <sheetFormatPr defaultRowHeight="14.5" x14ac:dyDescent="0.35"/>
  <cols>
    <col min="3" max="3" width="17.81640625" bestFit="1" customWidth="1"/>
    <col min="4" max="4" width="17.453125" bestFit="1" customWidth="1"/>
    <col min="5" max="5" width="55.453125" bestFit="1" customWidth="1"/>
    <col min="6" max="6" width="61.81640625" bestFit="1" customWidth="1"/>
    <col min="7" max="7" width="12" bestFit="1" customWidth="1"/>
    <col min="8" max="8" width="59.1796875" customWidth="1"/>
    <col min="9" max="9" width="16.81640625" bestFit="1" customWidth="1"/>
    <col min="10" max="10" width="18.1796875" customWidth="1"/>
    <col min="11" max="11" width="35.81640625" customWidth="1"/>
    <col min="12" max="12" width="13.1796875" customWidth="1"/>
    <col min="13" max="13" width="42.453125" customWidth="1"/>
    <col min="14" max="14" width="8.26953125" style="52" hidden="1" customWidth="1"/>
    <col min="15" max="15" width="17.54296875" bestFit="1" customWidth="1"/>
    <col min="16" max="16" width="17.81640625" hidden="1" customWidth="1"/>
    <col min="17" max="17" width="13.54296875" hidden="1" customWidth="1"/>
    <col min="18" max="18" width="14" bestFit="1" customWidth="1"/>
    <col min="19" max="19" width="14.81640625" customWidth="1"/>
    <col min="20" max="20" width="12.81640625" bestFit="1" customWidth="1"/>
    <col min="21" max="21" width="14" customWidth="1"/>
    <col min="22" max="22" width="11.1796875" bestFit="1" customWidth="1"/>
    <col min="23" max="23" width="17.81640625" bestFit="1" customWidth="1"/>
    <col min="24" max="24" width="12.81640625" bestFit="1" customWidth="1"/>
    <col min="25" max="26" width="12" bestFit="1" customWidth="1"/>
    <col min="27" max="27" width="20.453125" customWidth="1"/>
    <col min="28" max="28" width="12.453125" bestFit="1" customWidth="1"/>
    <col min="29" max="29" width="5" bestFit="1" customWidth="1"/>
    <col min="30" max="30" width="4" bestFit="1" customWidth="1"/>
    <col min="31" max="31" width="6.453125" bestFit="1" customWidth="1"/>
    <col min="32" max="32" width="115.7265625" bestFit="1" customWidth="1"/>
    <col min="33" max="33" width="44.453125" bestFit="1" customWidth="1"/>
    <col min="34" max="34" width="39.81640625" customWidth="1"/>
  </cols>
  <sheetData>
    <row r="2" spans="2:33" x14ac:dyDescent="0.35">
      <c r="B2" s="2" t="s">
        <v>0</v>
      </c>
      <c r="C2" s="2" t="s">
        <v>97</v>
      </c>
      <c r="D2" s="2" t="s">
        <v>1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216</v>
      </c>
      <c r="J2" s="2" t="s">
        <v>113</v>
      </c>
      <c r="K2" s="2" t="s">
        <v>107</v>
      </c>
      <c r="L2" s="2" t="s">
        <v>89</v>
      </c>
      <c r="M2" s="2" t="s">
        <v>188</v>
      </c>
      <c r="N2" s="4" t="s">
        <v>67</v>
      </c>
      <c r="O2" s="4" t="s">
        <v>67</v>
      </c>
      <c r="P2" s="4" t="s">
        <v>186</v>
      </c>
      <c r="Q2" s="4" t="s">
        <v>200</v>
      </c>
      <c r="R2" s="4" t="s">
        <v>176</v>
      </c>
      <c r="S2" s="4" t="s">
        <v>177</v>
      </c>
      <c r="T2" s="4" t="s">
        <v>64</v>
      </c>
      <c r="U2" s="4" t="s">
        <v>187</v>
      </c>
      <c r="V2" s="4" t="s">
        <v>65</v>
      </c>
      <c r="W2" s="4" t="s">
        <v>20</v>
      </c>
      <c r="X2" s="4" t="s">
        <v>86</v>
      </c>
      <c r="Y2" s="4" t="s">
        <v>87</v>
      </c>
      <c r="Z2" s="2" t="s">
        <v>13</v>
      </c>
      <c r="AA2" s="2" t="s">
        <v>14</v>
      </c>
      <c r="AB2" s="2" t="s">
        <v>180</v>
      </c>
      <c r="AC2" s="2" t="s">
        <v>16</v>
      </c>
      <c r="AD2" s="2" t="s">
        <v>17</v>
      </c>
      <c r="AE2" s="4" t="s">
        <v>18</v>
      </c>
      <c r="AF2" s="4" t="s">
        <v>19</v>
      </c>
      <c r="AG2" s="4" t="s">
        <v>189</v>
      </c>
    </row>
    <row r="3" spans="2:33" hidden="1" x14ac:dyDescent="0.35">
      <c r="B3" s="30">
        <v>1</v>
      </c>
      <c r="C3" s="32">
        <v>20200302</v>
      </c>
      <c r="D3" s="30" t="s">
        <v>3</v>
      </c>
      <c r="E3" s="30" t="s">
        <v>394</v>
      </c>
      <c r="F3" s="30" t="s">
        <v>171</v>
      </c>
      <c r="G3" s="30">
        <v>1348323</v>
      </c>
      <c r="H3" s="30" t="s">
        <v>81</v>
      </c>
      <c r="I3" s="30" t="s">
        <v>217</v>
      </c>
      <c r="J3" s="33" t="s">
        <v>88</v>
      </c>
      <c r="K3" s="30" t="s">
        <v>108</v>
      </c>
      <c r="L3" s="33" t="str">
        <f>IF(D3="ASW","PUT_VERSION","-")</f>
        <v>-</v>
      </c>
      <c r="M3" s="33" t="s">
        <v>395</v>
      </c>
      <c r="N3" s="32"/>
      <c r="O3" s="30" t="s">
        <v>101</v>
      </c>
      <c r="P3" s="30" t="s">
        <v>6</v>
      </c>
      <c r="Q3" s="30" t="s">
        <v>185</v>
      </c>
      <c r="R3" s="30">
        <v>113</v>
      </c>
      <c r="S3" s="30">
        <v>113</v>
      </c>
      <c r="T3" s="30">
        <v>113</v>
      </c>
      <c r="U3" s="30">
        <v>3</v>
      </c>
      <c r="V3" s="30">
        <v>3</v>
      </c>
      <c r="W3" s="30" t="s">
        <v>21</v>
      </c>
      <c r="X3" s="34">
        <v>43892</v>
      </c>
      <c r="Y3" s="34">
        <v>43894</v>
      </c>
      <c r="Z3" s="34">
        <v>43892</v>
      </c>
      <c r="AA3" s="34">
        <v>43893</v>
      </c>
      <c r="AB3" s="38" t="s">
        <v>182</v>
      </c>
      <c r="AC3" s="38">
        <v>100</v>
      </c>
      <c r="AD3" s="38">
        <v>100</v>
      </c>
      <c r="AE3" s="38">
        <v>100</v>
      </c>
      <c r="AF3" s="30"/>
      <c r="AG3" s="30"/>
    </row>
    <row r="4" spans="2:33" s="25" customFormat="1" hidden="1" x14ac:dyDescent="0.25">
      <c r="B4" s="38">
        <f t="shared" ref="B4:B35" si="0">B3+1</f>
        <v>2</v>
      </c>
      <c r="C4" s="27">
        <v>20200302</v>
      </c>
      <c r="D4" s="38" t="s">
        <v>3</v>
      </c>
      <c r="E4" s="38" t="s">
        <v>74</v>
      </c>
      <c r="F4" s="38" t="s">
        <v>172</v>
      </c>
      <c r="G4" s="30">
        <v>1345876</v>
      </c>
      <c r="H4" s="38" t="s">
        <v>82</v>
      </c>
      <c r="I4" s="30" t="s">
        <v>217</v>
      </c>
      <c r="J4" s="30" t="s">
        <v>114</v>
      </c>
      <c r="K4" s="30" t="s">
        <v>109</v>
      </c>
      <c r="L4" s="33" t="str">
        <f>IF(D4="ASW","PUT_VERSION","-")</f>
        <v>-</v>
      </c>
      <c r="M4" s="33" t="s">
        <v>396</v>
      </c>
      <c r="N4" s="32"/>
      <c r="O4" s="38" t="s">
        <v>102</v>
      </c>
      <c r="P4" s="38" t="s">
        <v>6</v>
      </c>
      <c r="Q4" s="30" t="s">
        <v>185</v>
      </c>
      <c r="R4" s="30">
        <v>148</v>
      </c>
      <c r="S4" s="35">
        <v>357</v>
      </c>
      <c r="T4" s="38">
        <v>357</v>
      </c>
      <c r="U4" s="30">
        <v>10</v>
      </c>
      <c r="V4" s="38">
        <v>6</v>
      </c>
      <c r="W4" s="30" t="s">
        <v>21</v>
      </c>
      <c r="X4" s="109">
        <v>43893</v>
      </c>
      <c r="Y4" s="109">
        <v>43894</v>
      </c>
      <c r="Z4" s="28">
        <v>43892</v>
      </c>
      <c r="AA4" s="110">
        <v>43892</v>
      </c>
      <c r="AB4" s="38" t="s">
        <v>182</v>
      </c>
      <c r="AC4" s="38">
        <v>100</v>
      </c>
      <c r="AD4" s="38">
        <v>100</v>
      </c>
      <c r="AE4" s="38">
        <v>100</v>
      </c>
      <c r="AF4" s="30" t="s">
        <v>201</v>
      </c>
      <c r="AG4" s="30"/>
    </row>
    <row r="5" spans="2:33" hidden="1" x14ac:dyDescent="0.35">
      <c r="B5" s="38">
        <f t="shared" si="0"/>
        <v>3</v>
      </c>
      <c r="C5" s="32">
        <v>20200302</v>
      </c>
      <c r="D5" s="30" t="s">
        <v>3</v>
      </c>
      <c r="E5" s="30" t="s">
        <v>75</v>
      </c>
      <c r="F5" s="30" t="s">
        <v>173</v>
      </c>
      <c r="G5" s="30">
        <v>1350941</v>
      </c>
      <c r="H5" s="30" t="s">
        <v>83</v>
      </c>
      <c r="I5" s="30" t="s">
        <v>217</v>
      </c>
      <c r="J5" s="30" t="s">
        <v>115</v>
      </c>
      <c r="K5" s="30" t="s">
        <v>110</v>
      </c>
      <c r="L5" s="33" t="str">
        <f>IF(D5="ASW","PUT_VERSION","-")</f>
        <v>-</v>
      </c>
      <c r="M5" s="33" t="s">
        <v>397</v>
      </c>
      <c r="N5" s="32"/>
      <c r="O5" s="30" t="s">
        <v>101</v>
      </c>
      <c r="P5" s="30" t="s">
        <v>6</v>
      </c>
      <c r="Q5" s="30" t="s">
        <v>185</v>
      </c>
      <c r="R5" s="30">
        <v>291</v>
      </c>
      <c r="S5" s="30">
        <v>291</v>
      </c>
      <c r="T5" s="30">
        <v>291</v>
      </c>
      <c r="U5" s="30">
        <v>8</v>
      </c>
      <c r="V5" s="30">
        <v>10</v>
      </c>
      <c r="W5" s="30" t="s">
        <v>21</v>
      </c>
      <c r="X5" s="34">
        <v>43892</v>
      </c>
      <c r="Y5" s="34">
        <v>43894</v>
      </c>
      <c r="Z5" s="34">
        <v>43892</v>
      </c>
      <c r="AA5" s="34">
        <v>43893</v>
      </c>
      <c r="AB5" s="34" t="s">
        <v>182</v>
      </c>
      <c r="AC5" s="38">
        <v>100</v>
      </c>
      <c r="AD5" s="38">
        <v>100</v>
      </c>
      <c r="AE5" s="38">
        <v>100</v>
      </c>
      <c r="AF5" s="30" t="s">
        <v>178</v>
      </c>
      <c r="AG5" s="30" t="s">
        <v>202</v>
      </c>
    </row>
    <row r="6" spans="2:33" ht="29" hidden="1" x14ac:dyDescent="0.35">
      <c r="B6" s="38">
        <f t="shared" si="0"/>
        <v>4</v>
      </c>
      <c r="C6" s="32">
        <v>20200302</v>
      </c>
      <c r="D6" s="30" t="s">
        <v>3</v>
      </c>
      <c r="E6" s="30" t="s">
        <v>76</v>
      </c>
      <c r="F6" s="30" t="s">
        <v>174</v>
      </c>
      <c r="G6" s="30">
        <v>1351929</v>
      </c>
      <c r="H6" s="30" t="s">
        <v>84</v>
      </c>
      <c r="I6" s="30" t="s">
        <v>217</v>
      </c>
      <c r="J6" s="30" t="s">
        <v>116</v>
      </c>
      <c r="K6" s="31" t="s">
        <v>111</v>
      </c>
      <c r="L6" s="33" t="str">
        <f>IF(D6="ASW","PUT_VERSION","-")</f>
        <v>-</v>
      </c>
      <c r="M6" s="33" t="s">
        <v>395</v>
      </c>
      <c r="N6" s="32"/>
      <c r="O6" s="30" t="s">
        <v>104</v>
      </c>
      <c r="P6" s="30" t="s">
        <v>6</v>
      </c>
      <c r="Q6" s="30" t="s">
        <v>185</v>
      </c>
      <c r="R6" s="30">
        <v>254</v>
      </c>
      <c r="S6" s="30">
        <v>254</v>
      </c>
      <c r="T6" s="30">
        <f>S6</f>
        <v>254</v>
      </c>
      <c r="U6" s="30">
        <f>ROUNDDOWN(S6/HLOOKUP(D6,Table!$C$3:$D$4,2,0)*8,2)</f>
        <v>4.51</v>
      </c>
      <c r="V6" s="30">
        <v>10</v>
      </c>
      <c r="W6" s="30" t="s">
        <v>214</v>
      </c>
      <c r="X6" s="34">
        <v>43892</v>
      </c>
      <c r="Y6" s="34">
        <v>43893</v>
      </c>
      <c r="Z6" s="34">
        <v>43892</v>
      </c>
      <c r="AA6" s="34">
        <v>43893</v>
      </c>
      <c r="AB6" s="34" t="s">
        <v>181</v>
      </c>
      <c r="AC6" s="38">
        <v>100</v>
      </c>
      <c r="AD6" s="38">
        <v>100</v>
      </c>
      <c r="AE6" s="38">
        <v>95</v>
      </c>
      <c r="AF6" s="41" t="s">
        <v>183</v>
      </c>
      <c r="AG6" s="41" t="s">
        <v>471</v>
      </c>
    </row>
    <row r="7" spans="2:33" x14ac:dyDescent="0.35">
      <c r="B7" s="38">
        <f t="shared" si="0"/>
        <v>5</v>
      </c>
      <c r="C7" s="32">
        <v>20200302</v>
      </c>
      <c r="D7" s="30" t="s">
        <v>2</v>
      </c>
      <c r="E7" s="31" t="s">
        <v>85</v>
      </c>
      <c r="F7" s="33" t="s">
        <v>88</v>
      </c>
      <c r="G7" s="30">
        <v>1352219</v>
      </c>
      <c r="H7" s="30" t="s">
        <v>68</v>
      </c>
      <c r="I7" s="30" t="s">
        <v>217</v>
      </c>
      <c r="J7" s="33" t="s">
        <v>88</v>
      </c>
      <c r="K7" s="30">
        <v>1352219</v>
      </c>
      <c r="L7" s="33" t="s">
        <v>130</v>
      </c>
      <c r="M7" s="33" t="s">
        <v>398</v>
      </c>
      <c r="N7" s="32"/>
      <c r="O7" s="30" t="s">
        <v>103</v>
      </c>
      <c r="P7" s="30" t="s">
        <v>6</v>
      </c>
      <c r="Q7" s="30" t="s">
        <v>185</v>
      </c>
      <c r="R7" s="30">
        <v>19</v>
      </c>
      <c r="S7" s="30">
        <v>19</v>
      </c>
      <c r="T7" s="30">
        <v>19</v>
      </c>
      <c r="U7" s="30">
        <f>ROUNDDOWN(S7/HLOOKUP(D7,Table!$C$3:$D$4,2,0)*8,2)</f>
        <v>1.1599999999999999</v>
      </c>
      <c r="V7" s="30">
        <v>4</v>
      </c>
      <c r="W7" s="30" t="s">
        <v>214</v>
      </c>
      <c r="X7" s="34">
        <v>43892</v>
      </c>
      <c r="Y7" s="34">
        <v>43893</v>
      </c>
      <c r="Z7" s="34">
        <v>43893</v>
      </c>
      <c r="AA7" s="34">
        <v>43893</v>
      </c>
      <c r="AB7" s="34" t="s">
        <v>181</v>
      </c>
      <c r="AC7" s="38">
        <v>95.6</v>
      </c>
      <c r="AD7" s="38">
        <v>96</v>
      </c>
      <c r="AE7" s="42" t="s">
        <v>88</v>
      </c>
      <c r="AF7" s="30" t="s">
        <v>179</v>
      </c>
      <c r="AG7" s="30" t="s">
        <v>202</v>
      </c>
    </row>
    <row r="8" spans="2:33" x14ac:dyDescent="0.35">
      <c r="B8" s="38">
        <f t="shared" si="0"/>
        <v>6</v>
      </c>
      <c r="C8" s="32">
        <v>20200302</v>
      </c>
      <c r="D8" s="30" t="s">
        <v>3</v>
      </c>
      <c r="E8" s="30" t="s">
        <v>91</v>
      </c>
      <c r="F8" s="33" t="s">
        <v>215</v>
      </c>
      <c r="G8" s="30">
        <v>1351848</v>
      </c>
      <c r="H8" s="30" t="s">
        <v>93</v>
      </c>
      <c r="I8" s="30" t="s">
        <v>217</v>
      </c>
      <c r="J8" s="30">
        <v>80504</v>
      </c>
      <c r="K8" s="30" t="s">
        <v>109</v>
      </c>
      <c r="L8" s="33" t="str">
        <f t="shared" ref="L8:L25" si="1">IF(D8="ASW","PUT_VERSION","-")</f>
        <v>-</v>
      </c>
      <c r="M8" s="33" t="s">
        <v>399</v>
      </c>
      <c r="N8" s="32"/>
      <c r="O8" s="30" t="s">
        <v>103</v>
      </c>
      <c r="P8" s="30" t="s">
        <v>6</v>
      </c>
      <c r="Q8" s="30" t="s">
        <v>185</v>
      </c>
      <c r="R8" s="30">
        <v>478</v>
      </c>
      <c r="S8" s="30">
        <v>478</v>
      </c>
      <c r="T8" s="30">
        <v>478</v>
      </c>
      <c r="U8" s="30">
        <f>ROUNDDOWN(S8/HLOOKUP(D8,Table!$C$3:$D$4,2,0)*8,2)</f>
        <v>8.49</v>
      </c>
      <c r="V8" s="30">
        <v>14</v>
      </c>
      <c r="W8" s="30" t="s">
        <v>24</v>
      </c>
      <c r="X8" s="34">
        <v>43892</v>
      </c>
      <c r="Y8" s="34">
        <v>43894</v>
      </c>
      <c r="Z8" s="34">
        <v>43892</v>
      </c>
      <c r="AA8" s="34">
        <v>43894</v>
      </c>
      <c r="AB8" s="34" t="s">
        <v>181</v>
      </c>
      <c r="AC8" s="38">
        <v>99</v>
      </c>
      <c r="AD8" s="38">
        <v>99</v>
      </c>
      <c r="AE8" s="38">
        <v>100</v>
      </c>
      <c r="AF8" s="30" t="s">
        <v>212</v>
      </c>
      <c r="AG8" s="30" t="s">
        <v>202</v>
      </c>
    </row>
    <row r="9" spans="2:33" s="25" customFormat="1" hidden="1" x14ac:dyDescent="0.25">
      <c r="B9" s="38">
        <f t="shared" si="0"/>
        <v>7</v>
      </c>
      <c r="C9" s="32">
        <v>20200302</v>
      </c>
      <c r="D9" s="39" t="s">
        <v>3</v>
      </c>
      <c r="E9" s="39" t="s">
        <v>91</v>
      </c>
      <c r="F9" s="33" t="s">
        <v>209</v>
      </c>
      <c r="G9" s="30">
        <v>1351848</v>
      </c>
      <c r="H9" s="70" t="s">
        <v>94</v>
      </c>
      <c r="I9" s="30" t="s">
        <v>217</v>
      </c>
      <c r="J9" s="30">
        <v>80504</v>
      </c>
      <c r="K9" s="30" t="s">
        <v>109</v>
      </c>
      <c r="L9" s="33" t="str">
        <f t="shared" si="1"/>
        <v>-</v>
      </c>
      <c r="M9" s="33" t="s">
        <v>399</v>
      </c>
      <c r="N9" s="32"/>
      <c r="O9" s="27" t="s">
        <v>102</v>
      </c>
      <c r="P9" s="32" t="s">
        <v>6</v>
      </c>
      <c r="Q9" s="30" t="s">
        <v>185</v>
      </c>
      <c r="R9" s="30">
        <v>286</v>
      </c>
      <c r="S9" s="32">
        <v>286</v>
      </c>
      <c r="T9" s="32">
        <v>286</v>
      </c>
      <c r="U9" s="30">
        <f>ROUNDDOWN(S9/HLOOKUP(D9,Table!$C$3:$D$4,2,0)*8,2)</f>
        <v>5.08</v>
      </c>
      <c r="V9" s="27">
        <v>1</v>
      </c>
      <c r="W9" s="30" t="s">
        <v>21</v>
      </c>
      <c r="X9" s="34">
        <v>43892</v>
      </c>
      <c r="Y9" s="34">
        <v>43894</v>
      </c>
      <c r="Z9" s="34">
        <v>43893</v>
      </c>
      <c r="AA9" s="34">
        <v>43892</v>
      </c>
      <c r="AB9" s="34" t="s">
        <v>182</v>
      </c>
      <c r="AC9" s="38">
        <v>100</v>
      </c>
      <c r="AD9" s="38">
        <v>100</v>
      </c>
      <c r="AE9" s="38">
        <v>100</v>
      </c>
      <c r="AF9" s="30"/>
      <c r="AG9" s="33" t="s">
        <v>88</v>
      </c>
    </row>
    <row r="10" spans="2:33" hidden="1" x14ac:dyDescent="0.35">
      <c r="B10" s="38">
        <f t="shared" si="0"/>
        <v>8</v>
      </c>
      <c r="C10" s="32">
        <v>20200302</v>
      </c>
      <c r="D10" s="29" t="s">
        <v>3</v>
      </c>
      <c r="E10" s="29" t="s">
        <v>91</v>
      </c>
      <c r="F10" s="33" t="s">
        <v>209</v>
      </c>
      <c r="G10" s="30">
        <v>1351848</v>
      </c>
      <c r="H10" s="71" t="s">
        <v>96</v>
      </c>
      <c r="I10" s="30" t="s">
        <v>217</v>
      </c>
      <c r="J10" s="30">
        <v>80504</v>
      </c>
      <c r="K10" s="30" t="s">
        <v>109</v>
      </c>
      <c r="L10" s="33" t="str">
        <f t="shared" si="1"/>
        <v>-</v>
      </c>
      <c r="M10" s="33" t="s">
        <v>399</v>
      </c>
      <c r="N10" s="32"/>
      <c r="O10" s="29" t="s">
        <v>104</v>
      </c>
      <c r="P10" s="30" t="s">
        <v>6</v>
      </c>
      <c r="Q10" s="30" t="s">
        <v>185</v>
      </c>
      <c r="R10" s="30">
        <v>110</v>
      </c>
      <c r="S10" s="71">
        <f>R10</f>
        <v>110</v>
      </c>
      <c r="T10" s="71">
        <f>S10</f>
        <v>110</v>
      </c>
      <c r="U10" s="30">
        <f>ROUNDDOWN(S10/HLOOKUP(D10,Table!$C$3:$D$4,2,0)*8,2)</f>
        <v>1.95</v>
      </c>
      <c r="V10" s="50">
        <v>4</v>
      </c>
      <c r="W10" s="30" t="s">
        <v>21</v>
      </c>
      <c r="X10" s="34">
        <v>43892</v>
      </c>
      <c r="Y10" s="34">
        <v>43894</v>
      </c>
      <c r="Z10" s="34">
        <v>43894</v>
      </c>
      <c r="AA10" s="34">
        <v>43894</v>
      </c>
      <c r="AB10" s="34" t="s">
        <v>182</v>
      </c>
      <c r="AC10" s="38">
        <v>100</v>
      </c>
      <c r="AD10" s="38">
        <v>100</v>
      </c>
      <c r="AE10" s="38">
        <v>100</v>
      </c>
      <c r="AF10" s="30"/>
      <c r="AG10" s="33" t="s">
        <v>88</v>
      </c>
    </row>
    <row r="11" spans="2:33" s="26" customFormat="1" hidden="1" x14ac:dyDescent="0.25">
      <c r="B11" s="38">
        <f t="shared" si="0"/>
        <v>9</v>
      </c>
      <c r="C11" s="32">
        <v>20200302</v>
      </c>
      <c r="D11" s="27" t="s">
        <v>3</v>
      </c>
      <c r="E11" s="27" t="s">
        <v>105</v>
      </c>
      <c r="F11" s="40" t="s">
        <v>210</v>
      </c>
      <c r="G11" s="30">
        <v>1278532</v>
      </c>
      <c r="H11" s="30" t="s">
        <v>206</v>
      </c>
      <c r="I11" s="30" t="s">
        <v>217</v>
      </c>
      <c r="J11" s="30" t="s">
        <v>117</v>
      </c>
      <c r="K11" s="30" t="s">
        <v>112</v>
      </c>
      <c r="L11" s="33" t="str">
        <f t="shared" si="1"/>
        <v>-</v>
      </c>
      <c r="M11" s="33" t="s">
        <v>400</v>
      </c>
      <c r="N11" s="32"/>
      <c r="O11" s="27" t="s">
        <v>102</v>
      </c>
      <c r="P11" s="27" t="s">
        <v>6</v>
      </c>
      <c r="Q11" s="30" t="s">
        <v>185</v>
      </c>
      <c r="R11" s="30">
        <v>251</v>
      </c>
      <c r="S11" s="36">
        <v>294</v>
      </c>
      <c r="T11" s="27">
        <v>294</v>
      </c>
      <c r="U11" s="30">
        <f>ROUNDDOWN(S11/HLOOKUP(D11,Table!$C$3:$D$4,2,0)*8,2)</f>
        <v>5.22</v>
      </c>
      <c r="V11" s="27">
        <v>6.5</v>
      </c>
      <c r="W11" s="30" t="s">
        <v>21</v>
      </c>
      <c r="X11" s="34">
        <v>43892</v>
      </c>
      <c r="Y11" s="34">
        <v>43894</v>
      </c>
      <c r="Z11" s="34">
        <v>43893</v>
      </c>
      <c r="AA11" s="34">
        <v>43893</v>
      </c>
      <c r="AB11" s="34" t="s">
        <v>182</v>
      </c>
      <c r="AC11" s="38">
        <v>100</v>
      </c>
      <c r="AD11" s="38">
        <v>100</v>
      </c>
      <c r="AE11" s="38">
        <v>100</v>
      </c>
      <c r="AF11" s="30" t="s">
        <v>131</v>
      </c>
      <c r="AG11" s="33" t="s">
        <v>88</v>
      </c>
    </row>
    <row r="12" spans="2:33" hidden="1" x14ac:dyDescent="0.35">
      <c r="B12" s="38">
        <f t="shared" si="0"/>
        <v>10</v>
      </c>
      <c r="C12" s="32">
        <v>20200302</v>
      </c>
      <c r="D12" s="30" t="s">
        <v>3</v>
      </c>
      <c r="E12" s="30" t="s">
        <v>105</v>
      </c>
      <c r="F12" s="33" t="s">
        <v>210</v>
      </c>
      <c r="G12" s="30">
        <v>1278532</v>
      </c>
      <c r="H12" s="30" t="s">
        <v>207</v>
      </c>
      <c r="I12" s="30" t="s">
        <v>217</v>
      </c>
      <c r="J12" s="30" t="s">
        <v>117</v>
      </c>
      <c r="K12" s="30" t="s">
        <v>112</v>
      </c>
      <c r="L12" s="33" t="str">
        <f t="shared" si="1"/>
        <v>-</v>
      </c>
      <c r="M12" s="33" t="s">
        <v>400</v>
      </c>
      <c r="N12" s="32"/>
      <c r="O12" s="29" t="s">
        <v>102</v>
      </c>
      <c r="P12" s="29" t="s">
        <v>6</v>
      </c>
      <c r="Q12" s="30" t="s">
        <v>185</v>
      </c>
      <c r="R12" s="30">
        <v>101</v>
      </c>
      <c r="S12" s="30">
        <v>101</v>
      </c>
      <c r="T12" s="30">
        <v>101</v>
      </c>
      <c r="U12" s="30">
        <f>ROUNDDOWN(S12/HLOOKUP(D12,Table!$C$3:$D$4,2,0)*8,2)</f>
        <v>1.79</v>
      </c>
      <c r="V12" s="30">
        <v>1.5</v>
      </c>
      <c r="W12" s="30" t="s">
        <v>21</v>
      </c>
      <c r="X12" s="34">
        <v>43892</v>
      </c>
      <c r="Y12" s="34">
        <v>43894</v>
      </c>
      <c r="Z12" s="34">
        <v>43894</v>
      </c>
      <c r="AA12" s="34">
        <v>43894</v>
      </c>
      <c r="AB12" s="43" t="s">
        <v>182</v>
      </c>
      <c r="AC12" s="38">
        <v>100</v>
      </c>
      <c r="AD12" s="38">
        <v>100</v>
      </c>
      <c r="AE12" s="38">
        <v>100</v>
      </c>
      <c r="AF12" s="30"/>
      <c r="AG12" s="33" t="s">
        <v>88</v>
      </c>
    </row>
    <row r="13" spans="2:33" hidden="1" x14ac:dyDescent="0.35">
      <c r="B13" s="38">
        <f t="shared" si="0"/>
        <v>11</v>
      </c>
      <c r="C13" s="32">
        <v>20200302</v>
      </c>
      <c r="D13" s="30" t="s">
        <v>3</v>
      </c>
      <c r="E13" s="30" t="s">
        <v>105</v>
      </c>
      <c r="F13" s="33" t="s">
        <v>211</v>
      </c>
      <c r="G13" s="30">
        <v>1278532</v>
      </c>
      <c r="H13" s="71" t="s">
        <v>208</v>
      </c>
      <c r="I13" s="30" t="s">
        <v>217</v>
      </c>
      <c r="J13" s="30" t="s">
        <v>117</v>
      </c>
      <c r="K13" s="30" t="s">
        <v>112</v>
      </c>
      <c r="L13" s="33" t="str">
        <f t="shared" si="1"/>
        <v>-</v>
      </c>
      <c r="M13" s="33" t="s">
        <v>400</v>
      </c>
      <c r="N13" s="32"/>
      <c r="O13" s="29" t="s">
        <v>101</v>
      </c>
      <c r="P13" s="29"/>
      <c r="Q13" s="30"/>
      <c r="R13" s="30">
        <v>90</v>
      </c>
      <c r="S13" s="30">
        <v>90</v>
      </c>
      <c r="T13" s="30">
        <v>90</v>
      </c>
      <c r="U13" s="30">
        <f>ROUNDDOWN(S13/HLOOKUP(D13,Table!$C$3:$D$4,2,0)*8,2)</f>
        <v>1.6</v>
      </c>
      <c r="V13" s="30">
        <v>3</v>
      </c>
      <c r="W13" s="30" t="s">
        <v>21</v>
      </c>
      <c r="X13" s="34">
        <v>43892</v>
      </c>
      <c r="Y13" s="34">
        <v>43894</v>
      </c>
      <c r="Z13" s="34">
        <v>43894</v>
      </c>
      <c r="AA13" s="34">
        <v>43894</v>
      </c>
      <c r="AB13" s="34" t="s">
        <v>181</v>
      </c>
      <c r="AC13" s="38">
        <v>86</v>
      </c>
      <c r="AD13" s="38">
        <v>83</v>
      </c>
      <c r="AE13" s="38">
        <v>100</v>
      </c>
      <c r="AF13" s="30"/>
      <c r="AG13" s="33" t="s">
        <v>88</v>
      </c>
    </row>
    <row r="14" spans="2:33" hidden="1" x14ac:dyDescent="0.35">
      <c r="B14" s="38">
        <f t="shared" si="0"/>
        <v>12</v>
      </c>
      <c r="C14" s="32">
        <v>20200302</v>
      </c>
      <c r="D14" s="30" t="s">
        <v>3</v>
      </c>
      <c r="E14" s="30" t="s">
        <v>105</v>
      </c>
      <c r="F14" s="33" t="s">
        <v>175</v>
      </c>
      <c r="G14" s="30">
        <v>1278532</v>
      </c>
      <c r="H14" s="30" t="s">
        <v>106</v>
      </c>
      <c r="I14" s="30" t="s">
        <v>217</v>
      </c>
      <c r="J14" s="30" t="s">
        <v>117</v>
      </c>
      <c r="K14" s="30" t="s">
        <v>112</v>
      </c>
      <c r="L14" s="33" t="str">
        <f t="shared" si="1"/>
        <v>-</v>
      </c>
      <c r="M14" s="33" t="s">
        <v>400</v>
      </c>
      <c r="N14" s="32"/>
      <c r="O14" s="29" t="s">
        <v>102</v>
      </c>
      <c r="P14" s="29" t="s">
        <v>6</v>
      </c>
      <c r="Q14" s="30" t="s">
        <v>185</v>
      </c>
      <c r="R14" s="30">
        <v>101</v>
      </c>
      <c r="S14" s="31">
        <v>183</v>
      </c>
      <c r="T14" s="30">
        <v>183</v>
      </c>
      <c r="U14" s="30">
        <f>ROUNDDOWN(S14/HLOOKUP(D14,Table!$C$3:$D$4,2,0)*8,2)</f>
        <v>3.25</v>
      </c>
      <c r="V14" s="30">
        <v>3</v>
      </c>
      <c r="W14" s="30" t="s">
        <v>21</v>
      </c>
      <c r="X14" s="34">
        <v>43892</v>
      </c>
      <c r="Y14" s="34">
        <v>43894</v>
      </c>
      <c r="Z14" s="34">
        <v>43894</v>
      </c>
      <c r="AA14" s="34">
        <v>43894</v>
      </c>
      <c r="AB14" s="34" t="s">
        <v>182</v>
      </c>
      <c r="AC14" s="38">
        <v>100</v>
      </c>
      <c r="AD14" s="38">
        <v>100</v>
      </c>
      <c r="AE14" s="38">
        <v>100</v>
      </c>
      <c r="AF14" s="30" t="s">
        <v>132</v>
      </c>
      <c r="AG14" s="33" t="s">
        <v>88</v>
      </c>
    </row>
    <row r="15" spans="2:33" hidden="1" x14ac:dyDescent="0.35">
      <c r="B15" s="38">
        <f t="shared" si="0"/>
        <v>13</v>
      </c>
      <c r="C15" s="32">
        <v>20200303</v>
      </c>
      <c r="D15" s="30" t="s">
        <v>3</v>
      </c>
      <c r="E15" s="30" t="s">
        <v>118</v>
      </c>
      <c r="F15" s="49" t="s">
        <v>233</v>
      </c>
      <c r="G15" s="30">
        <v>1352115</v>
      </c>
      <c r="H15" s="30" t="s">
        <v>119</v>
      </c>
      <c r="I15" s="30" t="s">
        <v>217</v>
      </c>
      <c r="J15" s="30" t="s">
        <v>125</v>
      </c>
      <c r="K15" s="30" t="s">
        <v>126</v>
      </c>
      <c r="L15" s="33" t="str">
        <f t="shared" si="1"/>
        <v>-</v>
      </c>
      <c r="M15" s="33" t="s">
        <v>401</v>
      </c>
      <c r="N15" s="32"/>
      <c r="O15" s="30" t="s">
        <v>104</v>
      </c>
      <c r="P15" s="30"/>
      <c r="Q15" s="30"/>
      <c r="R15" s="30">
        <v>828</v>
      </c>
      <c r="S15" s="30">
        <f>R15</f>
        <v>828</v>
      </c>
      <c r="T15" s="30">
        <f>S15</f>
        <v>828</v>
      </c>
      <c r="U15" s="30">
        <f>ROUNDDOWN(S15/HLOOKUP(D15,Table!$C$3:$D$4,2,0)*8,2)</f>
        <v>14.72</v>
      </c>
      <c r="V15" s="30">
        <v>16</v>
      </c>
      <c r="W15" s="30" t="s">
        <v>21</v>
      </c>
      <c r="X15" s="34">
        <v>43892</v>
      </c>
      <c r="Y15" s="34">
        <v>43899</v>
      </c>
      <c r="Z15" s="34">
        <v>43894</v>
      </c>
      <c r="AA15" s="34">
        <v>43896</v>
      </c>
      <c r="AB15" s="34" t="s">
        <v>181</v>
      </c>
      <c r="AC15" s="38">
        <v>100</v>
      </c>
      <c r="AD15" s="38">
        <v>100</v>
      </c>
      <c r="AE15" s="38">
        <v>98</v>
      </c>
      <c r="AF15" s="48" t="s">
        <v>179</v>
      </c>
      <c r="AG15" s="33" t="s">
        <v>88</v>
      </c>
    </row>
    <row r="16" spans="2:33" hidden="1" x14ac:dyDescent="0.35">
      <c r="B16" s="38">
        <f t="shared" si="0"/>
        <v>14</v>
      </c>
      <c r="C16" s="32">
        <v>20200303</v>
      </c>
      <c r="D16" s="30" t="s">
        <v>3</v>
      </c>
      <c r="E16" s="30" t="s">
        <v>120</v>
      </c>
      <c r="F16" s="33" t="s">
        <v>203</v>
      </c>
      <c r="G16" s="30">
        <v>1353313</v>
      </c>
      <c r="H16" s="30" t="s">
        <v>121</v>
      </c>
      <c r="I16" s="30" t="s">
        <v>217</v>
      </c>
      <c r="J16" s="30" t="s">
        <v>125</v>
      </c>
      <c r="K16" s="30" t="s">
        <v>127</v>
      </c>
      <c r="L16" s="33" t="str">
        <f t="shared" si="1"/>
        <v>-</v>
      </c>
      <c r="M16" s="33" t="s">
        <v>402</v>
      </c>
      <c r="N16" s="32"/>
      <c r="O16" s="30" t="s">
        <v>102</v>
      </c>
      <c r="P16" s="30"/>
      <c r="Q16" s="30"/>
      <c r="R16" s="30">
        <v>371</v>
      </c>
      <c r="S16" s="30">
        <v>371</v>
      </c>
      <c r="T16" s="30">
        <v>371</v>
      </c>
      <c r="U16" s="30">
        <f>ROUNDDOWN(S16/HLOOKUP(D16,Table!$C$3:$D$4,2,0)*8,2)</f>
        <v>6.59</v>
      </c>
      <c r="V16" s="30">
        <v>3</v>
      </c>
      <c r="W16" s="30" t="s">
        <v>21</v>
      </c>
      <c r="X16" s="34">
        <v>43892</v>
      </c>
      <c r="Y16" s="34">
        <v>43899</v>
      </c>
      <c r="Z16" s="34">
        <v>43895</v>
      </c>
      <c r="AA16" s="34">
        <v>43895</v>
      </c>
      <c r="AB16" s="34" t="s">
        <v>182</v>
      </c>
      <c r="AC16" s="38">
        <v>100</v>
      </c>
      <c r="AD16" s="38">
        <v>100</v>
      </c>
      <c r="AE16" s="38">
        <v>100</v>
      </c>
      <c r="AF16" s="30" t="s">
        <v>232</v>
      </c>
      <c r="AG16" s="33" t="s">
        <v>88</v>
      </c>
    </row>
    <row r="17" spans="1:33" hidden="1" x14ac:dyDescent="0.35">
      <c r="B17" s="38">
        <f t="shared" si="0"/>
        <v>15</v>
      </c>
      <c r="C17" s="32">
        <v>20200303</v>
      </c>
      <c r="D17" s="30" t="s">
        <v>3</v>
      </c>
      <c r="E17" s="30" t="s">
        <v>120</v>
      </c>
      <c r="F17" s="33" t="s">
        <v>203</v>
      </c>
      <c r="G17" s="30">
        <v>1353313</v>
      </c>
      <c r="H17" s="30" t="s">
        <v>122</v>
      </c>
      <c r="I17" s="30" t="s">
        <v>217</v>
      </c>
      <c r="J17" s="30" t="s">
        <v>125</v>
      </c>
      <c r="K17" s="30" t="s">
        <v>127</v>
      </c>
      <c r="L17" s="33" t="str">
        <f t="shared" si="1"/>
        <v>-</v>
      </c>
      <c r="M17" s="33" t="s">
        <v>402</v>
      </c>
      <c r="N17" s="32"/>
      <c r="O17" s="30" t="s">
        <v>102</v>
      </c>
      <c r="P17" s="30"/>
      <c r="Q17" s="30"/>
      <c r="R17" s="30">
        <v>254</v>
      </c>
      <c r="S17" s="30">
        <v>254</v>
      </c>
      <c r="T17" s="30">
        <v>254</v>
      </c>
      <c r="U17" s="30">
        <f>ROUNDDOWN(S17/HLOOKUP(D17,Table!$C$3:$D$4,2,0)*8,2)</f>
        <v>4.51</v>
      </c>
      <c r="V17" s="30">
        <v>2</v>
      </c>
      <c r="W17" s="30" t="s">
        <v>21</v>
      </c>
      <c r="X17" s="34">
        <v>43892</v>
      </c>
      <c r="Y17" s="34">
        <v>43899</v>
      </c>
      <c r="Z17" s="34">
        <v>43895</v>
      </c>
      <c r="AA17" s="34">
        <v>43895</v>
      </c>
      <c r="AB17" s="34" t="s">
        <v>182</v>
      </c>
      <c r="AC17" s="38">
        <v>100</v>
      </c>
      <c r="AD17" s="38">
        <v>100</v>
      </c>
      <c r="AE17" s="38">
        <v>100</v>
      </c>
      <c r="AF17" s="30"/>
      <c r="AG17" s="33" t="s">
        <v>88</v>
      </c>
    </row>
    <row r="18" spans="1:33" x14ac:dyDescent="0.35">
      <c r="B18" s="38">
        <f t="shared" si="0"/>
        <v>16</v>
      </c>
      <c r="C18" s="32">
        <v>20200303</v>
      </c>
      <c r="D18" s="30" t="s">
        <v>3</v>
      </c>
      <c r="E18" s="30" t="s">
        <v>120</v>
      </c>
      <c r="F18" s="33" t="s">
        <v>204</v>
      </c>
      <c r="G18" s="30">
        <v>1353313</v>
      </c>
      <c r="H18" s="30" t="s">
        <v>123</v>
      </c>
      <c r="I18" s="30" t="s">
        <v>217</v>
      </c>
      <c r="J18" s="30" t="s">
        <v>125</v>
      </c>
      <c r="K18" s="30" t="s">
        <v>127</v>
      </c>
      <c r="L18" s="33" t="str">
        <f t="shared" si="1"/>
        <v>-</v>
      </c>
      <c r="M18" s="33" t="s">
        <v>402</v>
      </c>
      <c r="N18" s="32"/>
      <c r="O18" s="30" t="s">
        <v>103</v>
      </c>
      <c r="P18" s="30"/>
      <c r="Q18" s="30"/>
      <c r="R18" s="30">
        <v>395</v>
      </c>
      <c r="S18" s="30">
        <v>395</v>
      </c>
      <c r="T18" s="30">
        <v>395</v>
      </c>
      <c r="U18" s="30">
        <f>ROUNDDOWN(S18/HLOOKUP(D18,Table!$C$3:$D$4,2,0)*8,2)</f>
        <v>7.02</v>
      </c>
      <c r="V18" s="30">
        <v>5</v>
      </c>
      <c r="W18" s="30" t="s">
        <v>21</v>
      </c>
      <c r="X18" s="34">
        <v>43892</v>
      </c>
      <c r="Y18" s="34">
        <v>43899</v>
      </c>
      <c r="Z18" s="34">
        <v>43895</v>
      </c>
      <c r="AA18" s="34">
        <v>43895</v>
      </c>
      <c r="AB18" s="34" t="s">
        <v>182</v>
      </c>
      <c r="AC18" s="30">
        <v>100</v>
      </c>
      <c r="AD18" s="30">
        <v>100</v>
      </c>
      <c r="AE18" s="30">
        <v>100</v>
      </c>
      <c r="AF18" s="30"/>
      <c r="AG18" s="33" t="s">
        <v>88</v>
      </c>
    </row>
    <row r="19" spans="1:33" x14ac:dyDescent="0.35">
      <c r="B19" s="38">
        <f t="shared" si="0"/>
        <v>17</v>
      </c>
      <c r="C19" s="32">
        <v>20200303</v>
      </c>
      <c r="D19" s="30" t="s">
        <v>3</v>
      </c>
      <c r="E19" s="30" t="s">
        <v>120</v>
      </c>
      <c r="F19" s="33" t="s">
        <v>205</v>
      </c>
      <c r="G19" s="30">
        <v>1353313</v>
      </c>
      <c r="H19" s="30" t="s">
        <v>123</v>
      </c>
      <c r="I19" s="30" t="s">
        <v>217</v>
      </c>
      <c r="J19" s="30" t="s">
        <v>125</v>
      </c>
      <c r="K19" s="30" t="s">
        <v>127</v>
      </c>
      <c r="L19" s="33" t="str">
        <f t="shared" si="1"/>
        <v>-</v>
      </c>
      <c r="M19" s="33" t="s">
        <v>402</v>
      </c>
      <c r="N19" s="32"/>
      <c r="O19" s="30" t="s">
        <v>103</v>
      </c>
      <c r="P19" s="30"/>
      <c r="Q19" s="30"/>
      <c r="R19" s="30">
        <v>395</v>
      </c>
      <c r="S19" s="30">
        <v>395</v>
      </c>
      <c r="T19" s="30">
        <v>395</v>
      </c>
      <c r="U19" s="30">
        <f>ROUNDDOWN(S19/HLOOKUP(D19,Table!$C$3:$D$4,2,0)*8,2)</f>
        <v>7.02</v>
      </c>
      <c r="V19" s="30">
        <v>5</v>
      </c>
      <c r="W19" s="30" t="s">
        <v>21</v>
      </c>
      <c r="X19" s="34">
        <v>43892</v>
      </c>
      <c r="Y19" s="34">
        <v>43899</v>
      </c>
      <c r="Z19" s="34">
        <v>43895</v>
      </c>
      <c r="AA19" s="34">
        <v>43895</v>
      </c>
      <c r="AB19" s="34" t="s">
        <v>182</v>
      </c>
      <c r="AC19" s="30">
        <v>100</v>
      </c>
      <c r="AD19" s="30">
        <v>100</v>
      </c>
      <c r="AE19" s="30">
        <v>100</v>
      </c>
      <c r="AG19" s="33" t="s">
        <v>88</v>
      </c>
    </row>
    <row r="20" spans="1:33" hidden="1" x14ac:dyDescent="0.35">
      <c r="B20" s="38">
        <f t="shared" si="0"/>
        <v>18</v>
      </c>
      <c r="C20" s="32">
        <v>20200306</v>
      </c>
      <c r="D20" s="32" t="s">
        <v>3</v>
      </c>
      <c r="E20" s="32" t="s">
        <v>223</v>
      </c>
      <c r="F20" s="53" t="s">
        <v>224</v>
      </c>
      <c r="G20" s="32">
        <v>1360296</v>
      </c>
      <c r="H20" s="32" t="s">
        <v>225</v>
      </c>
      <c r="I20" s="31" t="s">
        <v>218</v>
      </c>
      <c r="J20" s="3">
        <v>99478</v>
      </c>
      <c r="K20" s="30" t="s">
        <v>231</v>
      </c>
      <c r="L20" s="33" t="str">
        <f t="shared" si="1"/>
        <v>-</v>
      </c>
      <c r="M20" s="33" t="s">
        <v>403</v>
      </c>
      <c r="N20" s="32"/>
      <c r="O20" s="30" t="s">
        <v>101</v>
      </c>
      <c r="P20" s="30" t="s">
        <v>101</v>
      </c>
      <c r="Q20" s="30" t="s">
        <v>185</v>
      </c>
      <c r="R20" s="30">
        <v>96</v>
      </c>
      <c r="S20" s="30">
        <v>96</v>
      </c>
      <c r="T20" s="30">
        <v>96</v>
      </c>
      <c r="U20" s="30">
        <f>ROUNDDOWN(S20/HLOOKUP(D20,Table!$C$3:$D$4,2,0)*8,2)</f>
        <v>1.7</v>
      </c>
      <c r="V20" s="30">
        <v>3</v>
      </c>
      <c r="W20" s="30" t="s">
        <v>128</v>
      </c>
      <c r="X20" s="34"/>
      <c r="Y20" s="34">
        <v>43899</v>
      </c>
      <c r="Z20" s="34">
        <v>43896</v>
      </c>
      <c r="AA20" s="34">
        <v>43896</v>
      </c>
      <c r="AB20" s="34" t="s">
        <v>181</v>
      </c>
      <c r="AC20" s="30">
        <v>97</v>
      </c>
      <c r="AD20" s="30">
        <v>95</v>
      </c>
      <c r="AE20" s="30">
        <v>92</v>
      </c>
      <c r="AF20" s="30" t="s">
        <v>235</v>
      </c>
      <c r="AG20" s="33" t="s">
        <v>88</v>
      </c>
    </row>
    <row r="21" spans="1:33" hidden="1" x14ac:dyDescent="0.35">
      <c r="B21" s="38">
        <f t="shared" si="0"/>
        <v>19</v>
      </c>
      <c r="C21" s="32">
        <v>20200306</v>
      </c>
      <c r="D21" s="32" t="s">
        <v>3</v>
      </c>
      <c r="E21" s="32" t="s">
        <v>223</v>
      </c>
      <c r="F21" s="53" t="s">
        <v>224</v>
      </c>
      <c r="G21" s="32">
        <v>1360296</v>
      </c>
      <c r="H21" s="32" t="s">
        <v>226</v>
      </c>
      <c r="I21" s="31" t="s">
        <v>218</v>
      </c>
      <c r="J21" s="3">
        <v>99478</v>
      </c>
      <c r="K21" s="30" t="s">
        <v>231</v>
      </c>
      <c r="L21" s="33" t="str">
        <f t="shared" si="1"/>
        <v>-</v>
      </c>
      <c r="M21" s="33" t="s">
        <v>403</v>
      </c>
      <c r="N21" s="32"/>
      <c r="O21" s="30" t="s">
        <v>102</v>
      </c>
      <c r="P21" s="30" t="s">
        <v>101</v>
      </c>
      <c r="Q21" s="30" t="s">
        <v>185</v>
      </c>
      <c r="R21" s="30">
        <v>28</v>
      </c>
      <c r="S21" s="30">
        <v>28</v>
      </c>
      <c r="T21" s="30">
        <v>28</v>
      </c>
      <c r="U21" s="30">
        <f>ROUNDDOWN(S21/HLOOKUP(D21,Table!$C$3:$D$4,2,0)*8,2)</f>
        <v>0.49</v>
      </c>
      <c r="V21" s="30">
        <v>1</v>
      </c>
      <c r="W21" s="30" t="s">
        <v>128</v>
      </c>
      <c r="X21" s="34"/>
      <c r="Y21" s="34">
        <v>43896</v>
      </c>
      <c r="Z21" s="34">
        <v>43896</v>
      </c>
      <c r="AA21" s="34">
        <v>43896</v>
      </c>
      <c r="AB21" s="34" t="s">
        <v>182</v>
      </c>
      <c r="AC21" s="38">
        <v>100</v>
      </c>
      <c r="AD21" s="38">
        <v>100</v>
      </c>
      <c r="AE21" s="38">
        <v>100</v>
      </c>
      <c r="AF21" s="30"/>
      <c r="AG21" s="33" t="s">
        <v>88</v>
      </c>
    </row>
    <row r="22" spans="1:33" hidden="1" x14ac:dyDescent="0.35">
      <c r="B22" s="38">
        <f t="shared" si="0"/>
        <v>20</v>
      </c>
      <c r="C22" s="32">
        <v>20200306</v>
      </c>
      <c r="D22" s="32" t="s">
        <v>3</v>
      </c>
      <c r="E22" s="32" t="s">
        <v>223</v>
      </c>
      <c r="F22" s="53" t="s">
        <v>224</v>
      </c>
      <c r="G22" s="32">
        <v>1360296</v>
      </c>
      <c r="H22" s="32" t="s">
        <v>227</v>
      </c>
      <c r="I22" s="31" t="s">
        <v>218</v>
      </c>
      <c r="J22" s="3">
        <v>99478</v>
      </c>
      <c r="K22" s="30" t="s">
        <v>231</v>
      </c>
      <c r="L22" s="33" t="str">
        <f t="shared" si="1"/>
        <v>-</v>
      </c>
      <c r="M22" s="33" t="s">
        <v>403</v>
      </c>
      <c r="N22" s="32"/>
      <c r="O22" s="30" t="s">
        <v>102</v>
      </c>
      <c r="P22" s="30" t="s">
        <v>101</v>
      </c>
      <c r="Q22" s="30" t="s">
        <v>185</v>
      </c>
      <c r="R22" s="30">
        <v>36</v>
      </c>
      <c r="S22" s="30">
        <v>36</v>
      </c>
      <c r="T22" s="30">
        <v>36</v>
      </c>
      <c r="U22" s="30">
        <f>ROUNDDOWN(S22/HLOOKUP(D22,Table!$C$3:$D$4,2,0)*8,2)</f>
        <v>0.64</v>
      </c>
      <c r="V22" s="30">
        <v>1</v>
      </c>
      <c r="W22" s="30" t="s">
        <v>128</v>
      </c>
      <c r="X22" s="34"/>
      <c r="Y22" s="34">
        <v>43896</v>
      </c>
      <c r="Z22" s="34">
        <v>43896</v>
      </c>
      <c r="AA22" s="34">
        <v>43896</v>
      </c>
      <c r="AB22" s="37" t="s">
        <v>182</v>
      </c>
      <c r="AC22" s="38">
        <v>100</v>
      </c>
      <c r="AD22" s="38">
        <v>100</v>
      </c>
      <c r="AE22" s="38">
        <v>100</v>
      </c>
      <c r="AF22" s="30"/>
      <c r="AG22" s="33" t="s">
        <v>88</v>
      </c>
    </row>
    <row r="23" spans="1:33" hidden="1" x14ac:dyDescent="0.35">
      <c r="B23" s="38">
        <f t="shared" si="0"/>
        <v>21</v>
      </c>
      <c r="C23" s="32">
        <v>20200306</v>
      </c>
      <c r="D23" s="32" t="s">
        <v>3</v>
      </c>
      <c r="E23" s="32" t="s">
        <v>223</v>
      </c>
      <c r="F23" s="53" t="s">
        <v>224</v>
      </c>
      <c r="G23" s="32">
        <v>1360296</v>
      </c>
      <c r="H23" s="32" t="s">
        <v>228</v>
      </c>
      <c r="I23" s="31" t="s">
        <v>218</v>
      </c>
      <c r="J23" s="3">
        <v>99478</v>
      </c>
      <c r="K23" s="30" t="s">
        <v>231</v>
      </c>
      <c r="L23" s="33" t="str">
        <f t="shared" si="1"/>
        <v>-</v>
      </c>
      <c r="M23" s="33" t="s">
        <v>403</v>
      </c>
      <c r="N23" s="32"/>
      <c r="O23" s="30" t="s">
        <v>104</v>
      </c>
      <c r="P23" s="30" t="s">
        <v>101</v>
      </c>
      <c r="Q23" s="30" t="s">
        <v>185</v>
      </c>
      <c r="R23" s="30">
        <v>80</v>
      </c>
      <c r="S23" s="30">
        <f>R23</f>
        <v>80</v>
      </c>
      <c r="T23" s="30">
        <f>S23</f>
        <v>80</v>
      </c>
      <c r="U23" s="30">
        <f>ROUNDDOWN(S23/HLOOKUP(D23,Table!$C$3:$D$4,2,0)*8,2)</f>
        <v>1.42</v>
      </c>
      <c r="V23" s="30">
        <v>2</v>
      </c>
      <c r="W23" s="30" t="s">
        <v>128</v>
      </c>
      <c r="X23" s="34"/>
      <c r="Y23" s="34">
        <v>43896</v>
      </c>
      <c r="Z23" s="34">
        <v>43896</v>
      </c>
      <c r="AA23" s="34">
        <v>43896</v>
      </c>
      <c r="AB23" s="37" t="s">
        <v>181</v>
      </c>
      <c r="AC23" s="30">
        <v>100</v>
      </c>
      <c r="AD23" s="30">
        <v>100</v>
      </c>
      <c r="AE23" s="30">
        <v>75</v>
      </c>
      <c r="AF23" s="30" t="s">
        <v>236</v>
      </c>
      <c r="AG23" s="33" t="s">
        <v>88</v>
      </c>
    </row>
    <row r="24" spans="1:33" hidden="1" x14ac:dyDescent="0.35">
      <c r="B24" s="38">
        <f t="shared" si="0"/>
        <v>22</v>
      </c>
      <c r="C24" s="32">
        <v>20200306</v>
      </c>
      <c r="D24" s="32" t="s">
        <v>3</v>
      </c>
      <c r="E24" s="32" t="s">
        <v>223</v>
      </c>
      <c r="F24" s="53" t="s">
        <v>224</v>
      </c>
      <c r="G24" s="32">
        <v>1360296</v>
      </c>
      <c r="H24" s="32" t="s">
        <v>229</v>
      </c>
      <c r="I24" s="31" t="s">
        <v>218</v>
      </c>
      <c r="J24" s="3">
        <v>99478</v>
      </c>
      <c r="K24" s="30" t="s">
        <v>231</v>
      </c>
      <c r="L24" s="33" t="str">
        <f t="shared" si="1"/>
        <v>-</v>
      </c>
      <c r="M24" s="33" t="s">
        <v>403</v>
      </c>
      <c r="N24" s="32"/>
      <c r="O24" s="30" t="s">
        <v>102</v>
      </c>
      <c r="P24" s="30" t="s">
        <v>101</v>
      </c>
      <c r="Q24" s="30" t="s">
        <v>185</v>
      </c>
      <c r="R24" s="30">
        <v>33</v>
      </c>
      <c r="S24" s="30">
        <v>33</v>
      </c>
      <c r="T24" s="30">
        <v>33</v>
      </c>
      <c r="U24" s="30">
        <f>ROUNDDOWN(S24/HLOOKUP(D24,Table!$C$3:$D$4,2,0)*8,2)</f>
        <v>0.57999999999999996</v>
      </c>
      <c r="V24" s="30">
        <v>1</v>
      </c>
      <c r="W24" s="30" t="s">
        <v>128</v>
      </c>
      <c r="X24" s="34"/>
      <c r="Y24" s="34">
        <v>43896</v>
      </c>
      <c r="Z24" s="34">
        <v>43896</v>
      </c>
      <c r="AA24" s="34">
        <v>43896</v>
      </c>
      <c r="AB24" s="37" t="s">
        <v>182</v>
      </c>
      <c r="AC24" s="38">
        <v>100</v>
      </c>
      <c r="AD24" s="38">
        <v>100</v>
      </c>
      <c r="AE24" s="38">
        <v>100</v>
      </c>
      <c r="AF24" s="30"/>
      <c r="AG24" s="33" t="s">
        <v>88</v>
      </c>
    </row>
    <row r="25" spans="1:33" x14ac:dyDescent="0.35">
      <c r="B25" s="38">
        <f t="shared" si="0"/>
        <v>23</v>
      </c>
      <c r="C25" s="32">
        <v>20200306</v>
      </c>
      <c r="D25" s="32" t="s">
        <v>3</v>
      </c>
      <c r="E25" s="32" t="s">
        <v>223</v>
      </c>
      <c r="F25" s="53" t="s">
        <v>224</v>
      </c>
      <c r="G25" s="32">
        <v>1360296</v>
      </c>
      <c r="H25" s="32" t="s">
        <v>230</v>
      </c>
      <c r="I25" s="31" t="s">
        <v>218</v>
      </c>
      <c r="J25" s="3">
        <v>99478</v>
      </c>
      <c r="K25" s="30" t="s">
        <v>231</v>
      </c>
      <c r="L25" s="33" t="str">
        <f t="shared" si="1"/>
        <v>-</v>
      </c>
      <c r="M25" s="33" t="s">
        <v>403</v>
      </c>
      <c r="N25" s="32"/>
      <c r="O25" s="30" t="s">
        <v>103</v>
      </c>
      <c r="P25" s="30" t="s">
        <v>101</v>
      </c>
      <c r="Q25" s="30" t="s">
        <v>185</v>
      </c>
      <c r="R25" s="30">
        <v>212</v>
      </c>
      <c r="S25" s="30">
        <v>212</v>
      </c>
      <c r="T25" s="30">
        <v>212</v>
      </c>
      <c r="U25" s="30">
        <f>ROUNDDOWN(S25/HLOOKUP(D25,Table!$C$3:$D$4,2,0)*8,2)</f>
        <v>3.76</v>
      </c>
      <c r="V25" s="30">
        <v>2</v>
      </c>
      <c r="W25" s="30" t="s">
        <v>128</v>
      </c>
      <c r="X25" s="34"/>
      <c r="Y25" s="34">
        <v>43896</v>
      </c>
      <c r="Z25" s="34">
        <v>43896</v>
      </c>
      <c r="AA25" s="34">
        <v>43896</v>
      </c>
      <c r="AB25" s="37" t="s">
        <v>182</v>
      </c>
      <c r="AC25" s="30">
        <v>100</v>
      </c>
      <c r="AD25" s="30">
        <v>100</v>
      </c>
      <c r="AE25" s="30">
        <v>100</v>
      </c>
      <c r="AF25" s="30"/>
      <c r="AG25" s="33" t="s">
        <v>88</v>
      </c>
    </row>
    <row r="26" spans="1:33" hidden="1" x14ac:dyDescent="0.35">
      <c r="B26" s="38">
        <f t="shared" si="0"/>
        <v>24</v>
      </c>
      <c r="C26" s="32">
        <v>20200303</v>
      </c>
      <c r="D26" s="30" t="s">
        <v>2</v>
      </c>
      <c r="E26" s="33" t="s">
        <v>88</v>
      </c>
      <c r="F26" s="33" t="s">
        <v>88</v>
      </c>
      <c r="G26" s="30">
        <v>1353762</v>
      </c>
      <c r="H26" s="30" t="s">
        <v>220</v>
      </c>
      <c r="I26" s="30" t="s">
        <v>217</v>
      </c>
      <c r="J26" s="30" t="s">
        <v>88</v>
      </c>
      <c r="K26" s="30">
        <v>1353762</v>
      </c>
      <c r="L26" s="33" t="s">
        <v>124</v>
      </c>
      <c r="M26" s="33" t="s">
        <v>404</v>
      </c>
      <c r="N26" s="32"/>
      <c r="O26" s="30" t="s">
        <v>101</v>
      </c>
      <c r="P26" s="30"/>
      <c r="Q26" s="30"/>
      <c r="R26" s="30">
        <v>50</v>
      </c>
      <c r="S26" s="30">
        <v>50</v>
      </c>
      <c r="T26" s="30">
        <v>50</v>
      </c>
      <c r="U26" s="30">
        <f>ROUNDDOWN(S26/HLOOKUP(D26,Table!$C$3:$D$4,2,0)*8,2)</f>
        <v>3.07</v>
      </c>
      <c r="V26" s="30">
        <v>6</v>
      </c>
      <c r="W26" s="30" t="s">
        <v>21</v>
      </c>
      <c r="X26" s="34">
        <v>43892</v>
      </c>
      <c r="Y26" s="34">
        <v>43896</v>
      </c>
      <c r="Z26" s="34">
        <v>43895</v>
      </c>
      <c r="AA26" s="34">
        <v>43896</v>
      </c>
      <c r="AB26" s="34"/>
      <c r="AC26" s="30"/>
      <c r="AD26" s="30"/>
      <c r="AE26" s="30"/>
      <c r="AF26" s="30" t="s">
        <v>234</v>
      </c>
      <c r="AG26" s="33" t="s">
        <v>88</v>
      </c>
    </row>
    <row r="27" spans="1:33" hidden="1" x14ac:dyDescent="0.35">
      <c r="B27" s="55">
        <f t="shared" si="0"/>
        <v>25</v>
      </c>
      <c r="C27" s="32">
        <v>20200303</v>
      </c>
      <c r="D27" s="30" t="s">
        <v>3</v>
      </c>
      <c r="E27" s="30" t="s">
        <v>133</v>
      </c>
      <c r="F27" s="33" t="s">
        <v>221</v>
      </c>
      <c r="G27" s="30">
        <v>1341660</v>
      </c>
      <c r="H27" s="32" t="s">
        <v>134</v>
      </c>
      <c r="I27" s="31" t="s">
        <v>218</v>
      </c>
      <c r="J27" s="30" t="s">
        <v>88</v>
      </c>
      <c r="K27" s="30" t="s">
        <v>184</v>
      </c>
      <c r="L27" s="33" t="str">
        <f t="shared" ref="L27:L58" si="2">IF(D27="ASW","PUT_VERSION","-")</f>
        <v>-</v>
      </c>
      <c r="M27" s="33" t="s">
        <v>405</v>
      </c>
      <c r="N27" s="32"/>
      <c r="O27" s="30" t="s">
        <v>101</v>
      </c>
      <c r="P27" s="30"/>
      <c r="Q27" s="30"/>
      <c r="R27" s="30">
        <v>77</v>
      </c>
      <c r="S27" s="30">
        <v>77</v>
      </c>
      <c r="T27" s="30">
        <v>77</v>
      </c>
      <c r="U27" s="30">
        <f>ROUNDDOWN(S27/HLOOKUP(D27,Table!$C$3:$D$4,2,0)*8,2)</f>
        <v>1.36</v>
      </c>
      <c r="V27" s="30">
        <v>2.5</v>
      </c>
      <c r="W27" s="30" t="s">
        <v>21</v>
      </c>
      <c r="X27" s="34"/>
      <c r="Y27" s="105">
        <v>43901</v>
      </c>
      <c r="Z27" s="34">
        <v>43900</v>
      </c>
      <c r="AA27" s="34">
        <v>43900</v>
      </c>
      <c r="AB27" s="34" t="s">
        <v>182</v>
      </c>
      <c r="AC27" s="30">
        <v>100</v>
      </c>
      <c r="AD27" s="30">
        <v>100</v>
      </c>
      <c r="AE27" s="30">
        <v>100</v>
      </c>
      <c r="AF27" s="30"/>
      <c r="AG27" s="33" t="s">
        <v>88</v>
      </c>
    </row>
    <row r="28" spans="1:33" hidden="1" x14ac:dyDescent="0.35">
      <c r="B28" s="55">
        <f t="shared" si="0"/>
        <v>26</v>
      </c>
      <c r="C28" s="32">
        <v>20200303</v>
      </c>
      <c r="D28" s="30" t="s">
        <v>3</v>
      </c>
      <c r="E28" s="30" t="s">
        <v>133</v>
      </c>
      <c r="F28" s="33" t="s">
        <v>221</v>
      </c>
      <c r="G28" s="30">
        <v>1341660</v>
      </c>
      <c r="H28" s="32" t="s">
        <v>135</v>
      </c>
      <c r="I28" s="31" t="s">
        <v>218</v>
      </c>
      <c r="J28" s="30" t="s">
        <v>88</v>
      </c>
      <c r="K28" s="30" t="s">
        <v>184</v>
      </c>
      <c r="L28" s="33" t="str">
        <f t="shared" si="2"/>
        <v>-</v>
      </c>
      <c r="M28" s="33" t="s">
        <v>405</v>
      </c>
      <c r="N28" s="32"/>
      <c r="O28" s="30" t="s">
        <v>101</v>
      </c>
      <c r="P28" s="30"/>
      <c r="Q28" s="30"/>
      <c r="R28" s="30">
        <v>44</v>
      </c>
      <c r="S28" s="30">
        <v>44</v>
      </c>
      <c r="T28" s="30">
        <v>44</v>
      </c>
      <c r="U28" s="30">
        <f>ROUNDDOWN(S28/HLOOKUP(D28,Table!$C$3:$D$4,2,0)*8,2)</f>
        <v>0.78</v>
      </c>
      <c r="V28" s="30">
        <v>1</v>
      </c>
      <c r="W28" s="30" t="s">
        <v>21</v>
      </c>
      <c r="X28" s="34"/>
      <c r="Y28" s="105">
        <v>43901</v>
      </c>
      <c r="Z28" s="34">
        <v>43901</v>
      </c>
      <c r="AA28" s="34">
        <v>43901</v>
      </c>
      <c r="AB28" s="34" t="s">
        <v>182</v>
      </c>
      <c r="AC28" s="30">
        <v>100</v>
      </c>
      <c r="AD28" s="30">
        <v>100</v>
      </c>
      <c r="AE28" s="30">
        <v>100</v>
      </c>
      <c r="AF28" s="30"/>
      <c r="AG28" s="33" t="s">
        <v>88</v>
      </c>
    </row>
    <row r="29" spans="1:33" hidden="1" x14ac:dyDescent="0.35">
      <c r="B29" s="55">
        <f t="shared" si="0"/>
        <v>27</v>
      </c>
      <c r="C29" s="32">
        <v>20200303</v>
      </c>
      <c r="D29" s="30" t="s">
        <v>3</v>
      </c>
      <c r="E29" s="30" t="s">
        <v>133</v>
      </c>
      <c r="F29" s="33" t="s">
        <v>221</v>
      </c>
      <c r="G29" s="30">
        <v>1341660</v>
      </c>
      <c r="H29" s="32" t="s">
        <v>136</v>
      </c>
      <c r="I29" s="31" t="s">
        <v>218</v>
      </c>
      <c r="J29" s="30" t="s">
        <v>88</v>
      </c>
      <c r="K29" s="30" t="s">
        <v>184</v>
      </c>
      <c r="L29" s="33" t="str">
        <f t="shared" si="2"/>
        <v>-</v>
      </c>
      <c r="M29" s="33" t="s">
        <v>405</v>
      </c>
      <c r="N29" s="32"/>
      <c r="O29" s="30" t="s">
        <v>101</v>
      </c>
      <c r="P29" s="30"/>
      <c r="Q29" s="30"/>
      <c r="R29" s="30">
        <v>210</v>
      </c>
      <c r="S29" s="30">
        <v>210</v>
      </c>
      <c r="T29" s="30">
        <v>210</v>
      </c>
      <c r="U29" s="30">
        <f>ROUNDDOWN(S29/HLOOKUP(D29,Table!$C$3:$D$4,2,0)*8,2)</f>
        <v>3.73</v>
      </c>
      <c r="V29" s="30">
        <v>5</v>
      </c>
      <c r="W29" s="30" t="s">
        <v>21</v>
      </c>
      <c r="X29" s="34"/>
      <c r="Y29" s="105">
        <v>43901</v>
      </c>
      <c r="Z29" s="34">
        <v>43899</v>
      </c>
      <c r="AA29" s="34">
        <v>43899</v>
      </c>
      <c r="AB29" s="34" t="s">
        <v>182</v>
      </c>
      <c r="AC29" s="30">
        <v>100</v>
      </c>
      <c r="AD29" s="30">
        <v>100</v>
      </c>
      <c r="AE29" s="30">
        <v>100</v>
      </c>
      <c r="AF29" s="30" t="s">
        <v>237</v>
      </c>
      <c r="AG29" s="33" t="s">
        <v>88</v>
      </c>
    </row>
    <row r="30" spans="1:33" hidden="1" x14ac:dyDescent="0.35">
      <c r="B30" s="55">
        <f t="shared" si="0"/>
        <v>28</v>
      </c>
      <c r="C30" s="32">
        <v>20200303</v>
      </c>
      <c r="D30" s="30" t="s">
        <v>3</v>
      </c>
      <c r="E30" s="30" t="s">
        <v>133</v>
      </c>
      <c r="F30" s="33" t="s">
        <v>219</v>
      </c>
      <c r="G30" s="30">
        <v>1341660</v>
      </c>
      <c r="H30" s="32" t="s">
        <v>137</v>
      </c>
      <c r="I30" s="31" t="s">
        <v>218</v>
      </c>
      <c r="J30" s="30" t="s">
        <v>88</v>
      </c>
      <c r="K30" s="30" t="s">
        <v>184</v>
      </c>
      <c r="L30" s="33" t="str">
        <f t="shared" si="2"/>
        <v>-</v>
      </c>
      <c r="M30" s="33" t="s">
        <v>405</v>
      </c>
      <c r="N30" s="32"/>
      <c r="O30" s="30" t="s">
        <v>101</v>
      </c>
      <c r="P30" s="30"/>
      <c r="Q30" s="30"/>
      <c r="R30" s="30">
        <v>622</v>
      </c>
      <c r="S30" s="30">
        <v>622</v>
      </c>
      <c r="T30" s="30">
        <v>622</v>
      </c>
      <c r="U30" s="30">
        <f>ROUNDDOWN(S30/HLOOKUP(D30,Table!$C$3:$D$4,2,0)*8,2)</f>
        <v>11.05</v>
      </c>
      <c r="V30" s="30">
        <v>11</v>
      </c>
      <c r="W30" s="30" t="s">
        <v>21</v>
      </c>
      <c r="X30" s="34"/>
      <c r="Y30" s="105">
        <v>43901</v>
      </c>
      <c r="Z30" s="34">
        <v>43899</v>
      </c>
      <c r="AA30" s="34">
        <v>43899</v>
      </c>
      <c r="AB30" s="34" t="s">
        <v>182</v>
      </c>
      <c r="AC30" s="30">
        <v>100</v>
      </c>
      <c r="AD30" s="30">
        <v>100</v>
      </c>
      <c r="AE30" s="30">
        <v>100</v>
      </c>
      <c r="AF30" s="33" t="s">
        <v>88</v>
      </c>
      <c r="AG30" s="33" t="s">
        <v>88</v>
      </c>
    </row>
    <row r="31" spans="1:33" hidden="1" x14ac:dyDescent="0.35">
      <c r="B31" s="55">
        <f t="shared" si="0"/>
        <v>29</v>
      </c>
      <c r="C31" s="32">
        <v>20200303</v>
      </c>
      <c r="D31" s="30" t="s">
        <v>3</v>
      </c>
      <c r="E31" s="30" t="s">
        <v>133</v>
      </c>
      <c r="F31" s="33" t="s">
        <v>219</v>
      </c>
      <c r="G31" s="30">
        <v>1341660</v>
      </c>
      <c r="H31" s="32" t="s">
        <v>138</v>
      </c>
      <c r="I31" s="31" t="s">
        <v>218</v>
      </c>
      <c r="J31" s="30" t="s">
        <v>88</v>
      </c>
      <c r="K31" s="30" t="s">
        <v>184</v>
      </c>
      <c r="L31" s="33" t="str">
        <f t="shared" si="2"/>
        <v>-</v>
      </c>
      <c r="M31" s="33" t="s">
        <v>405</v>
      </c>
      <c r="N31" s="32"/>
      <c r="O31" s="30" t="s">
        <v>104</v>
      </c>
      <c r="P31" s="30"/>
      <c r="Q31" s="30"/>
      <c r="R31" s="30">
        <v>97</v>
      </c>
      <c r="S31" s="30">
        <f t="shared" ref="S31:T34" si="3">R31</f>
        <v>97</v>
      </c>
      <c r="T31" s="30">
        <f t="shared" si="3"/>
        <v>97</v>
      </c>
      <c r="U31" s="30">
        <f>ROUNDDOWN(S31/HLOOKUP(D31,Table!$C$3:$D$4,2,0)*8,2)</f>
        <v>1.72</v>
      </c>
      <c r="V31" s="30">
        <v>1</v>
      </c>
      <c r="W31" s="30" t="s">
        <v>21</v>
      </c>
      <c r="X31" s="34"/>
      <c r="Y31" s="105">
        <v>43901</v>
      </c>
      <c r="Z31" s="34">
        <v>43899</v>
      </c>
      <c r="AA31" s="34">
        <v>43899</v>
      </c>
      <c r="AB31" s="34" t="s">
        <v>182</v>
      </c>
      <c r="AC31" s="30">
        <v>100</v>
      </c>
      <c r="AD31" s="30">
        <v>100</v>
      </c>
      <c r="AE31" s="30">
        <v>100</v>
      </c>
      <c r="AF31" s="30"/>
      <c r="AG31" s="33" t="s">
        <v>88</v>
      </c>
    </row>
    <row r="32" spans="1:33" hidden="1" x14ac:dyDescent="0.35">
      <c r="B32" s="55">
        <f t="shared" si="0"/>
        <v>30</v>
      </c>
      <c r="C32" s="32">
        <v>20200303</v>
      </c>
      <c r="D32" s="30" t="s">
        <v>3</v>
      </c>
      <c r="E32" s="30" t="s">
        <v>133</v>
      </c>
      <c r="F32" s="33" t="s">
        <v>219</v>
      </c>
      <c r="G32" s="30">
        <v>1341660</v>
      </c>
      <c r="H32" s="32" t="s">
        <v>139</v>
      </c>
      <c r="I32" s="31" t="s">
        <v>218</v>
      </c>
      <c r="J32" s="30" t="s">
        <v>88</v>
      </c>
      <c r="K32" s="30" t="s">
        <v>184</v>
      </c>
      <c r="L32" s="33" t="str">
        <f t="shared" si="2"/>
        <v>-</v>
      </c>
      <c r="M32" s="33" t="s">
        <v>405</v>
      </c>
      <c r="N32" s="32"/>
      <c r="O32" s="30" t="s">
        <v>104</v>
      </c>
      <c r="P32" s="30"/>
      <c r="Q32" s="30"/>
      <c r="R32" s="30">
        <v>100</v>
      </c>
      <c r="S32" s="30">
        <f t="shared" si="3"/>
        <v>100</v>
      </c>
      <c r="T32" s="30">
        <f t="shared" si="3"/>
        <v>100</v>
      </c>
      <c r="U32" s="30">
        <f>ROUNDDOWN(S32/HLOOKUP(D32,Table!$C$3:$D$4,2,0)*8,2)</f>
        <v>1.77</v>
      </c>
      <c r="V32" s="30">
        <v>0.75</v>
      </c>
      <c r="W32" s="30" t="s">
        <v>21</v>
      </c>
      <c r="X32" s="34"/>
      <c r="Y32" s="105">
        <v>43901</v>
      </c>
      <c r="Z32" s="34">
        <v>43899</v>
      </c>
      <c r="AA32" s="34">
        <v>43899</v>
      </c>
      <c r="AB32" s="34" t="s">
        <v>182</v>
      </c>
      <c r="AC32" s="30">
        <v>100</v>
      </c>
      <c r="AD32" s="30">
        <v>100</v>
      </c>
      <c r="AE32" s="30">
        <v>100</v>
      </c>
      <c r="AF32" s="30"/>
      <c r="AG32" s="33" t="s">
        <v>88</v>
      </c>
    </row>
    <row r="33" spans="2:33" hidden="1" x14ac:dyDescent="0.35">
      <c r="B33" s="55">
        <f t="shared" si="0"/>
        <v>31</v>
      </c>
      <c r="C33" s="32">
        <v>20200303</v>
      </c>
      <c r="D33" s="30" t="s">
        <v>3</v>
      </c>
      <c r="E33" s="30" t="s">
        <v>133</v>
      </c>
      <c r="F33" s="33" t="s">
        <v>219</v>
      </c>
      <c r="G33" s="30">
        <v>1341660</v>
      </c>
      <c r="H33" s="32" t="s">
        <v>140</v>
      </c>
      <c r="I33" s="31" t="s">
        <v>218</v>
      </c>
      <c r="J33" s="30" t="s">
        <v>88</v>
      </c>
      <c r="K33" s="30" t="s">
        <v>184</v>
      </c>
      <c r="L33" s="33" t="str">
        <f t="shared" si="2"/>
        <v>-</v>
      </c>
      <c r="M33" s="33" t="s">
        <v>405</v>
      </c>
      <c r="N33" s="32"/>
      <c r="O33" s="30" t="s">
        <v>104</v>
      </c>
      <c r="P33" s="30"/>
      <c r="Q33" s="30"/>
      <c r="R33" s="30">
        <v>8</v>
      </c>
      <c r="S33" s="30">
        <f t="shared" si="3"/>
        <v>8</v>
      </c>
      <c r="T33" s="30">
        <f t="shared" si="3"/>
        <v>8</v>
      </c>
      <c r="U33" s="30">
        <f>ROUNDDOWN(S33/HLOOKUP(D33,Table!$C$3:$D$4,2,0)*8,2)</f>
        <v>0.14000000000000001</v>
      </c>
      <c r="V33" s="30">
        <v>0.2</v>
      </c>
      <c r="W33" s="30" t="s">
        <v>21</v>
      </c>
      <c r="X33" s="34"/>
      <c r="Y33" s="105">
        <v>43901</v>
      </c>
      <c r="Z33" s="34">
        <v>43899</v>
      </c>
      <c r="AA33" s="34">
        <v>43899</v>
      </c>
      <c r="AB33" s="34"/>
      <c r="AC33" s="33" t="s">
        <v>88</v>
      </c>
      <c r="AD33" s="33" t="s">
        <v>88</v>
      </c>
      <c r="AE33" s="33" t="s">
        <v>88</v>
      </c>
      <c r="AF33" s="30" t="s">
        <v>315</v>
      </c>
      <c r="AG33" s="33" t="s">
        <v>88</v>
      </c>
    </row>
    <row r="34" spans="2:33" hidden="1" x14ac:dyDescent="0.35">
      <c r="B34" s="55">
        <f t="shared" si="0"/>
        <v>32</v>
      </c>
      <c r="C34" s="32">
        <v>20200303</v>
      </c>
      <c r="D34" s="30" t="s">
        <v>3</v>
      </c>
      <c r="E34" s="30" t="s">
        <v>133</v>
      </c>
      <c r="F34" s="33" t="s">
        <v>219</v>
      </c>
      <c r="G34" s="30">
        <v>1341660</v>
      </c>
      <c r="H34" s="32" t="s">
        <v>141</v>
      </c>
      <c r="I34" s="31" t="s">
        <v>218</v>
      </c>
      <c r="J34" s="30" t="s">
        <v>88</v>
      </c>
      <c r="K34" s="30" t="s">
        <v>184</v>
      </c>
      <c r="L34" s="33" t="str">
        <f t="shared" si="2"/>
        <v>-</v>
      </c>
      <c r="M34" s="33" t="s">
        <v>405</v>
      </c>
      <c r="N34" s="32"/>
      <c r="O34" s="30" t="s">
        <v>104</v>
      </c>
      <c r="P34" s="30"/>
      <c r="Q34" s="30"/>
      <c r="R34" s="30">
        <v>148</v>
      </c>
      <c r="S34" s="30">
        <f t="shared" si="3"/>
        <v>148</v>
      </c>
      <c r="T34" s="30">
        <f t="shared" si="3"/>
        <v>148</v>
      </c>
      <c r="U34" s="30">
        <f>ROUNDDOWN(S34/HLOOKUP(D34,Table!$C$3:$D$4,2,0)*8,2)</f>
        <v>2.63</v>
      </c>
      <c r="V34" s="30">
        <v>1</v>
      </c>
      <c r="W34" s="30" t="s">
        <v>21</v>
      </c>
      <c r="X34" s="34"/>
      <c r="Y34" s="105">
        <v>43901</v>
      </c>
      <c r="Z34" s="34">
        <v>43899</v>
      </c>
      <c r="AA34" s="34">
        <v>43899</v>
      </c>
      <c r="AB34" s="34" t="s">
        <v>182</v>
      </c>
      <c r="AC34" s="30">
        <v>100</v>
      </c>
      <c r="AD34" s="30">
        <v>100</v>
      </c>
      <c r="AE34" s="30">
        <v>100</v>
      </c>
      <c r="AF34" s="30"/>
      <c r="AG34" s="33" t="s">
        <v>88</v>
      </c>
    </row>
    <row r="35" spans="2:33" x14ac:dyDescent="0.35">
      <c r="B35" s="55">
        <f t="shared" si="0"/>
        <v>33</v>
      </c>
      <c r="C35" s="32">
        <v>20200303</v>
      </c>
      <c r="D35" s="30" t="s">
        <v>3</v>
      </c>
      <c r="E35" s="30" t="s">
        <v>133</v>
      </c>
      <c r="F35" s="33" t="s">
        <v>219</v>
      </c>
      <c r="G35" s="30">
        <v>1341660</v>
      </c>
      <c r="H35" s="32" t="s">
        <v>142</v>
      </c>
      <c r="I35" s="31" t="s">
        <v>218</v>
      </c>
      <c r="J35" s="30" t="s">
        <v>88</v>
      </c>
      <c r="K35" s="30" t="s">
        <v>184</v>
      </c>
      <c r="L35" s="33" t="str">
        <f t="shared" si="2"/>
        <v>-</v>
      </c>
      <c r="M35" s="33" t="s">
        <v>405</v>
      </c>
      <c r="N35" s="32"/>
      <c r="O35" s="30" t="s">
        <v>103</v>
      </c>
      <c r="P35" s="30"/>
      <c r="Q35" s="30"/>
      <c r="R35" s="30">
        <v>17</v>
      </c>
      <c r="S35" s="30">
        <v>17</v>
      </c>
      <c r="T35" s="30">
        <v>17</v>
      </c>
      <c r="U35" s="30">
        <f>ROUNDDOWN(S35/HLOOKUP(D35,Table!$C$3:$D$4,2,0)*8,2)</f>
        <v>0.3</v>
      </c>
      <c r="V35" s="30">
        <v>0.5</v>
      </c>
      <c r="W35" s="30" t="s">
        <v>21</v>
      </c>
      <c r="X35" s="34"/>
      <c r="Y35" s="105">
        <v>43901</v>
      </c>
      <c r="Z35" s="34">
        <v>43900</v>
      </c>
      <c r="AA35" s="34">
        <v>43900</v>
      </c>
      <c r="AB35" s="34" t="s">
        <v>182</v>
      </c>
      <c r="AC35" s="30">
        <v>100</v>
      </c>
      <c r="AD35" s="30">
        <v>100</v>
      </c>
      <c r="AE35" s="30">
        <v>100</v>
      </c>
      <c r="AF35" s="30"/>
      <c r="AG35" s="33" t="s">
        <v>88</v>
      </c>
    </row>
    <row r="36" spans="2:33" x14ac:dyDescent="0.35">
      <c r="B36" s="55">
        <f t="shared" ref="B36:B68" si="4">B35+1</f>
        <v>34</v>
      </c>
      <c r="C36" s="32">
        <v>20200303</v>
      </c>
      <c r="D36" s="30" t="s">
        <v>3</v>
      </c>
      <c r="E36" s="30" t="s">
        <v>133</v>
      </c>
      <c r="F36" s="33" t="s">
        <v>219</v>
      </c>
      <c r="G36" s="30">
        <v>1341660</v>
      </c>
      <c r="H36" s="32" t="s">
        <v>143</v>
      </c>
      <c r="I36" s="31" t="s">
        <v>218</v>
      </c>
      <c r="J36" s="30" t="s">
        <v>88</v>
      </c>
      <c r="K36" s="30" t="s">
        <v>184</v>
      </c>
      <c r="L36" s="33" t="str">
        <f t="shared" si="2"/>
        <v>-</v>
      </c>
      <c r="M36" s="33" t="s">
        <v>405</v>
      </c>
      <c r="N36" s="32"/>
      <c r="O36" s="30" t="s">
        <v>103</v>
      </c>
      <c r="P36" s="30"/>
      <c r="Q36" s="30"/>
      <c r="R36" s="30">
        <v>18</v>
      </c>
      <c r="S36" s="30">
        <v>18</v>
      </c>
      <c r="T36" s="30">
        <v>18</v>
      </c>
      <c r="U36" s="30">
        <f>ROUNDDOWN(S36/HLOOKUP(D36,Table!$C$3:$D$4,2,0)*8,2)</f>
        <v>0.32</v>
      </c>
      <c r="V36" s="30">
        <v>0.5</v>
      </c>
      <c r="W36" s="30" t="s">
        <v>21</v>
      </c>
      <c r="X36" s="34"/>
      <c r="Y36" s="105">
        <v>43901</v>
      </c>
      <c r="Z36" s="34">
        <v>43900</v>
      </c>
      <c r="AA36" s="34">
        <v>43900</v>
      </c>
      <c r="AB36" s="34" t="s">
        <v>182</v>
      </c>
      <c r="AC36" s="30">
        <v>100</v>
      </c>
      <c r="AD36" s="30">
        <v>100</v>
      </c>
      <c r="AE36" s="30">
        <v>100</v>
      </c>
      <c r="AF36" s="30"/>
      <c r="AG36" s="33" t="s">
        <v>88</v>
      </c>
    </row>
    <row r="37" spans="2:33" s="126" customFormat="1" hidden="1" x14ac:dyDescent="0.25">
      <c r="B37" s="127">
        <f t="shared" si="4"/>
        <v>35</v>
      </c>
      <c r="C37" s="111">
        <v>20200303</v>
      </c>
      <c r="D37" s="111" t="s">
        <v>3</v>
      </c>
      <c r="E37" s="111" t="s">
        <v>133</v>
      </c>
      <c r="F37" s="128" t="s">
        <v>219</v>
      </c>
      <c r="G37" s="111">
        <v>1341660</v>
      </c>
      <c r="H37" s="111" t="s">
        <v>144</v>
      </c>
      <c r="I37" s="111" t="s">
        <v>218</v>
      </c>
      <c r="J37" s="111" t="s">
        <v>88</v>
      </c>
      <c r="K37" s="111" t="s">
        <v>184</v>
      </c>
      <c r="L37" s="128" t="str">
        <f t="shared" si="2"/>
        <v>-</v>
      </c>
      <c r="M37" s="33" t="s">
        <v>405</v>
      </c>
      <c r="N37" s="32"/>
      <c r="O37" s="111" t="s">
        <v>102</v>
      </c>
      <c r="P37" s="111"/>
      <c r="Q37" s="111"/>
      <c r="R37" s="111">
        <v>129</v>
      </c>
      <c r="S37" s="129">
        <v>129</v>
      </c>
      <c r="T37" s="111">
        <v>129</v>
      </c>
      <c r="U37" s="111">
        <f>ROUNDDOWN(S37/HLOOKUP(D37,Table!$C$3:$D$4,2,0)*8,2)</f>
        <v>2.29</v>
      </c>
      <c r="V37" s="111">
        <v>3</v>
      </c>
      <c r="W37" s="111" t="s">
        <v>128</v>
      </c>
      <c r="X37" s="130"/>
      <c r="Y37" s="130">
        <v>43901</v>
      </c>
      <c r="Z37" s="130">
        <v>43895</v>
      </c>
      <c r="AA37" s="130">
        <v>43895</v>
      </c>
      <c r="AB37" s="130" t="s">
        <v>182</v>
      </c>
      <c r="AC37" s="127">
        <v>100</v>
      </c>
      <c r="AD37" s="127">
        <v>100</v>
      </c>
      <c r="AE37" s="127">
        <v>100</v>
      </c>
      <c r="AF37" s="111"/>
      <c r="AG37" s="111" t="s">
        <v>350</v>
      </c>
    </row>
    <row r="38" spans="2:33" s="126" customFormat="1" hidden="1" x14ac:dyDescent="0.25">
      <c r="B38" s="127">
        <f t="shared" si="4"/>
        <v>36</v>
      </c>
      <c r="C38" s="111">
        <v>20200303</v>
      </c>
      <c r="D38" s="111" t="s">
        <v>3</v>
      </c>
      <c r="E38" s="111" t="s">
        <v>133</v>
      </c>
      <c r="F38" s="128" t="s">
        <v>219</v>
      </c>
      <c r="G38" s="111">
        <v>1341660</v>
      </c>
      <c r="H38" s="111" t="s">
        <v>145</v>
      </c>
      <c r="I38" s="111" t="s">
        <v>218</v>
      </c>
      <c r="J38" s="111" t="s">
        <v>88</v>
      </c>
      <c r="K38" s="111" t="s">
        <v>184</v>
      </c>
      <c r="L38" s="128" t="str">
        <f t="shared" si="2"/>
        <v>-</v>
      </c>
      <c r="M38" s="33" t="s">
        <v>405</v>
      </c>
      <c r="N38" s="32"/>
      <c r="O38" s="111" t="s">
        <v>102</v>
      </c>
      <c r="P38" s="111"/>
      <c r="Q38" s="111"/>
      <c r="R38" s="111">
        <v>164</v>
      </c>
      <c r="S38" s="129">
        <v>196</v>
      </c>
      <c r="T38" s="111">
        <v>196</v>
      </c>
      <c r="U38" s="111">
        <f>ROUNDDOWN(S38/HLOOKUP(D38,Table!$C$3:$D$4,2,0)*8,2)</f>
        <v>3.48</v>
      </c>
      <c r="V38" s="111">
        <v>4</v>
      </c>
      <c r="W38" s="111" t="s">
        <v>21</v>
      </c>
      <c r="X38" s="130"/>
      <c r="Y38" s="130">
        <v>43901</v>
      </c>
      <c r="Z38" s="130">
        <v>43896</v>
      </c>
      <c r="AA38" s="130">
        <v>43896</v>
      </c>
      <c r="AB38" s="130" t="s">
        <v>182</v>
      </c>
      <c r="AC38" s="127">
        <v>100</v>
      </c>
      <c r="AD38" s="127">
        <v>100</v>
      </c>
      <c r="AE38" s="127">
        <v>100</v>
      </c>
      <c r="AF38" s="111"/>
      <c r="AG38" s="111" t="s">
        <v>351</v>
      </c>
    </row>
    <row r="39" spans="2:33" s="126" customFormat="1" hidden="1" x14ac:dyDescent="0.25">
      <c r="B39" s="127">
        <f t="shared" si="4"/>
        <v>37</v>
      </c>
      <c r="C39" s="111">
        <v>20200303</v>
      </c>
      <c r="D39" s="111" t="s">
        <v>3</v>
      </c>
      <c r="E39" s="111" t="s">
        <v>133</v>
      </c>
      <c r="F39" s="128" t="s">
        <v>219</v>
      </c>
      <c r="G39" s="111">
        <v>1341660</v>
      </c>
      <c r="H39" s="111" t="s">
        <v>146</v>
      </c>
      <c r="I39" s="111" t="s">
        <v>218</v>
      </c>
      <c r="J39" s="111" t="s">
        <v>88</v>
      </c>
      <c r="K39" s="111" t="s">
        <v>184</v>
      </c>
      <c r="L39" s="128" t="str">
        <f t="shared" si="2"/>
        <v>-</v>
      </c>
      <c r="M39" s="33" t="s">
        <v>405</v>
      </c>
      <c r="N39" s="32"/>
      <c r="O39" s="111" t="s">
        <v>102</v>
      </c>
      <c r="P39" s="111"/>
      <c r="Q39" s="111"/>
      <c r="R39" s="111">
        <v>104</v>
      </c>
      <c r="S39" s="129">
        <v>104</v>
      </c>
      <c r="T39" s="111">
        <v>104</v>
      </c>
      <c r="U39" s="111">
        <f>ROUNDDOWN(S39/HLOOKUP(D39,Table!$C$3:$D$4,2,0)*8,2)</f>
        <v>1.84</v>
      </c>
      <c r="V39" s="111">
        <v>1</v>
      </c>
      <c r="W39" s="111" t="s">
        <v>21</v>
      </c>
      <c r="X39" s="130"/>
      <c r="Y39" s="130">
        <v>43901</v>
      </c>
      <c r="Z39" s="130">
        <v>43896</v>
      </c>
      <c r="AA39" s="130">
        <v>43900</v>
      </c>
      <c r="AB39" s="130" t="s">
        <v>181</v>
      </c>
      <c r="AC39" s="111">
        <v>97</v>
      </c>
      <c r="AD39" s="111">
        <v>95</v>
      </c>
      <c r="AE39" s="111">
        <v>100</v>
      </c>
      <c r="AF39" s="111" t="s">
        <v>314</v>
      </c>
      <c r="AG39" s="111" t="s">
        <v>352</v>
      </c>
    </row>
    <row r="40" spans="2:33" s="126" customFormat="1" ht="12.5" hidden="1" x14ac:dyDescent="0.25">
      <c r="B40" s="127">
        <f t="shared" si="4"/>
        <v>38</v>
      </c>
      <c r="C40" s="111">
        <v>20200303</v>
      </c>
      <c r="D40" s="111" t="s">
        <v>3</v>
      </c>
      <c r="E40" s="111" t="s">
        <v>133</v>
      </c>
      <c r="F40" s="128" t="s">
        <v>219</v>
      </c>
      <c r="G40" s="111">
        <v>1341660</v>
      </c>
      <c r="H40" s="111" t="s">
        <v>147</v>
      </c>
      <c r="I40" s="111" t="s">
        <v>218</v>
      </c>
      <c r="J40" s="111" t="s">
        <v>88</v>
      </c>
      <c r="K40" s="111" t="s">
        <v>184</v>
      </c>
      <c r="L40" s="128" t="str">
        <f t="shared" si="2"/>
        <v>-</v>
      </c>
      <c r="M40" s="128" t="s">
        <v>405</v>
      </c>
      <c r="N40" s="111"/>
      <c r="O40" s="111" t="s">
        <v>102</v>
      </c>
      <c r="P40" s="111"/>
      <c r="Q40" s="111"/>
      <c r="R40" s="111">
        <v>154</v>
      </c>
      <c r="S40" s="129">
        <v>154</v>
      </c>
      <c r="T40" s="129">
        <v>154</v>
      </c>
      <c r="U40" s="111">
        <f>ROUNDDOWN(S40/HLOOKUP(D40,Table!$C$3:$D$4,2,0)*8,2)</f>
        <v>2.73</v>
      </c>
      <c r="V40" s="111">
        <v>2</v>
      </c>
      <c r="W40" s="111" t="s">
        <v>21</v>
      </c>
      <c r="X40" s="130"/>
      <c r="Y40" s="130">
        <v>43901</v>
      </c>
      <c r="Z40" s="130">
        <v>43900</v>
      </c>
      <c r="AA40" s="130">
        <v>43900</v>
      </c>
      <c r="AB40" s="130" t="s">
        <v>181</v>
      </c>
      <c r="AC40" s="111">
        <v>98</v>
      </c>
      <c r="AD40" s="111">
        <v>96</v>
      </c>
      <c r="AE40" s="111">
        <v>100</v>
      </c>
      <c r="AF40" s="111" t="s">
        <v>314</v>
      </c>
      <c r="AG40" s="111" t="s">
        <v>353</v>
      </c>
    </row>
    <row r="41" spans="2:33" hidden="1" x14ac:dyDescent="0.35">
      <c r="B41" s="55">
        <f t="shared" si="4"/>
        <v>39</v>
      </c>
      <c r="C41" s="32">
        <v>20200303</v>
      </c>
      <c r="D41" s="30" t="s">
        <v>3</v>
      </c>
      <c r="E41" s="30" t="s">
        <v>133</v>
      </c>
      <c r="F41" s="33" t="s">
        <v>219</v>
      </c>
      <c r="G41" s="30">
        <v>1341660</v>
      </c>
      <c r="H41" s="123" t="s">
        <v>148</v>
      </c>
      <c r="I41" s="31" t="s">
        <v>218</v>
      </c>
      <c r="J41" s="30" t="s">
        <v>88</v>
      </c>
      <c r="K41" s="30" t="s">
        <v>184</v>
      </c>
      <c r="L41" s="33" t="str">
        <f t="shared" si="2"/>
        <v>-</v>
      </c>
      <c r="M41" s="33" t="s">
        <v>405</v>
      </c>
      <c r="N41" s="32"/>
      <c r="O41" s="30" t="s">
        <v>102</v>
      </c>
      <c r="P41" s="30"/>
      <c r="Q41" s="30"/>
      <c r="R41" s="30">
        <v>167</v>
      </c>
      <c r="S41" s="68">
        <v>167</v>
      </c>
      <c r="T41" s="30">
        <v>167</v>
      </c>
      <c r="U41" s="30">
        <f>ROUNDDOWN(S41/HLOOKUP(D41,Table!$C$3:$D$4,2,0)*8,2)</f>
        <v>2.96</v>
      </c>
      <c r="V41" s="30">
        <v>2</v>
      </c>
      <c r="W41" s="30" t="s">
        <v>21</v>
      </c>
      <c r="X41" s="34"/>
      <c r="Y41" s="105">
        <v>43901</v>
      </c>
      <c r="Z41" s="34">
        <v>43900</v>
      </c>
      <c r="AA41" s="34">
        <v>43900</v>
      </c>
      <c r="AB41" s="34" t="s">
        <v>182</v>
      </c>
      <c r="AC41" s="60">
        <v>100</v>
      </c>
      <c r="AD41" s="60">
        <v>100</v>
      </c>
      <c r="AE41" s="60">
        <v>100</v>
      </c>
      <c r="AF41" s="30" t="s">
        <v>317</v>
      </c>
      <c r="AG41" s="30" t="s">
        <v>353</v>
      </c>
    </row>
    <row r="42" spans="2:33" hidden="1" x14ac:dyDescent="0.35">
      <c r="B42" s="55">
        <f t="shared" si="4"/>
        <v>40</v>
      </c>
      <c r="C42" s="32">
        <v>20200303</v>
      </c>
      <c r="D42" s="30" t="s">
        <v>3</v>
      </c>
      <c r="E42" s="30" t="s">
        <v>133</v>
      </c>
      <c r="F42" s="33" t="s">
        <v>219</v>
      </c>
      <c r="G42" s="30">
        <v>1341660</v>
      </c>
      <c r="H42" s="123" t="s">
        <v>149</v>
      </c>
      <c r="I42" s="31" t="s">
        <v>218</v>
      </c>
      <c r="J42" s="30" t="s">
        <v>88</v>
      </c>
      <c r="K42" s="30" t="s">
        <v>184</v>
      </c>
      <c r="L42" s="33" t="str">
        <f t="shared" si="2"/>
        <v>-</v>
      </c>
      <c r="M42" s="33" t="s">
        <v>405</v>
      </c>
      <c r="N42" s="32"/>
      <c r="O42" s="30" t="s">
        <v>102</v>
      </c>
      <c r="P42" s="30"/>
      <c r="Q42" s="30"/>
      <c r="R42" s="30">
        <v>147</v>
      </c>
      <c r="S42" s="68">
        <v>147</v>
      </c>
      <c r="T42" s="30">
        <v>147</v>
      </c>
      <c r="U42" s="30">
        <f>ROUNDDOWN(S42/HLOOKUP(D42,Table!$C$3:$D$4,2,0)*8,2)</f>
        <v>2.61</v>
      </c>
      <c r="V42" s="30">
        <v>1</v>
      </c>
      <c r="W42" s="30" t="s">
        <v>21</v>
      </c>
      <c r="X42" s="34"/>
      <c r="Y42" s="105">
        <v>43901</v>
      </c>
      <c r="Z42" s="34">
        <v>43900</v>
      </c>
      <c r="AA42" s="34">
        <v>43900</v>
      </c>
      <c r="AB42" s="34" t="s">
        <v>182</v>
      </c>
      <c r="AC42" s="60">
        <v>100</v>
      </c>
      <c r="AD42" s="60">
        <v>100</v>
      </c>
      <c r="AE42" s="60">
        <v>100</v>
      </c>
      <c r="AF42" s="30" t="s">
        <v>318</v>
      </c>
      <c r="AG42" s="33" t="s">
        <v>88</v>
      </c>
    </row>
    <row r="43" spans="2:33" hidden="1" x14ac:dyDescent="0.35">
      <c r="B43" s="55">
        <f t="shared" si="4"/>
        <v>41</v>
      </c>
      <c r="C43" s="32">
        <v>20200303</v>
      </c>
      <c r="D43" s="30" t="s">
        <v>3</v>
      </c>
      <c r="E43" s="30" t="s">
        <v>133</v>
      </c>
      <c r="F43" s="33" t="s">
        <v>219</v>
      </c>
      <c r="G43" s="30">
        <v>1341660</v>
      </c>
      <c r="H43" s="123" t="s">
        <v>150</v>
      </c>
      <c r="I43" s="31" t="s">
        <v>218</v>
      </c>
      <c r="J43" s="30" t="s">
        <v>88</v>
      </c>
      <c r="K43" s="30" t="s">
        <v>184</v>
      </c>
      <c r="L43" s="33" t="str">
        <f t="shared" si="2"/>
        <v>-</v>
      </c>
      <c r="M43" s="33" t="s">
        <v>405</v>
      </c>
      <c r="N43" s="32"/>
      <c r="O43" s="30" t="s">
        <v>102</v>
      </c>
      <c r="P43" s="30"/>
      <c r="Q43" s="30"/>
      <c r="R43" s="30">
        <v>254</v>
      </c>
      <c r="S43" s="67">
        <v>254</v>
      </c>
      <c r="T43" s="30">
        <v>254</v>
      </c>
      <c r="U43" s="30">
        <f>ROUNDDOWN(S43/HLOOKUP(D43,Table!$C$3:$D$4,2,0)*8,2)</f>
        <v>4.51</v>
      </c>
      <c r="V43" s="30">
        <v>3</v>
      </c>
      <c r="W43" s="30" t="s">
        <v>21</v>
      </c>
      <c r="X43" s="34"/>
      <c r="Y43" s="105">
        <v>43901</v>
      </c>
      <c r="Z43" s="34">
        <v>43900</v>
      </c>
      <c r="AA43" s="34">
        <v>43900</v>
      </c>
      <c r="AB43" s="34" t="s">
        <v>182</v>
      </c>
      <c r="AC43" s="60">
        <v>100</v>
      </c>
      <c r="AD43" s="60">
        <v>100</v>
      </c>
      <c r="AE43" s="60">
        <v>100</v>
      </c>
      <c r="AF43" s="30" t="s">
        <v>319</v>
      </c>
      <c r="AG43" s="33" t="s">
        <v>88</v>
      </c>
    </row>
    <row r="44" spans="2:33" hidden="1" x14ac:dyDescent="0.35">
      <c r="B44" s="55">
        <f t="shared" si="4"/>
        <v>42</v>
      </c>
      <c r="C44" s="32">
        <v>20200303</v>
      </c>
      <c r="D44" s="30" t="s">
        <v>3</v>
      </c>
      <c r="E44" s="30" t="s">
        <v>133</v>
      </c>
      <c r="F44" s="33" t="s">
        <v>219</v>
      </c>
      <c r="G44" s="30">
        <v>1341660</v>
      </c>
      <c r="H44" s="32" t="s">
        <v>151</v>
      </c>
      <c r="I44" s="31" t="s">
        <v>218</v>
      </c>
      <c r="J44" s="30" t="s">
        <v>88</v>
      </c>
      <c r="K44" s="30" t="s">
        <v>184</v>
      </c>
      <c r="L44" s="33" t="str">
        <f t="shared" si="2"/>
        <v>-</v>
      </c>
      <c r="M44" s="33" t="s">
        <v>405</v>
      </c>
      <c r="N44" s="32"/>
      <c r="O44" s="30" t="s">
        <v>104</v>
      </c>
      <c r="P44" s="30"/>
      <c r="Q44" s="30"/>
      <c r="R44" s="30">
        <v>193</v>
      </c>
      <c r="S44" s="68">
        <f t="shared" ref="S44:T47" si="5">R44</f>
        <v>193</v>
      </c>
      <c r="T44" s="30">
        <f t="shared" si="5"/>
        <v>193</v>
      </c>
      <c r="U44" s="30">
        <f>ROUNDDOWN(S44/HLOOKUP(D44,Table!$C$3:$D$4,2,0)*8,2)</f>
        <v>3.43</v>
      </c>
      <c r="V44" s="30">
        <v>3</v>
      </c>
      <c r="W44" s="30" t="s">
        <v>21</v>
      </c>
      <c r="X44" s="34"/>
      <c r="Y44" s="105">
        <v>43901</v>
      </c>
      <c r="Z44" s="34">
        <v>43899</v>
      </c>
      <c r="AA44" s="34">
        <v>43899</v>
      </c>
      <c r="AB44" s="34" t="s">
        <v>181</v>
      </c>
      <c r="AC44" s="30">
        <v>100</v>
      </c>
      <c r="AD44" s="30">
        <v>100</v>
      </c>
      <c r="AE44" s="30">
        <v>91</v>
      </c>
      <c r="AF44" s="30" t="s">
        <v>236</v>
      </c>
      <c r="AG44" s="33" t="s">
        <v>88</v>
      </c>
    </row>
    <row r="45" spans="2:33" hidden="1" x14ac:dyDescent="0.35">
      <c r="B45" s="55">
        <f t="shared" si="4"/>
        <v>43</v>
      </c>
      <c r="C45" s="32">
        <v>20200303</v>
      </c>
      <c r="D45" s="30" t="s">
        <v>3</v>
      </c>
      <c r="E45" s="30" t="s">
        <v>133</v>
      </c>
      <c r="F45" s="33" t="s">
        <v>219</v>
      </c>
      <c r="G45" s="30">
        <v>1341660</v>
      </c>
      <c r="H45" s="30" t="s">
        <v>152</v>
      </c>
      <c r="I45" s="31" t="s">
        <v>218</v>
      </c>
      <c r="J45" s="30" t="s">
        <v>88</v>
      </c>
      <c r="K45" s="30" t="s">
        <v>184</v>
      </c>
      <c r="L45" s="33" t="str">
        <f t="shared" si="2"/>
        <v>-</v>
      </c>
      <c r="M45" s="33" t="s">
        <v>405</v>
      </c>
      <c r="N45" s="32"/>
      <c r="O45" s="30" t="s">
        <v>104</v>
      </c>
      <c r="P45" s="30"/>
      <c r="Q45" s="30"/>
      <c r="R45" s="30">
        <v>204</v>
      </c>
      <c r="S45" s="68">
        <f t="shared" si="5"/>
        <v>204</v>
      </c>
      <c r="T45" s="30">
        <f t="shared" si="5"/>
        <v>204</v>
      </c>
      <c r="U45" s="30">
        <f>ROUNDDOWN(S45/HLOOKUP(D45,Table!$C$3:$D$4,2,0)*8,2)</f>
        <v>3.62</v>
      </c>
      <c r="V45" s="30">
        <v>3.5</v>
      </c>
      <c r="W45" s="30" t="s">
        <v>21</v>
      </c>
      <c r="X45" s="34"/>
      <c r="Y45" s="105">
        <v>43901</v>
      </c>
      <c r="Z45" s="34">
        <v>43900</v>
      </c>
      <c r="AA45" s="34">
        <v>43900</v>
      </c>
      <c r="AB45" s="34" t="s">
        <v>182</v>
      </c>
      <c r="AC45" s="30">
        <v>100</v>
      </c>
      <c r="AD45" s="30">
        <v>100</v>
      </c>
      <c r="AE45" s="30">
        <v>100</v>
      </c>
      <c r="AF45" s="30"/>
      <c r="AG45" s="33" t="s">
        <v>88</v>
      </c>
    </row>
    <row r="46" spans="2:33" hidden="1" x14ac:dyDescent="0.35">
      <c r="B46" s="55">
        <f t="shared" si="4"/>
        <v>44</v>
      </c>
      <c r="C46" s="32">
        <v>20200303</v>
      </c>
      <c r="D46" s="30" t="s">
        <v>3</v>
      </c>
      <c r="E46" s="30" t="s">
        <v>133</v>
      </c>
      <c r="F46" s="33" t="s">
        <v>219</v>
      </c>
      <c r="G46" s="30">
        <v>1341660</v>
      </c>
      <c r="H46" s="30" t="s">
        <v>153</v>
      </c>
      <c r="I46" s="31" t="s">
        <v>218</v>
      </c>
      <c r="J46" s="30" t="s">
        <v>88</v>
      </c>
      <c r="K46" s="30" t="s">
        <v>184</v>
      </c>
      <c r="L46" s="33" t="str">
        <f t="shared" si="2"/>
        <v>-</v>
      </c>
      <c r="M46" s="33" t="s">
        <v>405</v>
      </c>
      <c r="N46" s="32"/>
      <c r="O46" s="30" t="s">
        <v>104</v>
      </c>
      <c r="P46" s="30"/>
      <c r="Q46" s="30"/>
      <c r="R46" s="30">
        <v>194</v>
      </c>
      <c r="S46" s="68">
        <f t="shared" si="5"/>
        <v>194</v>
      </c>
      <c r="T46" s="30">
        <f t="shared" si="5"/>
        <v>194</v>
      </c>
      <c r="U46" s="30">
        <f>ROUNDDOWN(S46/HLOOKUP(D46,Table!$C$3:$D$4,2,0)*8,2)</f>
        <v>3.44</v>
      </c>
      <c r="V46" s="30">
        <v>1</v>
      </c>
      <c r="W46" s="30" t="s">
        <v>21</v>
      </c>
      <c r="X46" s="34"/>
      <c r="Y46" s="105">
        <v>43901</v>
      </c>
      <c r="Z46" s="34">
        <v>43900</v>
      </c>
      <c r="AA46" s="34">
        <v>43900</v>
      </c>
      <c r="AB46" s="34" t="s">
        <v>182</v>
      </c>
      <c r="AC46" s="30">
        <v>100</v>
      </c>
      <c r="AD46" s="30">
        <v>100</v>
      </c>
      <c r="AE46" s="30">
        <v>100</v>
      </c>
      <c r="AF46" s="30"/>
      <c r="AG46" s="33" t="s">
        <v>88</v>
      </c>
    </row>
    <row r="47" spans="2:33" hidden="1" x14ac:dyDescent="0.35">
      <c r="B47" s="55">
        <f t="shared" si="4"/>
        <v>45</v>
      </c>
      <c r="C47" s="32">
        <v>20200303</v>
      </c>
      <c r="D47" s="30" t="s">
        <v>3</v>
      </c>
      <c r="E47" s="30" t="s">
        <v>133</v>
      </c>
      <c r="F47" s="33" t="s">
        <v>219</v>
      </c>
      <c r="G47" s="30">
        <v>1341660</v>
      </c>
      <c r="H47" s="30" t="s">
        <v>154</v>
      </c>
      <c r="I47" s="31" t="s">
        <v>218</v>
      </c>
      <c r="J47" s="30" t="s">
        <v>88</v>
      </c>
      <c r="K47" s="30" t="s">
        <v>184</v>
      </c>
      <c r="L47" s="33" t="str">
        <f t="shared" si="2"/>
        <v>-</v>
      </c>
      <c r="M47" s="33" t="s">
        <v>405</v>
      </c>
      <c r="N47" s="32"/>
      <c r="O47" s="30" t="s">
        <v>104</v>
      </c>
      <c r="P47" s="30"/>
      <c r="Q47" s="30"/>
      <c r="R47" s="30">
        <v>141</v>
      </c>
      <c r="S47" s="68">
        <f t="shared" si="5"/>
        <v>141</v>
      </c>
      <c r="T47" s="30">
        <f t="shared" si="5"/>
        <v>141</v>
      </c>
      <c r="U47" s="30">
        <f>ROUNDDOWN(S47/HLOOKUP(D47,Table!$C$3:$D$4,2,0)*8,2)</f>
        <v>2.5</v>
      </c>
      <c r="V47" s="30">
        <v>1</v>
      </c>
      <c r="W47" s="30" t="s">
        <v>21</v>
      </c>
      <c r="X47" s="34"/>
      <c r="Y47" s="105">
        <v>43901</v>
      </c>
      <c r="Z47" s="34">
        <v>43900</v>
      </c>
      <c r="AA47" s="34">
        <v>43900</v>
      </c>
      <c r="AB47" s="34" t="s">
        <v>181</v>
      </c>
      <c r="AC47" s="30">
        <v>98</v>
      </c>
      <c r="AD47" s="30">
        <v>95</v>
      </c>
      <c r="AE47" s="30">
        <v>100</v>
      </c>
      <c r="AF47" s="48" t="s">
        <v>179</v>
      </c>
      <c r="AG47" s="33" t="s">
        <v>88</v>
      </c>
    </row>
    <row r="48" spans="2:33" x14ac:dyDescent="0.35">
      <c r="B48" s="55">
        <f t="shared" si="4"/>
        <v>46</v>
      </c>
      <c r="C48" s="32">
        <v>20200303</v>
      </c>
      <c r="D48" s="30" t="s">
        <v>3</v>
      </c>
      <c r="E48" s="30" t="s">
        <v>133</v>
      </c>
      <c r="F48" s="33" t="s">
        <v>219</v>
      </c>
      <c r="G48" s="30">
        <v>1341660</v>
      </c>
      <c r="H48" s="32" t="s">
        <v>155</v>
      </c>
      <c r="I48" s="31" t="s">
        <v>218</v>
      </c>
      <c r="J48" s="30" t="s">
        <v>88</v>
      </c>
      <c r="K48" s="30" t="s">
        <v>184</v>
      </c>
      <c r="L48" s="33" t="str">
        <f t="shared" si="2"/>
        <v>-</v>
      </c>
      <c r="M48" s="33" t="s">
        <v>405</v>
      </c>
      <c r="N48" s="32"/>
      <c r="O48" s="30" t="s">
        <v>103</v>
      </c>
      <c r="P48" s="30"/>
      <c r="Q48" s="30"/>
      <c r="R48" s="30">
        <v>190</v>
      </c>
      <c r="S48" s="68">
        <v>190</v>
      </c>
      <c r="T48" s="30">
        <v>190</v>
      </c>
      <c r="U48" s="30">
        <f>ROUNDDOWN(S48/HLOOKUP(D48,Table!$C$3:$D$4,2,0)*8,2)</f>
        <v>3.37</v>
      </c>
      <c r="V48" s="30">
        <v>4</v>
      </c>
      <c r="W48" s="30" t="s">
        <v>21</v>
      </c>
      <c r="X48" s="34"/>
      <c r="Y48" s="105">
        <v>43901</v>
      </c>
      <c r="Z48" s="34">
        <v>43899</v>
      </c>
      <c r="AA48" s="34">
        <v>43899</v>
      </c>
      <c r="AB48" s="34" t="s">
        <v>181</v>
      </c>
      <c r="AC48" s="30">
        <v>66</v>
      </c>
      <c r="AD48" s="30">
        <v>100</v>
      </c>
      <c r="AE48" s="30">
        <v>100</v>
      </c>
      <c r="AF48" s="30" t="s">
        <v>232</v>
      </c>
      <c r="AG48" s="33" t="s">
        <v>88</v>
      </c>
    </row>
    <row r="49" spans="2:33" x14ac:dyDescent="0.35">
      <c r="B49" s="55">
        <f t="shared" si="4"/>
        <v>47</v>
      </c>
      <c r="C49" s="32">
        <v>20200303</v>
      </c>
      <c r="D49" s="30" t="s">
        <v>3</v>
      </c>
      <c r="E49" s="30" t="s">
        <v>133</v>
      </c>
      <c r="F49" s="33" t="s">
        <v>219</v>
      </c>
      <c r="G49" s="30">
        <v>1341660</v>
      </c>
      <c r="H49" s="32" t="s">
        <v>156</v>
      </c>
      <c r="I49" s="31" t="s">
        <v>218</v>
      </c>
      <c r="J49" s="30" t="s">
        <v>88</v>
      </c>
      <c r="K49" s="30" t="s">
        <v>184</v>
      </c>
      <c r="L49" s="33" t="str">
        <f t="shared" si="2"/>
        <v>-</v>
      </c>
      <c r="M49" s="33" t="s">
        <v>405</v>
      </c>
      <c r="N49" s="32"/>
      <c r="O49" s="30" t="s">
        <v>103</v>
      </c>
      <c r="P49" s="30"/>
      <c r="Q49" s="30"/>
      <c r="R49" s="30">
        <v>107</v>
      </c>
      <c r="S49" s="67">
        <v>107</v>
      </c>
      <c r="T49" s="30">
        <v>107</v>
      </c>
      <c r="U49" s="30">
        <f>ROUNDDOWN(S49/HLOOKUP(D49,Table!$C$3:$D$4,2,0)*8,2)</f>
        <v>1.9</v>
      </c>
      <c r="V49" s="30">
        <v>1</v>
      </c>
      <c r="W49" s="30" t="s">
        <v>21</v>
      </c>
      <c r="X49" s="34"/>
      <c r="Y49" s="105">
        <v>43901</v>
      </c>
      <c r="Z49" s="34">
        <v>43899</v>
      </c>
      <c r="AA49" s="34">
        <v>43899</v>
      </c>
      <c r="AB49" s="34" t="s">
        <v>181</v>
      </c>
      <c r="AC49" s="30">
        <v>99</v>
      </c>
      <c r="AD49" s="30">
        <v>96</v>
      </c>
      <c r="AE49" s="30">
        <v>100</v>
      </c>
      <c r="AF49" s="30" t="s">
        <v>232</v>
      </c>
      <c r="AG49" s="33" t="s">
        <v>88</v>
      </c>
    </row>
    <row r="50" spans="2:33" x14ac:dyDescent="0.35">
      <c r="B50" s="55">
        <f t="shared" si="4"/>
        <v>48</v>
      </c>
      <c r="C50" s="32">
        <v>20200303</v>
      </c>
      <c r="D50" s="30" t="s">
        <v>3</v>
      </c>
      <c r="E50" s="30" t="s">
        <v>133</v>
      </c>
      <c r="F50" s="33" t="s">
        <v>219</v>
      </c>
      <c r="G50" s="30">
        <v>1341660</v>
      </c>
      <c r="H50" s="32" t="s">
        <v>157</v>
      </c>
      <c r="I50" s="31" t="s">
        <v>218</v>
      </c>
      <c r="J50" s="30" t="s">
        <v>88</v>
      </c>
      <c r="K50" s="30" t="s">
        <v>184</v>
      </c>
      <c r="L50" s="33" t="str">
        <f t="shared" si="2"/>
        <v>-</v>
      </c>
      <c r="M50" s="33" t="s">
        <v>405</v>
      </c>
      <c r="N50" s="32"/>
      <c r="O50" s="30" t="s">
        <v>103</v>
      </c>
      <c r="P50" s="30"/>
      <c r="Q50" s="30"/>
      <c r="R50" s="30">
        <v>269</v>
      </c>
      <c r="S50" s="68">
        <v>269</v>
      </c>
      <c r="T50" s="30">
        <v>269</v>
      </c>
      <c r="U50" s="30">
        <f>ROUNDDOWN(S50/HLOOKUP(D50,Table!$C$3:$D$4,2,0)*8,2)</f>
        <v>4.78</v>
      </c>
      <c r="V50" s="30">
        <v>3</v>
      </c>
      <c r="W50" s="30" t="s">
        <v>214</v>
      </c>
      <c r="X50" s="34"/>
      <c r="Y50" s="105">
        <v>43901</v>
      </c>
      <c r="Z50" s="34">
        <v>43899</v>
      </c>
      <c r="AA50" s="34">
        <v>43899</v>
      </c>
      <c r="AB50" s="34" t="s">
        <v>181</v>
      </c>
      <c r="AC50" s="30">
        <v>99</v>
      </c>
      <c r="AD50" s="30">
        <v>97</v>
      </c>
      <c r="AE50" s="30">
        <v>100</v>
      </c>
      <c r="AF50" s="30" t="s">
        <v>232</v>
      </c>
      <c r="AG50" s="33" t="s">
        <v>88</v>
      </c>
    </row>
    <row r="51" spans="2:33" hidden="1" x14ac:dyDescent="0.35">
      <c r="B51" s="55">
        <f t="shared" si="4"/>
        <v>49</v>
      </c>
      <c r="C51" s="32">
        <v>20200303</v>
      </c>
      <c r="D51" s="30" t="s">
        <v>3</v>
      </c>
      <c r="E51" s="30" t="s">
        <v>133</v>
      </c>
      <c r="F51" s="33" t="s">
        <v>219</v>
      </c>
      <c r="G51" s="30">
        <v>1341660</v>
      </c>
      <c r="H51" s="30" t="s">
        <v>158</v>
      </c>
      <c r="I51" s="31" t="s">
        <v>218</v>
      </c>
      <c r="J51" s="30" t="s">
        <v>88</v>
      </c>
      <c r="K51" s="30" t="s">
        <v>184</v>
      </c>
      <c r="L51" s="33" t="str">
        <f t="shared" si="2"/>
        <v>-</v>
      </c>
      <c r="M51" s="33" t="s">
        <v>405</v>
      </c>
      <c r="N51" s="32"/>
      <c r="O51" s="30" t="s">
        <v>104</v>
      </c>
      <c r="P51" s="30"/>
      <c r="Q51" s="30"/>
      <c r="R51" s="30">
        <v>70</v>
      </c>
      <c r="S51" s="68">
        <f>R51</f>
        <v>70</v>
      </c>
      <c r="T51" s="30">
        <f>S51</f>
        <v>70</v>
      </c>
      <c r="U51" s="30">
        <f>ROUNDDOWN(S51/HLOOKUP(D51,Table!$C$3:$D$4,2,0)*8,2)</f>
        <v>1.24</v>
      </c>
      <c r="V51" s="30">
        <v>0.2</v>
      </c>
      <c r="W51" s="48" t="s">
        <v>21</v>
      </c>
      <c r="X51" s="34"/>
      <c r="Y51" s="105">
        <v>43901</v>
      </c>
      <c r="Z51" s="34">
        <v>43900</v>
      </c>
      <c r="AA51" s="34">
        <v>43900</v>
      </c>
      <c r="AB51" s="34" t="s">
        <v>182</v>
      </c>
      <c r="AC51" s="30">
        <v>100</v>
      </c>
      <c r="AD51" s="30">
        <v>100</v>
      </c>
      <c r="AE51" s="30">
        <v>100</v>
      </c>
      <c r="AF51" s="30"/>
      <c r="AG51" s="33" t="s">
        <v>88</v>
      </c>
    </row>
    <row r="52" spans="2:33" x14ac:dyDescent="0.35">
      <c r="B52" s="55">
        <f t="shared" si="4"/>
        <v>50</v>
      </c>
      <c r="C52" s="32">
        <v>20200303</v>
      </c>
      <c r="D52" s="30" t="s">
        <v>3</v>
      </c>
      <c r="E52" s="30" t="s">
        <v>133</v>
      </c>
      <c r="F52" s="33" t="s">
        <v>222</v>
      </c>
      <c r="G52" s="30">
        <v>1341660</v>
      </c>
      <c r="H52" s="30" t="s">
        <v>159</v>
      </c>
      <c r="I52" s="31" t="s">
        <v>218</v>
      </c>
      <c r="J52" s="30" t="s">
        <v>88</v>
      </c>
      <c r="K52" s="30" t="s">
        <v>184</v>
      </c>
      <c r="L52" s="33" t="str">
        <f t="shared" si="2"/>
        <v>-</v>
      </c>
      <c r="M52" s="33" t="s">
        <v>405</v>
      </c>
      <c r="N52" s="32"/>
      <c r="O52" s="30" t="s">
        <v>103</v>
      </c>
      <c r="P52" s="30"/>
      <c r="Q52" s="30"/>
      <c r="R52" s="30">
        <v>204</v>
      </c>
      <c r="S52" s="30">
        <v>204</v>
      </c>
      <c r="T52" s="30">
        <v>204</v>
      </c>
      <c r="U52" s="30">
        <f>ROUNDDOWN(S52/HLOOKUP(D52,Table!$C$3:$D$4,2,0)*8,2)</f>
        <v>3.62</v>
      </c>
      <c r="V52" s="30">
        <v>3</v>
      </c>
      <c r="W52" s="30" t="s">
        <v>21</v>
      </c>
      <c r="X52" s="34">
        <v>43895</v>
      </c>
      <c r="Y52" s="105">
        <v>43901</v>
      </c>
      <c r="Z52" s="34">
        <v>43895</v>
      </c>
      <c r="AA52" s="34">
        <v>43896</v>
      </c>
      <c r="AB52" s="34" t="s">
        <v>182</v>
      </c>
      <c r="AC52" s="30">
        <v>100</v>
      </c>
      <c r="AD52" s="30">
        <v>100</v>
      </c>
      <c r="AE52" s="30">
        <v>100</v>
      </c>
      <c r="AF52" s="30"/>
      <c r="AG52" s="33" t="s">
        <v>88</v>
      </c>
    </row>
    <row r="53" spans="2:33" x14ac:dyDescent="0.35">
      <c r="B53" s="55">
        <f t="shared" si="4"/>
        <v>51</v>
      </c>
      <c r="C53" s="32">
        <v>20200303</v>
      </c>
      <c r="D53" s="30" t="s">
        <v>3</v>
      </c>
      <c r="E53" s="30" t="s">
        <v>133</v>
      </c>
      <c r="F53" s="33" t="s">
        <v>222</v>
      </c>
      <c r="G53" s="30">
        <v>1341660</v>
      </c>
      <c r="H53" s="30" t="s">
        <v>160</v>
      </c>
      <c r="I53" s="31" t="s">
        <v>218</v>
      </c>
      <c r="J53" s="30" t="s">
        <v>88</v>
      </c>
      <c r="K53" s="30" t="s">
        <v>184</v>
      </c>
      <c r="L53" s="33" t="str">
        <f t="shared" si="2"/>
        <v>-</v>
      </c>
      <c r="M53" s="33" t="s">
        <v>405</v>
      </c>
      <c r="N53" s="32"/>
      <c r="O53" s="30" t="s">
        <v>103</v>
      </c>
      <c r="P53" s="30"/>
      <c r="Q53" s="30"/>
      <c r="R53" s="30">
        <v>185</v>
      </c>
      <c r="S53" s="30">
        <v>185</v>
      </c>
      <c r="T53" s="30">
        <v>185</v>
      </c>
      <c r="U53" s="30">
        <f>ROUNDDOWN(S53/HLOOKUP(D53,Table!$C$3:$D$4,2,0)*8,2)</f>
        <v>3.28</v>
      </c>
      <c r="V53" s="30">
        <v>3</v>
      </c>
      <c r="W53" s="30" t="s">
        <v>21</v>
      </c>
      <c r="X53" s="34">
        <v>43895</v>
      </c>
      <c r="Y53" s="105">
        <v>43901</v>
      </c>
      <c r="Z53" s="34">
        <v>43895</v>
      </c>
      <c r="AA53" s="34">
        <v>43896</v>
      </c>
      <c r="AB53" s="34" t="s">
        <v>182</v>
      </c>
      <c r="AC53" s="30">
        <v>100</v>
      </c>
      <c r="AD53" s="30">
        <v>100</v>
      </c>
      <c r="AE53" s="30">
        <v>100</v>
      </c>
      <c r="AF53" s="30"/>
      <c r="AG53" s="33" t="s">
        <v>88</v>
      </c>
    </row>
    <row r="54" spans="2:33" hidden="1" x14ac:dyDescent="0.35">
      <c r="B54" s="55">
        <f t="shared" si="4"/>
        <v>52</v>
      </c>
      <c r="C54" s="32">
        <v>20200303</v>
      </c>
      <c r="D54" s="30" t="s">
        <v>3</v>
      </c>
      <c r="E54" s="30" t="s">
        <v>133</v>
      </c>
      <c r="F54" s="33" t="s">
        <v>222</v>
      </c>
      <c r="G54" s="30">
        <v>1341660</v>
      </c>
      <c r="H54" s="30" t="s">
        <v>161</v>
      </c>
      <c r="I54" s="31" t="s">
        <v>218</v>
      </c>
      <c r="J54" s="30" t="s">
        <v>88</v>
      </c>
      <c r="K54" s="30" t="s">
        <v>184</v>
      </c>
      <c r="L54" s="33" t="str">
        <f t="shared" si="2"/>
        <v>-</v>
      </c>
      <c r="M54" s="33" t="s">
        <v>405</v>
      </c>
      <c r="N54" s="32"/>
      <c r="O54" s="30" t="s">
        <v>101</v>
      </c>
      <c r="P54" s="30"/>
      <c r="Q54" s="30"/>
      <c r="R54" s="30">
        <v>68</v>
      </c>
      <c r="S54" s="30">
        <v>68</v>
      </c>
      <c r="T54" s="30">
        <v>68</v>
      </c>
      <c r="U54" s="30">
        <f>ROUNDDOWN(S54/HLOOKUP(D54,Table!$C$3:$D$4,2,0)*8,2)</f>
        <v>1.2</v>
      </c>
      <c r="V54" s="30">
        <v>2</v>
      </c>
      <c r="W54" s="30" t="s">
        <v>21</v>
      </c>
      <c r="X54" s="34"/>
      <c r="Y54" s="105">
        <v>43901</v>
      </c>
      <c r="Z54" s="34">
        <v>43901</v>
      </c>
      <c r="AA54" s="34">
        <v>43901</v>
      </c>
      <c r="AB54" s="34" t="s">
        <v>182</v>
      </c>
      <c r="AC54" s="30">
        <v>100</v>
      </c>
      <c r="AD54" s="30">
        <v>100</v>
      </c>
      <c r="AE54" s="30">
        <v>100</v>
      </c>
      <c r="AF54" s="30"/>
      <c r="AG54" s="33" t="s">
        <v>88</v>
      </c>
    </row>
    <row r="55" spans="2:33" hidden="1" x14ac:dyDescent="0.35">
      <c r="B55" s="55">
        <f t="shared" si="4"/>
        <v>53</v>
      </c>
      <c r="C55" s="32">
        <v>20200303</v>
      </c>
      <c r="D55" s="30" t="s">
        <v>3</v>
      </c>
      <c r="E55" s="30" t="s">
        <v>133</v>
      </c>
      <c r="F55" s="33" t="s">
        <v>222</v>
      </c>
      <c r="G55" s="30">
        <v>1341660</v>
      </c>
      <c r="H55" s="30" t="s">
        <v>162</v>
      </c>
      <c r="I55" s="31" t="s">
        <v>218</v>
      </c>
      <c r="J55" s="30" t="s">
        <v>88</v>
      </c>
      <c r="K55" s="30" t="s">
        <v>184</v>
      </c>
      <c r="L55" s="33" t="str">
        <f t="shared" si="2"/>
        <v>-</v>
      </c>
      <c r="M55" s="33" t="s">
        <v>405</v>
      </c>
      <c r="N55" s="32"/>
      <c r="O55" s="30" t="s">
        <v>101</v>
      </c>
      <c r="P55" s="30"/>
      <c r="Q55" s="30"/>
      <c r="R55" s="30">
        <v>150</v>
      </c>
      <c r="S55" s="30">
        <v>150</v>
      </c>
      <c r="T55" s="30">
        <v>150</v>
      </c>
      <c r="U55" s="30">
        <f>ROUNDDOWN(S55/HLOOKUP(D55,Table!$C$3:$D$4,2,0)*8,2)</f>
        <v>2.66</v>
      </c>
      <c r="V55" s="30">
        <v>4</v>
      </c>
      <c r="W55" s="30" t="s">
        <v>21</v>
      </c>
      <c r="X55" s="34"/>
      <c r="Y55" s="105">
        <v>43901</v>
      </c>
      <c r="Z55" s="34">
        <v>43901</v>
      </c>
      <c r="AA55" s="34">
        <v>43901</v>
      </c>
      <c r="AB55" s="34" t="s">
        <v>182</v>
      </c>
      <c r="AC55" s="30">
        <v>100</v>
      </c>
      <c r="AD55" s="30">
        <v>100</v>
      </c>
      <c r="AE55" s="30">
        <v>100</v>
      </c>
      <c r="AF55" s="30"/>
      <c r="AG55" s="33" t="s">
        <v>88</v>
      </c>
    </row>
    <row r="56" spans="2:33" x14ac:dyDescent="0.35">
      <c r="B56" s="55">
        <f t="shared" si="4"/>
        <v>54</v>
      </c>
      <c r="C56" s="32">
        <v>20200303</v>
      </c>
      <c r="D56" s="30" t="s">
        <v>3</v>
      </c>
      <c r="E56" s="30" t="s">
        <v>133</v>
      </c>
      <c r="F56" s="33" t="s">
        <v>222</v>
      </c>
      <c r="G56" s="30">
        <v>1341660</v>
      </c>
      <c r="H56" s="30" t="s">
        <v>163</v>
      </c>
      <c r="I56" s="31" t="s">
        <v>218</v>
      </c>
      <c r="J56" s="30" t="s">
        <v>88</v>
      </c>
      <c r="K56" s="30" t="s">
        <v>184</v>
      </c>
      <c r="L56" s="33" t="str">
        <f t="shared" si="2"/>
        <v>-</v>
      </c>
      <c r="M56" s="33" t="s">
        <v>405</v>
      </c>
      <c r="N56" s="32"/>
      <c r="O56" s="30" t="s">
        <v>103</v>
      </c>
      <c r="P56" s="30"/>
      <c r="Q56" s="30"/>
      <c r="R56" s="30">
        <v>25</v>
      </c>
      <c r="S56" s="30">
        <v>25</v>
      </c>
      <c r="T56" s="30">
        <v>25</v>
      </c>
      <c r="U56" s="30">
        <f>ROUNDDOWN(S56/HLOOKUP(D56,Table!$C$3:$D$4,2,0)*8,2)</f>
        <v>0.44</v>
      </c>
      <c r="V56" s="30">
        <v>0.2</v>
      </c>
      <c r="W56" s="30" t="s">
        <v>21</v>
      </c>
      <c r="X56" s="34"/>
      <c r="Y56" s="105">
        <v>43901</v>
      </c>
      <c r="Z56" s="34">
        <v>43901</v>
      </c>
      <c r="AA56" s="34">
        <v>43901</v>
      </c>
      <c r="AB56" s="34" t="s">
        <v>182</v>
      </c>
      <c r="AC56" s="30">
        <v>100</v>
      </c>
      <c r="AD56" s="30">
        <v>100</v>
      </c>
      <c r="AE56" s="30">
        <v>100</v>
      </c>
      <c r="AF56" s="30"/>
      <c r="AG56" s="33" t="s">
        <v>88</v>
      </c>
    </row>
    <row r="57" spans="2:33" hidden="1" x14ac:dyDescent="0.35">
      <c r="B57" s="55">
        <f t="shared" si="4"/>
        <v>55</v>
      </c>
      <c r="C57" s="32">
        <v>20200303</v>
      </c>
      <c r="D57" s="30" t="s">
        <v>3</v>
      </c>
      <c r="E57" s="30" t="s">
        <v>133</v>
      </c>
      <c r="F57" s="33" t="s">
        <v>215</v>
      </c>
      <c r="G57" s="30">
        <v>1341660</v>
      </c>
      <c r="H57" s="30" t="s">
        <v>93</v>
      </c>
      <c r="I57" s="31" t="s">
        <v>218</v>
      </c>
      <c r="J57" s="30" t="s">
        <v>88</v>
      </c>
      <c r="K57" s="30" t="s">
        <v>184</v>
      </c>
      <c r="L57" s="33" t="str">
        <f t="shared" si="2"/>
        <v>-</v>
      </c>
      <c r="M57" s="33" t="s">
        <v>405</v>
      </c>
      <c r="N57" s="32"/>
      <c r="O57" s="30" t="s">
        <v>104</v>
      </c>
      <c r="P57" s="30"/>
      <c r="Q57" s="30"/>
      <c r="R57" s="30">
        <v>487</v>
      </c>
      <c r="S57" s="30">
        <f>R57</f>
        <v>487</v>
      </c>
      <c r="T57" s="30">
        <f>S57</f>
        <v>487</v>
      </c>
      <c r="U57" s="30">
        <f>ROUNDDOWN(S57/HLOOKUP(D57,Table!$C$3:$D$4,2,0)*8,2)</f>
        <v>8.65</v>
      </c>
      <c r="V57" s="30">
        <v>2.4</v>
      </c>
      <c r="W57" s="30" t="s">
        <v>21</v>
      </c>
      <c r="X57" s="34"/>
      <c r="Y57" s="105">
        <v>43901</v>
      </c>
      <c r="Z57" s="34">
        <v>43899</v>
      </c>
      <c r="AA57" s="34">
        <v>43899</v>
      </c>
      <c r="AB57" s="34" t="s">
        <v>182</v>
      </c>
      <c r="AC57" s="30">
        <v>100</v>
      </c>
      <c r="AD57" s="30">
        <v>100</v>
      </c>
      <c r="AE57" s="30">
        <v>100</v>
      </c>
      <c r="AF57" s="30"/>
      <c r="AG57" s="33" t="s">
        <v>88</v>
      </c>
    </row>
    <row r="58" spans="2:33" x14ac:dyDescent="0.35">
      <c r="B58" s="55">
        <f t="shared" si="4"/>
        <v>56</v>
      </c>
      <c r="C58" s="32">
        <v>20200303</v>
      </c>
      <c r="D58" s="30" t="s">
        <v>3</v>
      </c>
      <c r="E58" s="30" t="s">
        <v>133</v>
      </c>
      <c r="F58" s="33" t="s">
        <v>215</v>
      </c>
      <c r="G58" s="30">
        <v>1341660</v>
      </c>
      <c r="H58" s="30" t="s">
        <v>164</v>
      </c>
      <c r="I58" s="31" t="s">
        <v>218</v>
      </c>
      <c r="J58" s="30" t="s">
        <v>88</v>
      </c>
      <c r="K58" s="30" t="s">
        <v>184</v>
      </c>
      <c r="L58" s="33" t="str">
        <f t="shared" si="2"/>
        <v>-</v>
      </c>
      <c r="M58" s="33" t="s">
        <v>405</v>
      </c>
      <c r="N58" s="32"/>
      <c r="O58" s="30" t="s">
        <v>103</v>
      </c>
      <c r="P58" s="30"/>
      <c r="Q58" s="30"/>
      <c r="R58" s="30">
        <v>110</v>
      </c>
      <c r="S58" s="30">
        <v>110</v>
      </c>
      <c r="T58" s="30">
        <v>110</v>
      </c>
      <c r="U58" s="30">
        <f>ROUNDDOWN(S58/HLOOKUP(D58,Table!$C$3:$D$4,2,0)*8,2)</f>
        <v>1.95</v>
      </c>
      <c r="V58" s="30">
        <v>2</v>
      </c>
      <c r="W58" s="30" t="s">
        <v>21</v>
      </c>
      <c r="X58" s="34">
        <v>43895</v>
      </c>
      <c r="Y58" s="105">
        <v>43901</v>
      </c>
      <c r="Z58" s="34">
        <v>43895</v>
      </c>
      <c r="AA58" s="34">
        <v>43895</v>
      </c>
      <c r="AB58" s="34" t="s">
        <v>182</v>
      </c>
      <c r="AC58" s="30">
        <v>100</v>
      </c>
      <c r="AD58" s="30">
        <v>100</v>
      </c>
      <c r="AE58" s="30">
        <v>100</v>
      </c>
      <c r="AF58" s="30"/>
      <c r="AG58" s="33" t="s">
        <v>88</v>
      </c>
    </row>
    <row r="59" spans="2:33" hidden="1" x14ac:dyDescent="0.35">
      <c r="B59" s="55">
        <f t="shared" si="4"/>
        <v>57</v>
      </c>
      <c r="C59" s="32">
        <v>20200303</v>
      </c>
      <c r="D59" s="30" t="s">
        <v>3</v>
      </c>
      <c r="E59" s="30" t="s">
        <v>133</v>
      </c>
      <c r="F59" s="33" t="s">
        <v>215</v>
      </c>
      <c r="G59" s="30">
        <v>1341660</v>
      </c>
      <c r="H59" s="30" t="s">
        <v>165</v>
      </c>
      <c r="I59" s="31" t="s">
        <v>218</v>
      </c>
      <c r="J59" s="30" t="s">
        <v>88</v>
      </c>
      <c r="K59" s="30" t="s">
        <v>184</v>
      </c>
      <c r="L59" s="33" t="str">
        <f t="shared" ref="L59:L90" si="6">IF(D59="ASW","PUT_VERSION","-")</f>
        <v>-</v>
      </c>
      <c r="M59" s="33" t="s">
        <v>405</v>
      </c>
      <c r="N59" s="32"/>
      <c r="O59" s="30" t="s">
        <v>104</v>
      </c>
      <c r="P59" s="30"/>
      <c r="Q59" s="30"/>
      <c r="R59" s="30">
        <v>167</v>
      </c>
      <c r="S59" s="30">
        <f>R59</f>
        <v>167</v>
      </c>
      <c r="T59" s="30">
        <f>S59</f>
        <v>167</v>
      </c>
      <c r="U59" s="30">
        <f>ROUNDDOWN(S59/HLOOKUP(D59,Table!$C$3:$D$4,2,0)*8,2)</f>
        <v>2.96</v>
      </c>
      <c r="V59" s="30">
        <v>2</v>
      </c>
      <c r="W59" s="30" t="s">
        <v>21</v>
      </c>
      <c r="X59" s="34"/>
      <c r="Y59" s="105">
        <v>43901</v>
      </c>
      <c r="Z59" s="34">
        <v>43899</v>
      </c>
      <c r="AA59" s="34">
        <v>43899</v>
      </c>
      <c r="AB59" s="34" t="s">
        <v>182</v>
      </c>
      <c r="AC59" s="30">
        <v>100</v>
      </c>
      <c r="AD59" s="30">
        <v>100</v>
      </c>
      <c r="AE59" s="30">
        <v>100</v>
      </c>
      <c r="AF59" s="30"/>
      <c r="AG59" s="33" t="s">
        <v>88</v>
      </c>
    </row>
    <row r="60" spans="2:33" x14ac:dyDescent="0.35">
      <c r="B60" s="55">
        <f t="shared" si="4"/>
        <v>58</v>
      </c>
      <c r="C60" s="32">
        <v>20200303</v>
      </c>
      <c r="D60" s="30" t="s">
        <v>3</v>
      </c>
      <c r="E60" s="30" t="s">
        <v>133</v>
      </c>
      <c r="F60" s="33" t="s">
        <v>215</v>
      </c>
      <c r="G60" s="30">
        <v>1341660</v>
      </c>
      <c r="H60" s="30" t="s">
        <v>166</v>
      </c>
      <c r="I60" s="31" t="s">
        <v>218</v>
      </c>
      <c r="J60" s="30" t="s">
        <v>88</v>
      </c>
      <c r="K60" s="30" t="s">
        <v>184</v>
      </c>
      <c r="L60" s="33" t="str">
        <f t="shared" si="6"/>
        <v>-</v>
      </c>
      <c r="M60" s="33" t="s">
        <v>405</v>
      </c>
      <c r="N60" s="32"/>
      <c r="O60" s="30" t="s">
        <v>103</v>
      </c>
      <c r="P60" s="30"/>
      <c r="Q60" s="30"/>
      <c r="R60" s="30">
        <v>42</v>
      </c>
      <c r="S60" s="30">
        <v>42</v>
      </c>
      <c r="T60" s="30">
        <v>42</v>
      </c>
      <c r="U60" s="30">
        <f>ROUNDDOWN(S60/HLOOKUP(D60,Table!$C$3:$D$4,2,0)*8,2)</f>
        <v>0.74</v>
      </c>
      <c r="V60" s="30">
        <v>0.5</v>
      </c>
      <c r="W60" s="30" t="s">
        <v>21</v>
      </c>
      <c r="X60" s="34"/>
      <c r="Y60" s="105">
        <v>43901</v>
      </c>
      <c r="Z60" s="34">
        <v>43901</v>
      </c>
      <c r="AA60" s="34">
        <v>43901</v>
      </c>
      <c r="AB60" s="34" t="s">
        <v>182</v>
      </c>
      <c r="AC60" s="30">
        <v>100</v>
      </c>
      <c r="AD60" s="30">
        <v>100</v>
      </c>
      <c r="AE60" s="30">
        <v>100</v>
      </c>
      <c r="AF60" s="30"/>
      <c r="AG60" s="33" t="s">
        <v>88</v>
      </c>
    </row>
    <row r="61" spans="2:33" x14ac:dyDescent="0.35">
      <c r="B61" s="55">
        <f t="shared" si="4"/>
        <v>59</v>
      </c>
      <c r="C61" s="30">
        <v>20200303</v>
      </c>
      <c r="D61" s="30" t="s">
        <v>3</v>
      </c>
      <c r="E61" s="30" t="s">
        <v>133</v>
      </c>
      <c r="F61" s="33" t="s">
        <v>215</v>
      </c>
      <c r="G61" s="30">
        <v>1341660</v>
      </c>
      <c r="H61" s="30" t="s">
        <v>167</v>
      </c>
      <c r="I61" s="31" t="s">
        <v>218</v>
      </c>
      <c r="J61" s="30" t="s">
        <v>88</v>
      </c>
      <c r="K61" s="30" t="s">
        <v>184</v>
      </c>
      <c r="L61" s="33" t="str">
        <f t="shared" si="6"/>
        <v>-</v>
      </c>
      <c r="M61" s="33" t="s">
        <v>405</v>
      </c>
      <c r="N61" s="32"/>
      <c r="O61" s="30" t="s">
        <v>103</v>
      </c>
      <c r="P61" s="30"/>
      <c r="Q61" s="30"/>
      <c r="R61" s="30">
        <v>40</v>
      </c>
      <c r="S61" s="30">
        <v>40</v>
      </c>
      <c r="T61" s="30">
        <v>40</v>
      </c>
      <c r="U61" s="30">
        <f>ROUNDDOWN(S61/HLOOKUP(D61,Table!$C$3:$D$4,2,0)*8,2)</f>
        <v>0.71</v>
      </c>
      <c r="V61" s="30">
        <v>0.5</v>
      </c>
      <c r="W61" s="30" t="s">
        <v>21</v>
      </c>
      <c r="X61" s="34"/>
      <c r="Y61" s="105">
        <v>43901</v>
      </c>
      <c r="Z61" s="34">
        <v>43901</v>
      </c>
      <c r="AA61" s="34">
        <v>43901</v>
      </c>
      <c r="AB61" s="34" t="s">
        <v>182</v>
      </c>
      <c r="AC61" s="30">
        <v>100</v>
      </c>
      <c r="AD61" s="30">
        <v>100</v>
      </c>
      <c r="AE61" s="30">
        <v>100</v>
      </c>
      <c r="AF61" s="30"/>
      <c r="AG61" s="33" t="s">
        <v>88</v>
      </c>
    </row>
    <row r="62" spans="2:33" s="52" customFormat="1" hidden="1" x14ac:dyDescent="0.35">
      <c r="B62" s="76">
        <f t="shared" si="4"/>
        <v>60</v>
      </c>
      <c r="C62" s="77">
        <v>20200303</v>
      </c>
      <c r="D62" s="77" t="s">
        <v>3</v>
      </c>
      <c r="E62" s="77" t="s">
        <v>133</v>
      </c>
      <c r="F62" s="78" t="s">
        <v>170</v>
      </c>
      <c r="G62" s="32">
        <v>1341660</v>
      </c>
      <c r="H62" s="32" t="s">
        <v>168</v>
      </c>
      <c r="I62" s="77" t="s">
        <v>218</v>
      </c>
      <c r="J62" s="77" t="s">
        <v>88</v>
      </c>
      <c r="K62" s="77" t="s">
        <v>184</v>
      </c>
      <c r="L62" s="78" t="str">
        <f t="shared" si="6"/>
        <v>-</v>
      </c>
      <c r="M62" s="78" t="s">
        <v>405</v>
      </c>
      <c r="N62" s="77"/>
      <c r="O62" s="77"/>
      <c r="P62" s="77"/>
      <c r="Q62" s="77"/>
      <c r="R62" s="77">
        <v>44</v>
      </c>
      <c r="S62" s="77">
        <v>44</v>
      </c>
      <c r="T62" s="77"/>
      <c r="U62" s="77">
        <f>ROUNDDOWN(S62/HLOOKUP(D62,Table!$C$3:$D$4,2,0)*8,2)</f>
        <v>0.78</v>
      </c>
      <c r="V62" s="77"/>
      <c r="W62" s="77" t="s">
        <v>406</v>
      </c>
      <c r="X62" s="79"/>
      <c r="Y62" s="105">
        <v>43901</v>
      </c>
      <c r="Z62" s="87"/>
      <c r="AA62" s="87"/>
      <c r="AB62" s="79"/>
      <c r="AC62" s="77"/>
      <c r="AD62" s="77"/>
      <c r="AE62" s="77"/>
      <c r="AF62" s="77" t="s">
        <v>316</v>
      </c>
      <c r="AG62" s="77"/>
    </row>
    <row r="63" spans="2:33" x14ac:dyDescent="0.35">
      <c r="B63" s="55">
        <f t="shared" si="4"/>
        <v>61</v>
      </c>
      <c r="C63" s="30">
        <v>20200303</v>
      </c>
      <c r="D63" s="30" t="s">
        <v>3</v>
      </c>
      <c r="E63" s="30" t="s">
        <v>133</v>
      </c>
      <c r="F63" s="33" t="s">
        <v>170</v>
      </c>
      <c r="G63" s="30">
        <v>1341660</v>
      </c>
      <c r="H63" s="32" t="s">
        <v>169</v>
      </c>
      <c r="I63" s="31" t="s">
        <v>218</v>
      </c>
      <c r="J63" s="30" t="s">
        <v>88</v>
      </c>
      <c r="K63" s="30" t="s">
        <v>184</v>
      </c>
      <c r="L63" s="33" t="str">
        <f t="shared" si="6"/>
        <v>-</v>
      </c>
      <c r="M63" s="33" t="s">
        <v>405</v>
      </c>
      <c r="N63" s="32"/>
      <c r="O63" s="30" t="s">
        <v>103</v>
      </c>
      <c r="P63" s="30"/>
      <c r="Q63" s="30"/>
      <c r="R63" s="30">
        <v>29</v>
      </c>
      <c r="S63" s="30">
        <v>29</v>
      </c>
      <c r="T63" s="30">
        <v>29</v>
      </c>
      <c r="U63" s="30">
        <f>ROUNDDOWN(S63/HLOOKUP(D63,Table!$C$3:$D$4,2,0)*8,2)</f>
        <v>0.51</v>
      </c>
      <c r="V63" s="30">
        <v>0.5</v>
      </c>
      <c r="W63" s="30" t="s">
        <v>21</v>
      </c>
      <c r="X63" s="34"/>
      <c r="Y63" s="105">
        <v>43901</v>
      </c>
      <c r="Z63" s="34">
        <v>43900</v>
      </c>
      <c r="AA63" s="34">
        <v>43900</v>
      </c>
      <c r="AB63" s="34" t="s">
        <v>182</v>
      </c>
      <c r="AC63" s="30">
        <v>100</v>
      </c>
      <c r="AD63" s="30">
        <v>100</v>
      </c>
      <c r="AE63" s="30">
        <v>100</v>
      </c>
      <c r="AF63" s="30"/>
      <c r="AG63" s="33" t="s">
        <v>88</v>
      </c>
    </row>
    <row r="64" spans="2:33" x14ac:dyDescent="0.35">
      <c r="B64" s="55">
        <f t="shared" si="4"/>
        <v>62</v>
      </c>
      <c r="C64" s="30">
        <v>20200303</v>
      </c>
      <c r="D64" s="30" t="s">
        <v>3</v>
      </c>
      <c r="E64" s="30" t="s">
        <v>133</v>
      </c>
      <c r="F64" s="33" t="s">
        <v>170</v>
      </c>
      <c r="G64" s="30">
        <v>1341660</v>
      </c>
      <c r="H64" s="32" t="s">
        <v>164</v>
      </c>
      <c r="I64" s="31" t="s">
        <v>218</v>
      </c>
      <c r="J64" s="30" t="s">
        <v>88</v>
      </c>
      <c r="K64" s="30" t="s">
        <v>184</v>
      </c>
      <c r="L64" s="33" t="str">
        <f t="shared" si="6"/>
        <v>-</v>
      </c>
      <c r="M64" s="33" t="s">
        <v>405</v>
      </c>
      <c r="N64" s="32"/>
      <c r="O64" s="30" t="s">
        <v>103</v>
      </c>
      <c r="P64" s="30"/>
      <c r="Q64" s="30"/>
      <c r="R64" s="30">
        <v>110</v>
      </c>
      <c r="S64" s="30">
        <v>110</v>
      </c>
      <c r="T64" s="30">
        <v>110</v>
      </c>
      <c r="U64" s="30">
        <f>ROUNDDOWN(S64/HLOOKUP(D64,Table!$C$3:$D$4,2,0)*8,2)</f>
        <v>1.95</v>
      </c>
      <c r="V64" s="30">
        <v>1.5</v>
      </c>
      <c r="W64" s="30" t="s">
        <v>21</v>
      </c>
      <c r="X64" s="34"/>
      <c r="Y64" s="105">
        <v>43901</v>
      </c>
      <c r="Z64" s="34">
        <v>43900</v>
      </c>
      <c r="AA64" s="34">
        <v>43900</v>
      </c>
      <c r="AB64" s="34" t="s">
        <v>182</v>
      </c>
      <c r="AC64" s="30">
        <v>100</v>
      </c>
      <c r="AD64" s="30">
        <v>100</v>
      </c>
      <c r="AE64" s="30">
        <v>100</v>
      </c>
      <c r="AF64" s="30"/>
      <c r="AG64" s="33" t="s">
        <v>88</v>
      </c>
    </row>
    <row r="65" spans="1:33" x14ac:dyDescent="0.35">
      <c r="B65" s="55">
        <f t="shared" si="4"/>
        <v>63</v>
      </c>
      <c r="C65" s="30">
        <v>20200303</v>
      </c>
      <c r="D65" s="30" t="s">
        <v>3</v>
      </c>
      <c r="E65" s="30" t="s">
        <v>133</v>
      </c>
      <c r="F65" s="33" t="s">
        <v>170</v>
      </c>
      <c r="G65" s="30">
        <v>1341660</v>
      </c>
      <c r="H65" s="32" t="s">
        <v>166</v>
      </c>
      <c r="I65" s="31" t="s">
        <v>218</v>
      </c>
      <c r="J65" s="30" t="s">
        <v>88</v>
      </c>
      <c r="K65" s="30" t="s">
        <v>184</v>
      </c>
      <c r="L65" s="33" t="str">
        <f t="shared" si="6"/>
        <v>-</v>
      </c>
      <c r="M65" s="33" t="s">
        <v>405</v>
      </c>
      <c r="N65" s="32"/>
      <c r="O65" s="30" t="s">
        <v>103</v>
      </c>
      <c r="P65" s="30"/>
      <c r="Q65" s="30"/>
      <c r="R65" s="30">
        <v>42</v>
      </c>
      <c r="S65" s="30">
        <v>42</v>
      </c>
      <c r="T65" s="30">
        <v>42</v>
      </c>
      <c r="U65" s="30">
        <f>ROUNDDOWN(S65/HLOOKUP(D65,Table!$C$3:$D$4,2,0)*8,2)</f>
        <v>0.74</v>
      </c>
      <c r="V65" s="30">
        <v>0.5</v>
      </c>
      <c r="W65" s="30" t="s">
        <v>21</v>
      </c>
      <c r="X65" s="34"/>
      <c r="Y65" s="105">
        <v>43901</v>
      </c>
      <c r="Z65" s="34">
        <v>43900</v>
      </c>
      <c r="AA65" s="34">
        <v>43900</v>
      </c>
      <c r="AB65" s="34" t="s">
        <v>182</v>
      </c>
      <c r="AC65" s="30">
        <v>100</v>
      </c>
      <c r="AD65" s="30">
        <v>100</v>
      </c>
      <c r="AE65" s="30">
        <v>100</v>
      </c>
      <c r="AF65" s="30"/>
      <c r="AG65" s="33" t="s">
        <v>88</v>
      </c>
    </row>
    <row r="66" spans="1:33" x14ac:dyDescent="0.35">
      <c r="B66" s="55">
        <f t="shared" si="4"/>
        <v>64</v>
      </c>
      <c r="C66" s="30">
        <v>20200303</v>
      </c>
      <c r="D66" s="30" t="s">
        <v>3</v>
      </c>
      <c r="E66" s="30" t="s">
        <v>133</v>
      </c>
      <c r="F66" s="33" t="s">
        <v>170</v>
      </c>
      <c r="G66" s="30">
        <v>1341660</v>
      </c>
      <c r="H66" s="32" t="s">
        <v>168</v>
      </c>
      <c r="I66" s="31" t="s">
        <v>218</v>
      </c>
      <c r="J66" s="30" t="s">
        <v>88</v>
      </c>
      <c r="K66" s="30" t="s">
        <v>184</v>
      </c>
      <c r="L66" s="33" t="str">
        <f t="shared" si="6"/>
        <v>-</v>
      </c>
      <c r="M66" s="33" t="s">
        <v>405</v>
      </c>
      <c r="N66" s="32"/>
      <c r="O66" s="30" t="s">
        <v>103</v>
      </c>
      <c r="P66" s="30"/>
      <c r="Q66" s="30"/>
      <c r="R66" s="30">
        <v>44</v>
      </c>
      <c r="S66" s="30">
        <v>44</v>
      </c>
      <c r="T66" s="30">
        <v>44</v>
      </c>
      <c r="U66" s="30">
        <f>ROUNDDOWN(S66/HLOOKUP(D66,Table!$C$3:$D$4,2,0)*8,2)</f>
        <v>0.78</v>
      </c>
      <c r="V66" s="30">
        <v>0.7</v>
      </c>
      <c r="W66" s="30" t="s">
        <v>21</v>
      </c>
      <c r="X66" s="34"/>
      <c r="Y66" s="105">
        <v>43901</v>
      </c>
      <c r="Z66" s="34">
        <v>43900</v>
      </c>
      <c r="AA66" s="34">
        <v>43900</v>
      </c>
      <c r="AB66" s="34" t="s">
        <v>182</v>
      </c>
      <c r="AC66" s="30">
        <v>100</v>
      </c>
      <c r="AD66" s="30">
        <v>100</v>
      </c>
      <c r="AE66" s="30">
        <v>100</v>
      </c>
      <c r="AF66" s="30"/>
      <c r="AG66" s="33" t="s">
        <v>88</v>
      </c>
    </row>
    <row r="67" spans="1:33" x14ac:dyDescent="0.35">
      <c r="B67" s="55">
        <f t="shared" si="4"/>
        <v>65</v>
      </c>
      <c r="C67" s="32">
        <v>20200305</v>
      </c>
      <c r="D67" s="30" t="s">
        <v>3</v>
      </c>
      <c r="E67" s="30" t="s">
        <v>242</v>
      </c>
      <c r="F67" s="33" t="s">
        <v>238</v>
      </c>
      <c r="G67" s="30">
        <v>1359400</v>
      </c>
      <c r="H67" s="30" t="s">
        <v>243</v>
      </c>
      <c r="I67" s="30" t="s">
        <v>217</v>
      </c>
      <c r="J67" s="30" t="s">
        <v>88</v>
      </c>
      <c r="K67" s="30" t="s">
        <v>109</v>
      </c>
      <c r="L67" s="33" t="str">
        <f t="shared" si="6"/>
        <v>-</v>
      </c>
      <c r="M67" s="33" t="s">
        <v>407</v>
      </c>
      <c r="N67" s="32"/>
      <c r="O67" s="30" t="s">
        <v>103</v>
      </c>
      <c r="P67" s="30"/>
      <c r="Q67" s="30"/>
      <c r="R67" s="30">
        <v>117</v>
      </c>
      <c r="S67" s="30">
        <v>117</v>
      </c>
      <c r="T67" s="30">
        <v>117</v>
      </c>
      <c r="U67" s="30">
        <f>ROUNDDOWN(S67/HLOOKUP(D67,Table!$C$3:$D$4,2,0)*8,2)</f>
        <v>2.08</v>
      </c>
      <c r="V67" s="30">
        <v>3</v>
      </c>
      <c r="W67" s="30" t="s">
        <v>21</v>
      </c>
      <c r="X67" s="34"/>
      <c r="Y67" s="105">
        <v>43901</v>
      </c>
      <c r="Z67" s="34">
        <v>43900</v>
      </c>
      <c r="AA67" s="34">
        <v>43900</v>
      </c>
      <c r="AB67" s="37" t="s">
        <v>182</v>
      </c>
      <c r="AC67" s="30">
        <v>100</v>
      </c>
      <c r="AD67" s="30">
        <v>100</v>
      </c>
      <c r="AE67" s="30">
        <v>100</v>
      </c>
      <c r="AF67" s="30"/>
      <c r="AG67" s="33" t="s">
        <v>88</v>
      </c>
    </row>
    <row r="68" spans="1:33" x14ac:dyDescent="0.35">
      <c r="B68" s="55">
        <f t="shared" si="4"/>
        <v>66</v>
      </c>
      <c r="C68" s="32">
        <v>20200305</v>
      </c>
      <c r="D68" s="30" t="s">
        <v>3</v>
      </c>
      <c r="E68" s="30" t="s">
        <v>91</v>
      </c>
      <c r="F68" s="33" t="s">
        <v>239</v>
      </c>
      <c r="G68" s="30">
        <v>1357606</v>
      </c>
      <c r="H68" s="30" t="s">
        <v>244</v>
      </c>
      <c r="I68" s="30" t="s">
        <v>217</v>
      </c>
      <c r="J68" s="30" t="s">
        <v>88</v>
      </c>
      <c r="K68" s="30" t="s">
        <v>109</v>
      </c>
      <c r="L68" s="33" t="str">
        <f t="shared" si="6"/>
        <v>-</v>
      </c>
      <c r="M68" s="33" t="s">
        <v>408</v>
      </c>
      <c r="N68" s="32"/>
      <c r="O68" s="30" t="s">
        <v>103</v>
      </c>
      <c r="P68" s="30"/>
      <c r="Q68" s="30"/>
      <c r="R68" s="30">
        <v>55</v>
      </c>
      <c r="S68" s="31">
        <v>122</v>
      </c>
      <c r="T68" s="30">
        <v>122</v>
      </c>
      <c r="U68" s="30">
        <f>ROUNDDOWN(S68/HLOOKUP(D68,Table!$C$3:$D$4,2,0)*8,2)</f>
        <v>2.16</v>
      </c>
      <c r="V68" s="30">
        <v>2</v>
      </c>
      <c r="W68" s="30" t="s">
        <v>21</v>
      </c>
      <c r="X68" s="34"/>
      <c r="Y68" s="105">
        <v>43901</v>
      </c>
      <c r="Z68" s="34">
        <v>43901</v>
      </c>
      <c r="AA68" s="34">
        <v>43901</v>
      </c>
      <c r="AB68" s="37" t="s">
        <v>182</v>
      </c>
      <c r="AC68" s="30">
        <v>100</v>
      </c>
      <c r="AD68" s="30">
        <v>100</v>
      </c>
      <c r="AE68" s="30">
        <v>100</v>
      </c>
      <c r="AF68" s="30" t="s">
        <v>320</v>
      </c>
      <c r="AG68" s="33" t="s">
        <v>88</v>
      </c>
    </row>
    <row r="69" spans="1:33" x14ac:dyDescent="0.35">
      <c r="B69" s="55">
        <f t="shared" ref="B69:B154" si="7">B68+1</f>
        <v>67</v>
      </c>
      <c r="C69" s="32">
        <v>20200305</v>
      </c>
      <c r="D69" s="30" t="s">
        <v>3</v>
      </c>
      <c r="E69" s="30" t="s">
        <v>91</v>
      </c>
      <c r="F69" s="33" t="s">
        <v>240</v>
      </c>
      <c r="G69" s="30">
        <v>1357606</v>
      </c>
      <c r="H69" s="30" t="s">
        <v>245</v>
      </c>
      <c r="I69" s="30" t="s">
        <v>217</v>
      </c>
      <c r="J69" s="30" t="s">
        <v>88</v>
      </c>
      <c r="K69" s="30" t="s">
        <v>109</v>
      </c>
      <c r="L69" s="33" t="str">
        <f t="shared" si="6"/>
        <v>-</v>
      </c>
      <c r="M69" s="33" t="s">
        <v>408</v>
      </c>
      <c r="N69" s="32"/>
      <c r="O69" s="30" t="s">
        <v>103</v>
      </c>
      <c r="P69" s="30"/>
      <c r="Q69" s="30"/>
      <c r="R69" s="30">
        <v>60</v>
      </c>
      <c r="S69" s="30">
        <v>60</v>
      </c>
      <c r="T69" s="30">
        <v>60</v>
      </c>
      <c r="U69" s="30">
        <f>ROUNDDOWN(S69/HLOOKUP(D69,Table!$C$3:$D$4,2,0)*8,2)</f>
        <v>1.06</v>
      </c>
      <c r="V69" s="30">
        <v>1</v>
      </c>
      <c r="W69" s="30" t="s">
        <v>21</v>
      </c>
      <c r="X69" s="34"/>
      <c r="Y69" s="105">
        <v>43901</v>
      </c>
      <c r="Z69" s="34">
        <v>43901</v>
      </c>
      <c r="AA69" s="34">
        <v>43901</v>
      </c>
      <c r="AB69" s="37" t="s">
        <v>182</v>
      </c>
      <c r="AC69" s="30">
        <v>100</v>
      </c>
      <c r="AD69" s="30">
        <v>100</v>
      </c>
      <c r="AE69" s="30">
        <v>100</v>
      </c>
      <c r="AF69" s="30"/>
      <c r="AG69" s="33" t="s">
        <v>88</v>
      </c>
    </row>
    <row r="70" spans="1:33" x14ac:dyDescent="0.35">
      <c r="B70" s="55">
        <f t="shared" si="7"/>
        <v>68</v>
      </c>
      <c r="C70" s="32">
        <v>20200305</v>
      </c>
      <c r="D70" s="30" t="s">
        <v>3</v>
      </c>
      <c r="E70" s="30" t="s">
        <v>91</v>
      </c>
      <c r="F70" s="33" t="s">
        <v>240</v>
      </c>
      <c r="G70" s="30">
        <v>1357606</v>
      </c>
      <c r="H70" s="30" t="s">
        <v>246</v>
      </c>
      <c r="I70" s="30" t="s">
        <v>217</v>
      </c>
      <c r="J70" s="30" t="s">
        <v>88</v>
      </c>
      <c r="K70" s="30" t="s">
        <v>109</v>
      </c>
      <c r="L70" s="33" t="str">
        <f t="shared" si="6"/>
        <v>-</v>
      </c>
      <c r="M70" s="33" t="s">
        <v>408</v>
      </c>
      <c r="N70" s="32"/>
      <c r="O70" s="30" t="s">
        <v>103</v>
      </c>
      <c r="P70" s="30"/>
      <c r="Q70" s="30"/>
      <c r="R70" s="30">
        <v>30</v>
      </c>
      <c r="S70" s="30">
        <v>30</v>
      </c>
      <c r="T70" s="30">
        <v>30</v>
      </c>
      <c r="U70" s="30">
        <f>ROUNDDOWN(S70/HLOOKUP(D70,Table!$C$3:$D$4,2,0)*8,2)</f>
        <v>0.53</v>
      </c>
      <c r="V70" s="30">
        <v>0.2</v>
      </c>
      <c r="W70" s="30" t="s">
        <v>21</v>
      </c>
      <c r="X70" s="34"/>
      <c r="Y70" s="105">
        <v>43901</v>
      </c>
      <c r="Z70" s="34">
        <v>43901</v>
      </c>
      <c r="AA70" s="34">
        <v>43901</v>
      </c>
      <c r="AB70" s="37" t="s">
        <v>182</v>
      </c>
      <c r="AC70" s="30">
        <v>100</v>
      </c>
      <c r="AD70" s="30">
        <v>100</v>
      </c>
      <c r="AE70" s="30">
        <v>100</v>
      </c>
      <c r="AF70" s="30"/>
      <c r="AG70" s="33" t="s">
        <v>88</v>
      </c>
    </row>
    <row r="71" spans="1:33" x14ac:dyDescent="0.35">
      <c r="B71" s="55">
        <f t="shared" si="7"/>
        <v>69</v>
      </c>
      <c r="C71" s="32">
        <v>20200305</v>
      </c>
      <c r="D71" s="30" t="s">
        <v>3</v>
      </c>
      <c r="E71" s="30" t="s">
        <v>91</v>
      </c>
      <c r="F71" s="33" t="s">
        <v>240</v>
      </c>
      <c r="G71" s="30">
        <v>1357606</v>
      </c>
      <c r="H71" s="30" t="s">
        <v>247</v>
      </c>
      <c r="I71" s="30" t="s">
        <v>217</v>
      </c>
      <c r="J71" s="30" t="s">
        <v>88</v>
      </c>
      <c r="K71" s="30" t="s">
        <v>109</v>
      </c>
      <c r="L71" s="33" t="str">
        <f t="shared" si="6"/>
        <v>-</v>
      </c>
      <c r="M71" s="33" t="s">
        <v>408</v>
      </c>
      <c r="N71" s="32"/>
      <c r="O71" s="30" t="s">
        <v>103</v>
      </c>
      <c r="P71" s="30"/>
      <c r="Q71" s="30"/>
      <c r="R71" s="30">
        <v>34</v>
      </c>
      <c r="S71" s="30">
        <v>34</v>
      </c>
      <c r="T71" s="30">
        <v>34</v>
      </c>
      <c r="U71" s="30">
        <f>ROUNDDOWN(S71/HLOOKUP(D71,Table!$C$3:$D$4,2,0)*8,2)</f>
        <v>0.6</v>
      </c>
      <c r="V71" s="30">
        <v>0.3</v>
      </c>
      <c r="W71" s="30" t="s">
        <v>21</v>
      </c>
      <c r="X71" s="34"/>
      <c r="Y71" s="105">
        <v>43901</v>
      </c>
      <c r="Z71" s="34">
        <v>43901</v>
      </c>
      <c r="AA71" s="34">
        <v>43901</v>
      </c>
      <c r="AB71" s="37" t="s">
        <v>182</v>
      </c>
      <c r="AC71" s="30">
        <v>100</v>
      </c>
      <c r="AD71" s="30">
        <v>100</v>
      </c>
      <c r="AE71" s="30">
        <v>100</v>
      </c>
      <c r="AF71" s="30"/>
      <c r="AG71" s="33" t="s">
        <v>88</v>
      </c>
    </row>
    <row r="72" spans="1:33" hidden="1" x14ac:dyDescent="0.35">
      <c r="B72" s="55">
        <f t="shared" si="7"/>
        <v>70</v>
      </c>
      <c r="C72" s="32">
        <v>20200305</v>
      </c>
      <c r="D72" s="30" t="s">
        <v>3</v>
      </c>
      <c r="E72" s="30" t="s">
        <v>91</v>
      </c>
      <c r="F72" s="33" t="s">
        <v>240</v>
      </c>
      <c r="G72" s="30">
        <v>1357606</v>
      </c>
      <c r="H72" s="30" t="s">
        <v>82</v>
      </c>
      <c r="I72" s="30" t="s">
        <v>217</v>
      </c>
      <c r="J72" s="30" t="s">
        <v>88</v>
      </c>
      <c r="K72" s="30" t="s">
        <v>109</v>
      </c>
      <c r="L72" s="33" t="str">
        <f t="shared" si="6"/>
        <v>-</v>
      </c>
      <c r="M72" s="33" t="s">
        <v>408</v>
      </c>
      <c r="N72" s="32"/>
      <c r="O72" s="30" t="s">
        <v>104</v>
      </c>
      <c r="P72" s="30"/>
      <c r="Q72" s="30"/>
      <c r="R72" s="30">
        <v>357</v>
      </c>
      <c r="S72" s="30">
        <f t="shared" ref="S72:T75" si="8">R72</f>
        <v>357</v>
      </c>
      <c r="T72" s="30">
        <f t="shared" si="8"/>
        <v>357</v>
      </c>
      <c r="U72" s="48">
        <f>ROUNDDOWN(S72/HLOOKUP(D72,Table!$C$3:$D$4,2,0)*8,2)</f>
        <v>6.34</v>
      </c>
      <c r="V72" s="30">
        <v>6</v>
      </c>
      <c r="W72" s="30" t="s">
        <v>21</v>
      </c>
      <c r="X72" s="34"/>
      <c r="Y72" s="105">
        <v>43901</v>
      </c>
      <c r="Z72" s="34">
        <v>43900</v>
      </c>
      <c r="AA72" s="34">
        <v>43900</v>
      </c>
      <c r="AB72" s="34" t="s">
        <v>182</v>
      </c>
      <c r="AC72" s="30">
        <v>100</v>
      </c>
      <c r="AD72" s="30">
        <v>100</v>
      </c>
      <c r="AE72" s="30">
        <v>100</v>
      </c>
      <c r="AF72" s="30"/>
      <c r="AG72" s="33" t="s">
        <v>88</v>
      </c>
    </row>
    <row r="73" spans="1:33" hidden="1" x14ac:dyDescent="0.35">
      <c r="B73" s="55">
        <f t="shared" si="7"/>
        <v>71</v>
      </c>
      <c r="C73" s="32">
        <v>20200305</v>
      </c>
      <c r="D73" s="30" t="s">
        <v>3</v>
      </c>
      <c r="E73" s="30" t="s">
        <v>91</v>
      </c>
      <c r="F73" s="33" t="s">
        <v>241</v>
      </c>
      <c r="G73" s="30">
        <v>1357606</v>
      </c>
      <c r="H73" s="30" t="s">
        <v>248</v>
      </c>
      <c r="I73" s="30" t="s">
        <v>217</v>
      </c>
      <c r="J73" s="30" t="s">
        <v>88</v>
      </c>
      <c r="K73" s="30" t="s">
        <v>109</v>
      </c>
      <c r="L73" s="33" t="str">
        <f t="shared" si="6"/>
        <v>-</v>
      </c>
      <c r="M73" s="33" t="s">
        <v>408</v>
      </c>
      <c r="N73" s="32"/>
      <c r="O73" s="30" t="s">
        <v>104</v>
      </c>
      <c r="P73" s="30"/>
      <c r="Q73" s="30"/>
      <c r="R73" s="30">
        <v>431</v>
      </c>
      <c r="S73" s="30">
        <f t="shared" si="8"/>
        <v>431</v>
      </c>
      <c r="T73" s="30">
        <f t="shared" si="8"/>
        <v>431</v>
      </c>
      <c r="U73" s="30">
        <f>ROUNDDOWN(S73/HLOOKUP(D73,Table!$C$3:$D$4,2,0)*8,2)</f>
        <v>7.66</v>
      </c>
      <c r="V73" s="30">
        <v>7</v>
      </c>
      <c r="W73" s="48" t="s">
        <v>21</v>
      </c>
      <c r="X73" s="34"/>
      <c r="Y73" s="105">
        <v>43901</v>
      </c>
      <c r="Z73" s="34">
        <v>43900</v>
      </c>
      <c r="AA73" s="34">
        <v>43900</v>
      </c>
      <c r="AB73" s="34" t="s">
        <v>182</v>
      </c>
      <c r="AC73" s="30">
        <v>100</v>
      </c>
      <c r="AD73" s="30">
        <v>100</v>
      </c>
      <c r="AE73" s="30">
        <v>100</v>
      </c>
      <c r="AF73" s="30"/>
      <c r="AG73" s="33" t="s">
        <v>88</v>
      </c>
    </row>
    <row r="74" spans="1:33" hidden="1" x14ac:dyDescent="0.35">
      <c r="B74" s="57">
        <f t="shared" si="7"/>
        <v>72</v>
      </c>
      <c r="C74" s="30">
        <v>20200304</v>
      </c>
      <c r="D74" s="30" t="s">
        <v>3</v>
      </c>
      <c r="E74" s="30" t="s">
        <v>249</v>
      </c>
      <c r="F74" s="33" t="s">
        <v>265</v>
      </c>
      <c r="G74" s="70">
        <v>1357257</v>
      </c>
      <c r="H74" s="70" t="s">
        <v>250</v>
      </c>
      <c r="I74" s="31" t="s">
        <v>218</v>
      </c>
      <c r="J74" s="30" t="s">
        <v>88</v>
      </c>
      <c r="K74" s="30" t="s">
        <v>264</v>
      </c>
      <c r="L74" s="33" t="str">
        <f t="shared" si="6"/>
        <v>-</v>
      </c>
      <c r="M74" s="33" t="s">
        <v>409</v>
      </c>
      <c r="N74" s="32"/>
      <c r="O74" s="30" t="s">
        <v>104</v>
      </c>
      <c r="P74" s="30"/>
      <c r="Q74" s="30"/>
      <c r="R74" s="30">
        <v>1993</v>
      </c>
      <c r="S74" s="30">
        <f t="shared" si="8"/>
        <v>1993</v>
      </c>
      <c r="T74" s="30">
        <f t="shared" si="8"/>
        <v>1993</v>
      </c>
      <c r="U74" s="30">
        <f>ROUNDDOWN(S74/HLOOKUP(D74,Table!$C$3:$D$4,2,0)*8,2)</f>
        <v>35.43</v>
      </c>
      <c r="V74" s="30">
        <v>3</v>
      </c>
      <c r="W74" s="48" t="s">
        <v>21</v>
      </c>
      <c r="X74" s="34"/>
      <c r="Y74" s="34">
        <v>43902</v>
      </c>
      <c r="Z74" s="34">
        <v>43901</v>
      </c>
      <c r="AA74" s="34">
        <v>43901</v>
      </c>
      <c r="AB74" s="37" t="s">
        <v>181</v>
      </c>
      <c r="AC74" s="30">
        <v>100</v>
      </c>
      <c r="AD74" s="30">
        <v>100</v>
      </c>
      <c r="AE74" s="30">
        <v>100</v>
      </c>
      <c r="AF74" s="30" t="s">
        <v>321</v>
      </c>
      <c r="AG74" s="33" t="s">
        <v>88</v>
      </c>
    </row>
    <row r="75" spans="1:33" hidden="1" x14ac:dyDescent="0.35">
      <c r="B75" s="57">
        <f t="shared" si="7"/>
        <v>73</v>
      </c>
      <c r="C75" s="30">
        <v>20200304</v>
      </c>
      <c r="D75" s="30" t="s">
        <v>3</v>
      </c>
      <c r="E75" s="30" t="s">
        <v>249</v>
      </c>
      <c r="F75" s="33" t="s">
        <v>265</v>
      </c>
      <c r="G75" s="70">
        <v>1357257</v>
      </c>
      <c r="H75" s="70" t="s">
        <v>251</v>
      </c>
      <c r="I75" s="31" t="s">
        <v>218</v>
      </c>
      <c r="J75" s="30" t="s">
        <v>88</v>
      </c>
      <c r="K75" s="30" t="s">
        <v>264</v>
      </c>
      <c r="L75" s="33" t="str">
        <f t="shared" si="6"/>
        <v>-</v>
      </c>
      <c r="M75" s="33" t="s">
        <v>409</v>
      </c>
      <c r="N75" s="32"/>
      <c r="O75" s="30" t="s">
        <v>104</v>
      </c>
      <c r="P75" s="30"/>
      <c r="Q75" s="30"/>
      <c r="R75" s="30">
        <v>489</v>
      </c>
      <c r="S75" s="30">
        <f t="shared" si="8"/>
        <v>489</v>
      </c>
      <c r="T75" s="30">
        <f t="shared" si="8"/>
        <v>489</v>
      </c>
      <c r="U75" s="30">
        <f>ROUNDDOWN(S75/HLOOKUP(D75,Table!$C$3:$D$4,2,0)*8,2)</f>
        <v>8.69</v>
      </c>
      <c r="V75" s="30">
        <v>8</v>
      </c>
      <c r="W75" s="48" t="s">
        <v>21</v>
      </c>
      <c r="X75" s="34"/>
      <c r="Y75" s="34">
        <v>43902</v>
      </c>
      <c r="Z75" s="34">
        <v>43901</v>
      </c>
      <c r="AA75" s="34">
        <v>43901</v>
      </c>
      <c r="AB75" s="37" t="s">
        <v>182</v>
      </c>
      <c r="AC75" s="30">
        <v>100</v>
      </c>
      <c r="AD75" s="30">
        <v>100</v>
      </c>
      <c r="AE75" s="30">
        <v>100</v>
      </c>
      <c r="AF75" s="30"/>
      <c r="AG75" s="33" t="s">
        <v>88</v>
      </c>
    </row>
    <row r="76" spans="1:33" x14ac:dyDescent="0.35">
      <c r="B76" s="57">
        <f t="shared" si="7"/>
        <v>74</v>
      </c>
      <c r="C76" s="30">
        <v>20200304</v>
      </c>
      <c r="D76" s="30" t="s">
        <v>3</v>
      </c>
      <c r="E76" s="30" t="s">
        <v>249</v>
      </c>
      <c r="F76" s="33" t="s">
        <v>265</v>
      </c>
      <c r="G76" s="70">
        <v>1357257</v>
      </c>
      <c r="H76" s="70" t="s">
        <v>252</v>
      </c>
      <c r="I76" s="31" t="s">
        <v>218</v>
      </c>
      <c r="J76" s="30" t="s">
        <v>88</v>
      </c>
      <c r="K76" s="30" t="s">
        <v>264</v>
      </c>
      <c r="L76" s="33" t="str">
        <f t="shared" si="6"/>
        <v>-</v>
      </c>
      <c r="M76" s="33" t="s">
        <v>409</v>
      </c>
      <c r="N76" s="32"/>
      <c r="O76" s="30" t="s">
        <v>103</v>
      </c>
      <c r="P76" s="30"/>
      <c r="Q76" s="30"/>
      <c r="R76" s="30">
        <v>593</v>
      </c>
      <c r="S76" s="31">
        <v>587</v>
      </c>
      <c r="T76" s="30">
        <v>587</v>
      </c>
      <c r="U76" s="30">
        <f>ROUNDDOWN(S76/HLOOKUP(D76,Table!$C$3:$D$4,2,0)*8,2)</f>
        <v>10.43</v>
      </c>
      <c r="V76" s="30">
        <v>10</v>
      </c>
      <c r="W76" s="30" t="s">
        <v>21</v>
      </c>
      <c r="X76" s="34"/>
      <c r="Y76" s="34">
        <v>43902</v>
      </c>
      <c r="Z76" s="34">
        <v>43901</v>
      </c>
      <c r="AA76" s="34">
        <v>43902</v>
      </c>
      <c r="AB76" s="37" t="s">
        <v>182</v>
      </c>
      <c r="AC76" s="30">
        <v>100</v>
      </c>
      <c r="AD76" s="30">
        <v>100</v>
      </c>
      <c r="AE76" s="30">
        <v>100</v>
      </c>
      <c r="AF76" s="30"/>
      <c r="AG76" s="33" t="s">
        <v>88</v>
      </c>
    </row>
    <row r="77" spans="1:33" hidden="1" x14ac:dyDescent="0.35">
      <c r="B77" s="57">
        <f t="shared" si="7"/>
        <v>75</v>
      </c>
      <c r="C77" s="30">
        <v>20200304</v>
      </c>
      <c r="D77" s="30" t="s">
        <v>3</v>
      </c>
      <c r="E77" s="30" t="s">
        <v>249</v>
      </c>
      <c r="F77" s="33" t="s">
        <v>266</v>
      </c>
      <c r="G77" s="30">
        <v>1357355</v>
      </c>
      <c r="H77" s="70" t="s">
        <v>253</v>
      </c>
      <c r="I77" s="31" t="s">
        <v>218</v>
      </c>
      <c r="J77" s="30" t="s">
        <v>88</v>
      </c>
      <c r="K77" s="30" t="s">
        <v>264</v>
      </c>
      <c r="L77" s="33" t="str">
        <f t="shared" si="6"/>
        <v>-</v>
      </c>
      <c r="M77" s="33" t="s">
        <v>410</v>
      </c>
      <c r="N77" s="32"/>
      <c r="O77" s="30" t="s">
        <v>101</v>
      </c>
      <c r="P77" s="30"/>
      <c r="Q77" s="30"/>
      <c r="R77" s="30">
        <v>165</v>
      </c>
      <c r="S77" s="30">
        <v>165</v>
      </c>
      <c r="T77" s="30">
        <v>165</v>
      </c>
      <c r="U77" s="30">
        <f>ROUNDDOWN(S77/HLOOKUP(D77,Table!$C$3:$D$4,2,0)*8,2)</f>
        <v>2.93</v>
      </c>
      <c r="V77" s="30">
        <v>3</v>
      </c>
      <c r="W77" s="30" t="s">
        <v>21</v>
      </c>
      <c r="X77" s="34"/>
      <c r="Y77" s="34">
        <v>43902</v>
      </c>
      <c r="Z77" s="34">
        <v>43901</v>
      </c>
      <c r="AA77" s="34">
        <v>43902</v>
      </c>
      <c r="AB77" s="37" t="s">
        <v>182</v>
      </c>
      <c r="AC77" s="30">
        <v>100</v>
      </c>
      <c r="AD77" s="30">
        <v>100</v>
      </c>
      <c r="AE77" s="30">
        <v>100</v>
      </c>
      <c r="AF77" s="30"/>
      <c r="AG77" s="33" t="s">
        <v>88</v>
      </c>
    </row>
    <row r="78" spans="1:33" hidden="1" x14ac:dyDescent="0.35">
      <c r="B78" s="57">
        <f t="shared" si="7"/>
        <v>76</v>
      </c>
      <c r="C78" s="30">
        <v>20200304</v>
      </c>
      <c r="D78" s="30" t="s">
        <v>3</v>
      </c>
      <c r="E78" s="30" t="s">
        <v>249</v>
      </c>
      <c r="F78" s="33" t="s">
        <v>267</v>
      </c>
      <c r="G78" s="30">
        <v>1357355</v>
      </c>
      <c r="H78" s="70" t="s">
        <v>254</v>
      </c>
      <c r="I78" s="31" t="s">
        <v>218</v>
      </c>
      <c r="J78" s="30" t="s">
        <v>88</v>
      </c>
      <c r="K78" s="30" t="s">
        <v>264</v>
      </c>
      <c r="L78" s="33" t="str">
        <f t="shared" si="6"/>
        <v>-</v>
      </c>
      <c r="M78" s="33" t="s">
        <v>410</v>
      </c>
      <c r="N78" s="32"/>
      <c r="O78" s="48" t="s">
        <v>104</v>
      </c>
      <c r="P78" s="30"/>
      <c r="Q78" s="30"/>
      <c r="R78" s="30">
        <v>8</v>
      </c>
      <c r="S78" s="30">
        <f t="shared" ref="S78:T84" si="9">R78</f>
        <v>8</v>
      </c>
      <c r="T78" s="30">
        <f t="shared" si="9"/>
        <v>8</v>
      </c>
      <c r="U78" s="30">
        <f>ROUNDDOWN(S78/HLOOKUP(D78,Table!$C$3:$D$4,2,0)*8,2)</f>
        <v>0.14000000000000001</v>
      </c>
      <c r="V78" s="30">
        <v>0.2</v>
      </c>
      <c r="W78" s="30" t="s">
        <v>21</v>
      </c>
      <c r="X78" s="34"/>
      <c r="Y78" s="34">
        <v>43902</v>
      </c>
      <c r="Z78" s="34">
        <v>43901</v>
      </c>
      <c r="AA78" s="34">
        <v>43901</v>
      </c>
      <c r="AB78" s="37" t="s">
        <v>182</v>
      </c>
      <c r="AC78" s="30">
        <v>100</v>
      </c>
      <c r="AD78" s="30">
        <v>100</v>
      </c>
      <c r="AE78" s="30">
        <v>100</v>
      </c>
      <c r="AF78" s="30"/>
      <c r="AG78" s="33" t="s">
        <v>88</v>
      </c>
    </row>
    <row r="79" spans="1:33" hidden="1" x14ac:dyDescent="0.35">
      <c r="B79" s="57">
        <f t="shared" si="7"/>
        <v>77</v>
      </c>
      <c r="C79" s="30">
        <v>20200304</v>
      </c>
      <c r="D79" s="30" t="s">
        <v>3</v>
      </c>
      <c r="E79" s="30" t="s">
        <v>249</v>
      </c>
      <c r="F79" s="33" t="s">
        <v>268</v>
      </c>
      <c r="G79" s="30">
        <v>1357355</v>
      </c>
      <c r="H79" s="70" t="s">
        <v>255</v>
      </c>
      <c r="I79" s="31" t="s">
        <v>218</v>
      </c>
      <c r="J79" s="30" t="s">
        <v>88</v>
      </c>
      <c r="K79" s="30" t="s">
        <v>264</v>
      </c>
      <c r="L79" s="33" t="str">
        <f t="shared" si="6"/>
        <v>-</v>
      </c>
      <c r="M79" s="33" t="s">
        <v>410</v>
      </c>
      <c r="N79" s="32"/>
      <c r="O79" s="30" t="s">
        <v>104</v>
      </c>
      <c r="P79" s="30"/>
      <c r="Q79" s="30"/>
      <c r="R79" s="30">
        <v>71</v>
      </c>
      <c r="S79" s="30">
        <f t="shared" si="9"/>
        <v>71</v>
      </c>
      <c r="T79" s="30">
        <f t="shared" si="9"/>
        <v>71</v>
      </c>
      <c r="U79" s="30">
        <f>ROUNDDOWN(S79/HLOOKUP(D79,Table!$C$3:$D$4,2,0)*8,2)</f>
        <v>1.26</v>
      </c>
      <c r="V79" s="30">
        <v>1</v>
      </c>
      <c r="W79" s="30" t="s">
        <v>21</v>
      </c>
      <c r="X79" s="34"/>
      <c r="Y79" s="34">
        <v>43902</v>
      </c>
      <c r="Z79" s="34">
        <v>43901</v>
      </c>
      <c r="AA79" s="34">
        <v>43901</v>
      </c>
      <c r="AB79" s="37" t="s">
        <v>182</v>
      </c>
      <c r="AC79" s="30">
        <v>100</v>
      </c>
      <c r="AD79" s="30">
        <v>100</v>
      </c>
      <c r="AE79" s="30">
        <v>100</v>
      </c>
      <c r="AF79" s="30"/>
      <c r="AG79" s="33" t="s">
        <v>88</v>
      </c>
    </row>
    <row r="80" spans="1:33" hidden="1" x14ac:dyDescent="0.35">
      <c r="B80" s="57">
        <f t="shared" si="7"/>
        <v>78</v>
      </c>
      <c r="C80" s="30">
        <v>20200304</v>
      </c>
      <c r="D80" s="30" t="s">
        <v>3</v>
      </c>
      <c r="E80" s="30" t="s">
        <v>249</v>
      </c>
      <c r="F80" s="33" t="s">
        <v>268</v>
      </c>
      <c r="G80" s="30">
        <v>1357355</v>
      </c>
      <c r="H80" s="70" t="s">
        <v>244</v>
      </c>
      <c r="I80" s="31" t="s">
        <v>218</v>
      </c>
      <c r="J80" s="30" t="s">
        <v>88</v>
      </c>
      <c r="K80" s="30" t="s">
        <v>264</v>
      </c>
      <c r="L80" s="33" t="str">
        <f t="shared" si="6"/>
        <v>-</v>
      </c>
      <c r="M80" s="33" t="s">
        <v>410</v>
      </c>
      <c r="N80" s="32"/>
      <c r="O80" s="48" t="s">
        <v>104</v>
      </c>
      <c r="P80" s="30"/>
      <c r="Q80" s="30"/>
      <c r="R80" s="30">
        <v>55</v>
      </c>
      <c r="S80" s="30">
        <f t="shared" si="9"/>
        <v>55</v>
      </c>
      <c r="T80" s="30">
        <f t="shared" si="9"/>
        <v>55</v>
      </c>
      <c r="U80" s="30">
        <f>ROUNDDOWN(S80/HLOOKUP(D80,Table!$C$3:$D$4,2,0)*8,2)</f>
        <v>0.97</v>
      </c>
      <c r="V80" s="30">
        <v>0.5</v>
      </c>
      <c r="W80" s="30" t="s">
        <v>21</v>
      </c>
      <c r="X80" s="34"/>
      <c r="Y80" s="34">
        <v>43902</v>
      </c>
      <c r="Z80" s="34">
        <v>43901</v>
      </c>
      <c r="AA80" s="34">
        <v>43901</v>
      </c>
      <c r="AB80" s="37" t="s">
        <v>182</v>
      </c>
      <c r="AC80" s="30">
        <v>100</v>
      </c>
      <c r="AD80" s="30">
        <v>100</v>
      </c>
      <c r="AE80" s="30">
        <v>100</v>
      </c>
      <c r="AF80" s="30"/>
      <c r="AG80" s="33" t="s">
        <v>88</v>
      </c>
    </row>
    <row r="81" spans="1:33" hidden="1" x14ac:dyDescent="0.35">
      <c r="B81" s="57">
        <f t="shared" si="7"/>
        <v>79</v>
      </c>
      <c r="C81" s="30">
        <v>20200304</v>
      </c>
      <c r="D81" s="30" t="s">
        <v>3</v>
      </c>
      <c r="E81" s="30" t="s">
        <v>249</v>
      </c>
      <c r="F81" s="33" t="s">
        <v>268</v>
      </c>
      <c r="G81" s="30">
        <v>1357355</v>
      </c>
      <c r="H81" s="70" t="s">
        <v>256</v>
      </c>
      <c r="I81" s="31" t="s">
        <v>218</v>
      </c>
      <c r="J81" s="30" t="s">
        <v>88</v>
      </c>
      <c r="K81" s="30" t="s">
        <v>264</v>
      </c>
      <c r="L81" s="33" t="str">
        <f t="shared" si="6"/>
        <v>-</v>
      </c>
      <c r="M81" s="33" t="s">
        <v>410</v>
      </c>
      <c r="N81" s="32"/>
      <c r="O81" s="48" t="s">
        <v>104</v>
      </c>
      <c r="P81" s="30"/>
      <c r="Q81" s="30"/>
      <c r="R81" s="30">
        <v>64</v>
      </c>
      <c r="S81" s="30">
        <f t="shared" si="9"/>
        <v>64</v>
      </c>
      <c r="T81" s="30">
        <f t="shared" si="9"/>
        <v>64</v>
      </c>
      <c r="U81" s="30">
        <f>ROUNDDOWN(S81/HLOOKUP(D81,Table!$C$3:$D$4,2,0)*8,2)</f>
        <v>1.1299999999999999</v>
      </c>
      <c r="V81" s="30">
        <v>0.5</v>
      </c>
      <c r="W81" s="30" t="s">
        <v>21</v>
      </c>
      <c r="X81" s="34"/>
      <c r="Y81" s="34">
        <v>43902</v>
      </c>
      <c r="Z81" s="34">
        <v>43901</v>
      </c>
      <c r="AA81" s="34">
        <v>43901</v>
      </c>
      <c r="AB81" s="37" t="s">
        <v>182</v>
      </c>
      <c r="AC81" s="30">
        <v>100</v>
      </c>
      <c r="AD81" s="30">
        <v>100</v>
      </c>
      <c r="AE81" s="30">
        <v>100</v>
      </c>
      <c r="AF81" s="30"/>
      <c r="AG81" s="33" t="s">
        <v>88</v>
      </c>
    </row>
    <row r="82" spans="1:33" hidden="1" x14ac:dyDescent="0.35">
      <c r="B82" s="57">
        <f t="shared" si="7"/>
        <v>80</v>
      </c>
      <c r="C82" s="30">
        <v>20200304</v>
      </c>
      <c r="D82" s="30" t="s">
        <v>3</v>
      </c>
      <c r="E82" s="30" t="s">
        <v>249</v>
      </c>
      <c r="F82" s="33" t="s">
        <v>268</v>
      </c>
      <c r="G82" s="30">
        <v>1357355</v>
      </c>
      <c r="H82" s="70" t="s">
        <v>257</v>
      </c>
      <c r="I82" s="31" t="s">
        <v>218</v>
      </c>
      <c r="J82" s="30" t="s">
        <v>88</v>
      </c>
      <c r="K82" s="30" t="s">
        <v>264</v>
      </c>
      <c r="L82" s="33" t="str">
        <f t="shared" si="6"/>
        <v>-</v>
      </c>
      <c r="M82" s="33" t="s">
        <v>410</v>
      </c>
      <c r="N82" s="32"/>
      <c r="O82" s="30" t="s">
        <v>104</v>
      </c>
      <c r="P82" s="30"/>
      <c r="Q82" s="30"/>
      <c r="R82" s="30">
        <v>69</v>
      </c>
      <c r="S82" s="30">
        <f t="shared" si="9"/>
        <v>69</v>
      </c>
      <c r="T82" s="30">
        <f t="shared" si="9"/>
        <v>69</v>
      </c>
      <c r="U82" s="30">
        <f>ROUNDDOWN(S82/HLOOKUP(D82,Table!$C$3:$D$4,2,0)*8,2)</f>
        <v>1.22</v>
      </c>
      <c r="V82" s="30">
        <v>1.2</v>
      </c>
      <c r="W82" s="30" t="s">
        <v>21</v>
      </c>
      <c r="X82" s="34"/>
      <c r="Y82" s="34">
        <v>43902</v>
      </c>
      <c r="Z82" s="34">
        <v>43901</v>
      </c>
      <c r="AA82" s="34">
        <v>43901</v>
      </c>
      <c r="AB82" s="37" t="s">
        <v>182</v>
      </c>
      <c r="AC82" s="30">
        <v>100</v>
      </c>
      <c r="AD82" s="30">
        <v>100</v>
      </c>
      <c r="AE82" s="30">
        <v>100</v>
      </c>
      <c r="AF82" s="30"/>
      <c r="AG82" s="33" t="s">
        <v>88</v>
      </c>
    </row>
    <row r="83" spans="1:33" hidden="1" x14ac:dyDescent="0.35">
      <c r="B83" s="57">
        <f t="shared" si="7"/>
        <v>81</v>
      </c>
      <c r="C83" s="30">
        <v>20200304</v>
      </c>
      <c r="D83" s="30" t="s">
        <v>3</v>
      </c>
      <c r="E83" s="30" t="s">
        <v>249</v>
      </c>
      <c r="F83" s="33" t="s">
        <v>269</v>
      </c>
      <c r="G83" s="30">
        <v>1357355</v>
      </c>
      <c r="H83" s="71" t="s">
        <v>258</v>
      </c>
      <c r="I83" s="31" t="s">
        <v>218</v>
      </c>
      <c r="J83" s="30" t="s">
        <v>88</v>
      </c>
      <c r="K83" s="30" t="s">
        <v>264</v>
      </c>
      <c r="L83" s="33" t="str">
        <f t="shared" si="6"/>
        <v>-</v>
      </c>
      <c r="M83" s="33" t="s">
        <v>410</v>
      </c>
      <c r="N83" s="32"/>
      <c r="O83" s="30" t="s">
        <v>104</v>
      </c>
      <c r="P83" s="30"/>
      <c r="Q83" s="30"/>
      <c r="R83" s="30">
        <v>5</v>
      </c>
      <c r="S83" s="30">
        <f t="shared" si="9"/>
        <v>5</v>
      </c>
      <c r="T83" s="30">
        <f t="shared" si="9"/>
        <v>5</v>
      </c>
      <c r="U83" s="30">
        <f>ROUNDDOWN(S83/HLOOKUP(D83,Table!$C$3:$D$4,2,0)*8,2)</f>
        <v>0.08</v>
      </c>
      <c r="V83" s="30">
        <v>0.1</v>
      </c>
      <c r="W83" s="48" t="s">
        <v>21</v>
      </c>
      <c r="X83" s="34"/>
      <c r="Y83" s="34">
        <v>43902</v>
      </c>
      <c r="Z83" s="34">
        <v>43901</v>
      </c>
      <c r="AA83" s="34">
        <v>43901</v>
      </c>
      <c r="AB83" s="37"/>
      <c r="AC83" s="30" t="s">
        <v>88</v>
      </c>
      <c r="AD83" s="30" t="s">
        <v>88</v>
      </c>
      <c r="AE83" s="30" t="s">
        <v>88</v>
      </c>
      <c r="AF83" s="30" t="s">
        <v>322</v>
      </c>
      <c r="AG83" s="33" t="s">
        <v>88</v>
      </c>
    </row>
    <row r="84" spans="1:33" hidden="1" x14ac:dyDescent="0.35">
      <c r="B84" s="57">
        <f t="shared" si="7"/>
        <v>82</v>
      </c>
      <c r="C84" s="30">
        <v>20200304</v>
      </c>
      <c r="D84" s="30" t="s">
        <v>3</v>
      </c>
      <c r="E84" s="30" t="s">
        <v>249</v>
      </c>
      <c r="F84" s="33" t="s">
        <v>270</v>
      </c>
      <c r="G84" s="30">
        <v>1357355</v>
      </c>
      <c r="H84" s="70" t="s">
        <v>259</v>
      </c>
      <c r="I84" s="31" t="s">
        <v>218</v>
      </c>
      <c r="J84" s="30" t="s">
        <v>88</v>
      </c>
      <c r="K84" s="30" t="s">
        <v>264</v>
      </c>
      <c r="L84" s="33" t="str">
        <f t="shared" si="6"/>
        <v>-</v>
      </c>
      <c r="M84" s="33" t="s">
        <v>410</v>
      </c>
      <c r="N84" s="32"/>
      <c r="O84" s="30" t="s">
        <v>104</v>
      </c>
      <c r="P84" s="30"/>
      <c r="Q84" s="30"/>
      <c r="R84" s="30">
        <v>3</v>
      </c>
      <c r="S84" s="30">
        <f t="shared" si="9"/>
        <v>3</v>
      </c>
      <c r="T84" s="30">
        <f t="shared" si="9"/>
        <v>3</v>
      </c>
      <c r="U84" s="30">
        <f>ROUNDDOWN(S84/HLOOKUP(D84,Table!$C$3:$D$4,2,0)*8,2)</f>
        <v>0.05</v>
      </c>
      <c r="V84" s="30">
        <v>0.2</v>
      </c>
      <c r="W84" s="30" t="s">
        <v>21</v>
      </c>
      <c r="X84" s="34"/>
      <c r="Y84" s="34">
        <v>43902</v>
      </c>
      <c r="Z84" s="34">
        <v>43901</v>
      </c>
      <c r="AA84" s="34">
        <v>43901</v>
      </c>
      <c r="AB84" s="37" t="s">
        <v>182</v>
      </c>
      <c r="AC84" s="30">
        <v>100</v>
      </c>
      <c r="AD84" s="30">
        <v>100</v>
      </c>
      <c r="AE84" s="30">
        <v>100</v>
      </c>
      <c r="AF84" s="30"/>
      <c r="AG84" s="33" t="s">
        <v>88</v>
      </c>
    </row>
    <row r="85" spans="1:33" hidden="1" x14ac:dyDescent="0.35">
      <c r="B85" s="57">
        <f t="shared" si="7"/>
        <v>83</v>
      </c>
      <c r="C85" s="30">
        <v>20200304</v>
      </c>
      <c r="D85" s="30" t="s">
        <v>3</v>
      </c>
      <c r="E85" s="30" t="s">
        <v>249</v>
      </c>
      <c r="F85" s="53" t="s">
        <v>271</v>
      </c>
      <c r="G85" s="30">
        <v>1357355</v>
      </c>
      <c r="H85" s="32" t="s">
        <v>260</v>
      </c>
      <c r="I85" s="31" t="s">
        <v>218</v>
      </c>
      <c r="J85" s="30" t="s">
        <v>88</v>
      </c>
      <c r="K85" s="30" t="s">
        <v>264</v>
      </c>
      <c r="L85" s="33" t="str">
        <f t="shared" si="6"/>
        <v>-</v>
      </c>
      <c r="M85" s="33" t="s">
        <v>410</v>
      </c>
      <c r="N85" s="32"/>
      <c r="O85" s="30" t="s">
        <v>101</v>
      </c>
      <c r="P85" s="30"/>
      <c r="Q85" s="30"/>
      <c r="R85" s="30">
        <v>220</v>
      </c>
      <c r="S85" s="30">
        <v>220</v>
      </c>
      <c r="T85" s="30">
        <v>220</v>
      </c>
      <c r="U85" s="30">
        <f>ROUNDDOWN(S85/HLOOKUP(D85,Table!$C$3:$D$4,2,0)*8,2)</f>
        <v>3.91</v>
      </c>
      <c r="V85" s="30">
        <v>4</v>
      </c>
      <c r="W85" s="30" t="s">
        <v>21</v>
      </c>
      <c r="X85" s="34"/>
      <c r="Y85" s="34">
        <v>43902</v>
      </c>
      <c r="Z85" s="34">
        <v>43902</v>
      </c>
      <c r="AA85" s="34">
        <v>43902</v>
      </c>
      <c r="AB85" s="37" t="s">
        <v>182</v>
      </c>
      <c r="AC85" s="30">
        <v>100</v>
      </c>
      <c r="AD85" s="30">
        <v>100</v>
      </c>
      <c r="AE85" s="30">
        <v>100</v>
      </c>
      <c r="AF85" s="30"/>
      <c r="AG85" s="33" t="s">
        <v>88</v>
      </c>
    </row>
    <row r="86" spans="1:33" hidden="1" x14ac:dyDescent="0.35">
      <c r="B86" s="57">
        <f t="shared" si="7"/>
        <v>84</v>
      </c>
      <c r="C86" s="30">
        <v>20200304</v>
      </c>
      <c r="D86" s="30" t="s">
        <v>3</v>
      </c>
      <c r="E86" s="30" t="s">
        <v>249</v>
      </c>
      <c r="F86" s="53" t="s">
        <v>272</v>
      </c>
      <c r="G86" s="30">
        <v>1357355</v>
      </c>
      <c r="H86" s="32" t="s">
        <v>261</v>
      </c>
      <c r="I86" s="31" t="s">
        <v>218</v>
      </c>
      <c r="J86" s="30" t="s">
        <v>88</v>
      </c>
      <c r="K86" s="30" t="s">
        <v>264</v>
      </c>
      <c r="L86" s="33" t="str">
        <f t="shared" si="6"/>
        <v>-</v>
      </c>
      <c r="M86" s="33" t="s">
        <v>410</v>
      </c>
      <c r="N86" s="32"/>
      <c r="O86" s="30" t="s">
        <v>101</v>
      </c>
      <c r="P86" s="30"/>
      <c r="Q86" s="30"/>
      <c r="R86" s="30">
        <v>4</v>
      </c>
      <c r="S86" s="30">
        <v>4</v>
      </c>
      <c r="T86" s="30">
        <v>4</v>
      </c>
      <c r="U86" s="30">
        <f>ROUNDDOWN(S86/HLOOKUP(D86,Table!$C$3:$D$4,2,0)*8,2)</f>
        <v>7.0000000000000007E-2</v>
      </c>
      <c r="V86" s="30">
        <v>0.5</v>
      </c>
      <c r="W86" s="30" t="s">
        <v>21</v>
      </c>
      <c r="X86" s="34"/>
      <c r="Y86" s="34">
        <v>43902</v>
      </c>
      <c r="Z86" s="34">
        <v>43902</v>
      </c>
      <c r="AA86" s="34">
        <v>43902</v>
      </c>
      <c r="AB86" s="37" t="s">
        <v>182</v>
      </c>
      <c r="AC86" s="30">
        <v>100</v>
      </c>
      <c r="AD86" s="30">
        <v>100</v>
      </c>
      <c r="AE86" s="30">
        <v>100</v>
      </c>
      <c r="AF86" s="30"/>
      <c r="AG86" s="33" t="s">
        <v>88</v>
      </c>
    </row>
    <row r="87" spans="1:33" hidden="1" x14ac:dyDescent="0.35">
      <c r="B87" s="57">
        <f t="shared" si="7"/>
        <v>85</v>
      </c>
      <c r="C87" s="30">
        <v>20200304</v>
      </c>
      <c r="D87" s="30" t="s">
        <v>3</v>
      </c>
      <c r="E87" s="30" t="s">
        <v>249</v>
      </c>
      <c r="F87" s="33" t="s">
        <v>273</v>
      </c>
      <c r="G87" s="30">
        <v>1357355</v>
      </c>
      <c r="H87" s="30" t="s">
        <v>262</v>
      </c>
      <c r="I87" s="31" t="s">
        <v>218</v>
      </c>
      <c r="J87" s="30" t="s">
        <v>88</v>
      </c>
      <c r="K87" s="30" t="s">
        <v>264</v>
      </c>
      <c r="L87" s="33" t="str">
        <f t="shared" si="6"/>
        <v>-</v>
      </c>
      <c r="M87" s="33" t="s">
        <v>410</v>
      </c>
      <c r="N87" s="32"/>
      <c r="O87" s="30" t="s">
        <v>101</v>
      </c>
      <c r="P87" s="30"/>
      <c r="Q87" s="30"/>
      <c r="R87" s="30">
        <v>12</v>
      </c>
      <c r="S87" s="30">
        <v>12</v>
      </c>
      <c r="T87" s="30">
        <v>12</v>
      </c>
      <c r="U87" s="30">
        <f>ROUNDDOWN(S87/HLOOKUP(D87,Table!$C$3:$D$4,2,0)*8,2)</f>
        <v>0.21</v>
      </c>
      <c r="V87" s="30">
        <v>0</v>
      </c>
      <c r="W87" s="30" t="s">
        <v>406</v>
      </c>
      <c r="X87" s="34"/>
      <c r="Y87" s="34">
        <v>43902</v>
      </c>
      <c r="Z87" s="34">
        <v>43902</v>
      </c>
      <c r="AA87" s="34">
        <v>43902</v>
      </c>
      <c r="AB87" s="37"/>
      <c r="AC87" s="30" t="s">
        <v>88</v>
      </c>
      <c r="AD87" s="30" t="s">
        <v>88</v>
      </c>
      <c r="AE87" s="30" t="s">
        <v>88</v>
      </c>
      <c r="AF87" s="30" t="s">
        <v>323</v>
      </c>
      <c r="AG87" s="33" t="s">
        <v>88</v>
      </c>
    </row>
    <row r="88" spans="1:33" hidden="1" x14ac:dyDescent="0.35">
      <c r="B88" s="57">
        <f t="shared" si="7"/>
        <v>86</v>
      </c>
      <c r="C88" s="30">
        <v>20200304</v>
      </c>
      <c r="D88" s="30" t="s">
        <v>3</v>
      </c>
      <c r="E88" s="30" t="s">
        <v>249</v>
      </c>
      <c r="F88" s="33" t="s">
        <v>273</v>
      </c>
      <c r="G88" s="30">
        <v>1357355</v>
      </c>
      <c r="H88" s="32" t="s">
        <v>263</v>
      </c>
      <c r="I88" s="31" t="s">
        <v>218</v>
      </c>
      <c r="J88" s="30" t="s">
        <v>88</v>
      </c>
      <c r="K88" s="30" t="s">
        <v>264</v>
      </c>
      <c r="L88" s="33" t="str">
        <f t="shared" si="6"/>
        <v>-</v>
      </c>
      <c r="M88" s="33" t="s">
        <v>410</v>
      </c>
      <c r="N88" s="32"/>
      <c r="O88" s="30" t="s">
        <v>101</v>
      </c>
      <c r="P88" s="30"/>
      <c r="Q88" s="30"/>
      <c r="R88" s="30">
        <v>37</v>
      </c>
      <c r="S88" s="30">
        <v>37</v>
      </c>
      <c r="T88" s="30">
        <v>37</v>
      </c>
      <c r="U88" s="30">
        <f>ROUNDDOWN(S88/HLOOKUP(D88,Table!$C$3:$D$4,2,0)*8,2)</f>
        <v>0.65</v>
      </c>
      <c r="V88" s="30">
        <v>1</v>
      </c>
      <c r="W88" s="30" t="s">
        <v>21</v>
      </c>
      <c r="X88" s="34"/>
      <c r="Y88" s="34">
        <v>43902</v>
      </c>
      <c r="Z88" s="34">
        <v>43902</v>
      </c>
      <c r="AA88" s="34">
        <v>43902</v>
      </c>
      <c r="AB88" s="37" t="s">
        <v>182</v>
      </c>
      <c r="AC88" s="30">
        <v>100</v>
      </c>
      <c r="AD88" s="30">
        <v>100</v>
      </c>
      <c r="AE88" s="30">
        <v>100</v>
      </c>
      <c r="AF88" s="30"/>
      <c r="AG88" s="33" t="s">
        <v>88</v>
      </c>
    </row>
    <row r="89" spans="1:33" hidden="1" x14ac:dyDescent="0.35">
      <c r="B89" s="58">
        <f t="shared" si="7"/>
        <v>87</v>
      </c>
      <c r="C89" s="30">
        <v>20200309</v>
      </c>
      <c r="D89" s="30" t="s">
        <v>3</v>
      </c>
      <c r="E89" s="30" t="s">
        <v>274</v>
      </c>
      <c r="F89" s="33" t="s">
        <v>279</v>
      </c>
      <c r="G89" s="71">
        <v>1364387</v>
      </c>
      <c r="H89" s="30" t="s">
        <v>291</v>
      </c>
      <c r="I89" s="56" t="s">
        <v>217</v>
      </c>
      <c r="J89" s="30">
        <v>99478</v>
      </c>
      <c r="K89" s="30" t="s">
        <v>311</v>
      </c>
      <c r="L89" s="33" t="str">
        <f t="shared" si="6"/>
        <v>-</v>
      </c>
      <c r="M89" s="33" t="s">
        <v>403</v>
      </c>
      <c r="N89" s="32"/>
      <c r="O89" s="48" t="s">
        <v>104</v>
      </c>
      <c r="P89" s="30"/>
      <c r="Q89" s="30"/>
      <c r="R89" s="66">
        <v>67</v>
      </c>
      <c r="S89" s="71">
        <v>67</v>
      </c>
      <c r="T89" s="135">
        <v>67</v>
      </c>
      <c r="U89" s="30">
        <f>ROUNDDOWN(S89/HLOOKUP(D89,Table!$C$3:$D$4,2,0)*8,2)</f>
        <v>1.19</v>
      </c>
      <c r="V89" s="30">
        <v>1.1499999999999999</v>
      </c>
      <c r="W89" s="30" t="s">
        <v>21</v>
      </c>
      <c r="X89" s="34"/>
      <c r="Y89" s="34"/>
      <c r="Z89" s="34">
        <v>43906</v>
      </c>
      <c r="AA89" s="34">
        <v>43906</v>
      </c>
      <c r="AB89" s="37" t="s">
        <v>182</v>
      </c>
      <c r="AC89" s="30">
        <v>100</v>
      </c>
      <c r="AD89" s="30">
        <v>100</v>
      </c>
      <c r="AE89" s="30">
        <v>100</v>
      </c>
      <c r="AF89" s="30"/>
      <c r="AG89" s="33" t="s">
        <v>88</v>
      </c>
    </row>
    <row r="90" spans="1:33" x14ac:dyDescent="0.35">
      <c r="B90" s="58">
        <f t="shared" si="7"/>
        <v>88</v>
      </c>
      <c r="C90" s="30">
        <v>20200309</v>
      </c>
      <c r="D90" s="30" t="s">
        <v>3</v>
      </c>
      <c r="E90" s="30" t="s">
        <v>275</v>
      </c>
      <c r="F90" s="33" t="s">
        <v>280</v>
      </c>
      <c r="G90" s="71">
        <v>1362438</v>
      </c>
      <c r="H90" s="30" t="s">
        <v>292</v>
      </c>
      <c r="I90" s="56" t="s">
        <v>217</v>
      </c>
      <c r="J90" s="30" t="s">
        <v>304</v>
      </c>
      <c r="K90" s="30" t="s">
        <v>275</v>
      </c>
      <c r="L90" s="33" t="str">
        <f t="shared" si="6"/>
        <v>-</v>
      </c>
      <c r="M90" s="33" t="s">
        <v>403</v>
      </c>
      <c r="N90" s="32"/>
      <c r="O90" s="48" t="s">
        <v>103</v>
      </c>
      <c r="P90" s="30"/>
      <c r="Q90" s="30"/>
      <c r="R90" s="66">
        <v>130</v>
      </c>
      <c r="S90" s="31">
        <v>288</v>
      </c>
      <c r="T90" s="30"/>
      <c r="U90" s="30">
        <f>ROUNDDOWN(S90/HLOOKUP(D90,Table!$C$3:$D$4,2,0)*8,2)</f>
        <v>5.12</v>
      </c>
      <c r="V90" s="30">
        <v>5</v>
      </c>
      <c r="W90" s="30"/>
      <c r="X90" s="34"/>
      <c r="Y90" s="34"/>
      <c r="Z90" s="34">
        <v>43902</v>
      </c>
      <c r="AA90" s="34">
        <v>43902</v>
      </c>
      <c r="AB90" s="37" t="s">
        <v>182</v>
      </c>
      <c r="AC90" s="30">
        <v>100</v>
      </c>
      <c r="AD90" s="30">
        <v>100</v>
      </c>
      <c r="AE90" s="30">
        <v>100</v>
      </c>
      <c r="AF90" s="30"/>
      <c r="AG90" s="33" t="s">
        <v>88</v>
      </c>
    </row>
    <row r="91" spans="1:33" hidden="1" x14ac:dyDescent="0.35">
      <c r="B91" s="58">
        <f t="shared" si="7"/>
        <v>89</v>
      </c>
      <c r="C91" s="30">
        <v>20200309</v>
      </c>
      <c r="D91" s="30" t="s">
        <v>3</v>
      </c>
      <c r="E91" s="30" t="s">
        <v>276</v>
      </c>
      <c r="F91" s="33" t="s">
        <v>287</v>
      </c>
      <c r="G91" s="70">
        <v>1362431</v>
      </c>
      <c r="H91" s="30" t="s">
        <v>293</v>
      </c>
      <c r="I91" s="56" t="s">
        <v>217</v>
      </c>
      <c r="J91" s="32" t="s">
        <v>305</v>
      </c>
      <c r="K91" s="30" t="s">
        <v>312</v>
      </c>
      <c r="L91" s="33" t="str">
        <f t="shared" ref="L91:L122" si="10">IF(D91="ASW","PUT_VERSION","-")</f>
        <v>-</v>
      </c>
      <c r="M91" s="33" t="s">
        <v>411</v>
      </c>
      <c r="N91" s="32"/>
      <c r="O91" s="48" t="s">
        <v>102</v>
      </c>
      <c r="P91" s="30"/>
      <c r="Q91" s="30"/>
      <c r="R91" s="66">
        <v>1703</v>
      </c>
      <c r="S91" s="30">
        <v>1703</v>
      </c>
      <c r="T91" s="30">
        <v>1703</v>
      </c>
      <c r="U91" s="30">
        <f>ROUNDDOWN(S91/HLOOKUP(D91,Table!$C$3:$D$4,2,0)*8,2)</f>
        <v>30.27</v>
      </c>
      <c r="V91" s="30">
        <v>8</v>
      </c>
      <c r="W91" s="30" t="s">
        <v>21</v>
      </c>
      <c r="X91" s="34"/>
      <c r="Y91" s="34"/>
      <c r="Z91" s="34">
        <v>43901</v>
      </c>
      <c r="AA91" s="34">
        <v>43901</v>
      </c>
      <c r="AB91" s="37" t="s">
        <v>182</v>
      </c>
      <c r="AC91" s="30">
        <v>100</v>
      </c>
      <c r="AD91" s="30">
        <v>100</v>
      </c>
      <c r="AE91" s="30">
        <v>100</v>
      </c>
      <c r="AF91" s="30"/>
      <c r="AG91" s="33" t="s">
        <v>88</v>
      </c>
    </row>
    <row r="92" spans="1:33" x14ac:dyDescent="0.35">
      <c r="B92" s="58">
        <f t="shared" si="7"/>
        <v>90</v>
      </c>
      <c r="C92" s="30">
        <v>20200309</v>
      </c>
      <c r="D92" s="30" t="s">
        <v>3</v>
      </c>
      <c r="E92" s="30" t="s">
        <v>276</v>
      </c>
      <c r="F92" s="33" t="s">
        <v>288</v>
      </c>
      <c r="G92" s="70">
        <v>1362431</v>
      </c>
      <c r="H92" s="30" t="s">
        <v>141</v>
      </c>
      <c r="I92" s="56" t="s">
        <v>217</v>
      </c>
      <c r="J92" s="30" t="s">
        <v>306</v>
      </c>
      <c r="K92" s="30" t="s">
        <v>312</v>
      </c>
      <c r="L92" s="33" t="str">
        <f t="shared" si="10"/>
        <v>-</v>
      </c>
      <c r="M92" s="33" t="s">
        <v>411</v>
      </c>
      <c r="N92" s="32"/>
      <c r="O92" s="48" t="s">
        <v>103</v>
      </c>
      <c r="P92" s="30"/>
      <c r="Q92" s="30"/>
      <c r="R92" s="66">
        <v>144</v>
      </c>
      <c r="S92" s="31">
        <v>165</v>
      </c>
      <c r="T92" s="30">
        <v>165</v>
      </c>
      <c r="U92" s="30">
        <f>ROUNDDOWN(S92/HLOOKUP(D92,Table!$C$3:$D$4,2,0)*8,2)</f>
        <v>2.93</v>
      </c>
      <c r="V92" s="30">
        <v>2.5</v>
      </c>
      <c r="W92" s="30" t="s">
        <v>21</v>
      </c>
      <c r="X92" s="34"/>
      <c r="Y92" s="34"/>
      <c r="Z92" s="34">
        <v>43902</v>
      </c>
      <c r="AA92" s="34">
        <v>43902</v>
      </c>
      <c r="AB92" s="37" t="s">
        <v>182</v>
      </c>
      <c r="AC92" s="30">
        <v>100</v>
      </c>
      <c r="AD92" s="30">
        <v>100</v>
      </c>
      <c r="AE92" s="30">
        <v>100</v>
      </c>
      <c r="AF92" s="30"/>
      <c r="AG92" s="33" t="s">
        <v>88</v>
      </c>
    </row>
    <row r="93" spans="1:33" hidden="1" x14ac:dyDescent="0.35">
      <c r="B93" s="58">
        <f t="shared" si="7"/>
        <v>91</v>
      </c>
      <c r="C93" s="30">
        <v>20200309</v>
      </c>
      <c r="D93" s="30" t="s">
        <v>3</v>
      </c>
      <c r="E93" s="30" t="s">
        <v>276</v>
      </c>
      <c r="F93" s="33" t="s">
        <v>289</v>
      </c>
      <c r="G93" s="70">
        <v>1362431</v>
      </c>
      <c r="H93" s="30" t="s">
        <v>294</v>
      </c>
      <c r="I93" s="56" t="s">
        <v>217</v>
      </c>
      <c r="J93" s="32" t="s">
        <v>307</v>
      </c>
      <c r="K93" s="30" t="s">
        <v>312</v>
      </c>
      <c r="L93" s="33" t="str">
        <f t="shared" si="10"/>
        <v>-</v>
      </c>
      <c r="M93" s="33" t="s">
        <v>411</v>
      </c>
      <c r="N93" s="32"/>
      <c r="O93" s="48" t="s">
        <v>102</v>
      </c>
      <c r="P93" s="30"/>
      <c r="Q93" s="30"/>
      <c r="R93" s="66">
        <v>111</v>
      </c>
      <c r="S93" s="30">
        <v>111</v>
      </c>
      <c r="T93" s="30">
        <v>111</v>
      </c>
      <c r="U93" s="30">
        <f>ROUNDDOWN(S93/HLOOKUP(D93,Table!$C$3:$D$4,2,0)*8,2)</f>
        <v>1.97</v>
      </c>
      <c r="V93" s="30">
        <v>1</v>
      </c>
      <c r="W93" s="30" t="s">
        <v>21</v>
      </c>
      <c r="X93" s="34"/>
      <c r="Y93" s="34"/>
      <c r="Z93" s="34">
        <v>43902</v>
      </c>
      <c r="AA93" s="34">
        <v>43902</v>
      </c>
      <c r="AB93" s="37" t="s">
        <v>182</v>
      </c>
      <c r="AC93" s="30">
        <v>100</v>
      </c>
      <c r="AD93" s="30">
        <v>100</v>
      </c>
      <c r="AE93" s="30">
        <v>100</v>
      </c>
      <c r="AF93" s="30"/>
      <c r="AG93" s="33" t="s">
        <v>88</v>
      </c>
    </row>
    <row r="94" spans="1:33" hidden="1" x14ac:dyDescent="0.35">
      <c r="B94" s="58">
        <f t="shared" si="7"/>
        <v>92</v>
      </c>
      <c r="C94" s="30">
        <v>20200309</v>
      </c>
      <c r="D94" s="30" t="s">
        <v>3</v>
      </c>
      <c r="E94" s="30" t="s">
        <v>276</v>
      </c>
      <c r="F94" s="33" t="s">
        <v>290</v>
      </c>
      <c r="G94" s="70">
        <v>1362431</v>
      </c>
      <c r="H94" s="30" t="s">
        <v>295</v>
      </c>
      <c r="I94" s="56" t="s">
        <v>217</v>
      </c>
      <c r="J94" s="30" t="s">
        <v>308</v>
      </c>
      <c r="K94" s="30" t="s">
        <v>312</v>
      </c>
      <c r="L94" s="33" t="str">
        <f t="shared" si="10"/>
        <v>-</v>
      </c>
      <c r="M94" s="33" t="s">
        <v>411</v>
      </c>
      <c r="N94" s="32"/>
      <c r="O94" s="48" t="s">
        <v>102</v>
      </c>
      <c r="P94" s="30"/>
      <c r="Q94" s="30"/>
      <c r="R94" s="66">
        <v>12</v>
      </c>
      <c r="S94" s="30">
        <v>12</v>
      </c>
      <c r="T94" s="30">
        <v>12</v>
      </c>
      <c r="U94" s="30">
        <f>ROUNDDOWN(S94/HLOOKUP(D94,Table!$C$3:$D$4,2,0)*8,2)</f>
        <v>0.21</v>
      </c>
      <c r="V94" s="30">
        <v>0.1</v>
      </c>
      <c r="W94" s="30" t="s">
        <v>21</v>
      </c>
      <c r="X94" s="34"/>
      <c r="Y94" s="34"/>
      <c r="Z94" s="34">
        <v>43902</v>
      </c>
      <c r="AA94" s="34">
        <v>43902</v>
      </c>
      <c r="AB94" s="37"/>
      <c r="AC94" s="30" t="s">
        <v>88</v>
      </c>
      <c r="AD94" s="30" t="s">
        <v>88</v>
      </c>
      <c r="AE94" s="30" t="s">
        <v>88</v>
      </c>
      <c r="AF94" s="30" t="s">
        <v>342</v>
      </c>
      <c r="AG94" s="33" t="s">
        <v>88</v>
      </c>
    </row>
    <row r="95" spans="1:33" x14ac:dyDescent="0.35">
      <c r="B95" s="58">
        <f t="shared" si="7"/>
        <v>93</v>
      </c>
      <c r="C95" s="30">
        <v>20200309</v>
      </c>
      <c r="D95" s="30" t="s">
        <v>3</v>
      </c>
      <c r="E95" s="30" t="s">
        <v>276</v>
      </c>
      <c r="F95" s="33" t="s">
        <v>289</v>
      </c>
      <c r="G95" s="70">
        <v>1362431</v>
      </c>
      <c r="H95" s="30" t="s">
        <v>296</v>
      </c>
      <c r="I95" s="56" t="s">
        <v>217</v>
      </c>
      <c r="J95" s="30" t="s">
        <v>309</v>
      </c>
      <c r="K95" s="30" t="s">
        <v>312</v>
      </c>
      <c r="L95" s="33" t="str">
        <f t="shared" si="10"/>
        <v>-</v>
      </c>
      <c r="M95" s="33" t="s">
        <v>411</v>
      </c>
      <c r="N95" s="32"/>
      <c r="O95" s="48" t="s">
        <v>103</v>
      </c>
      <c r="P95" s="30"/>
      <c r="Q95" s="30"/>
      <c r="R95" s="66">
        <v>191</v>
      </c>
      <c r="S95" s="30">
        <v>191</v>
      </c>
      <c r="T95" s="30">
        <v>191</v>
      </c>
      <c r="U95" s="30">
        <f>ROUNDDOWN(S95/HLOOKUP(D95,Table!$C$3:$D$4,2,0)*8,2)</f>
        <v>3.39</v>
      </c>
      <c r="V95" s="30">
        <v>3</v>
      </c>
      <c r="W95" s="30" t="s">
        <v>21</v>
      </c>
      <c r="X95" s="34"/>
      <c r="Y95" s="34"/>
      <c r="Z95" s="34">
        <v>43902</v>
      </c>
      <c r="AA95" s="34">
        <v>43902</v>
      </c>
      <c r="AB95" s="37"/>
      <c r="AC95" s="30" t="s">
        <v>88</v>
      </c>
      <c r="AD95" s="30" t="s">
        <v>88</v>
      </c>
      <c r="AE95" s="30" t="s">
        <v>88</v>
      </c>
      <c r="AF95" s="30" t="s">
        <v>342</v>
      </c>
      <c r="AG95" s="33" t="s">
        <v>88</v>
      </c>
    </row>
    <row r="96" spans="1:33" hidden="1" x14ac:dyDescent="0.35">
      <c r="B96" s="58">
        <f t="shared" si="7"/>
        <v>94</v>
      </c>
      <c r="C96" s="30">
        <v>20200309</v>
      </c>
      <c r="D96" s="30" t="s">
        <v>3</v>
      </c>
      <c r="E96" s="30" t="s">
        <v>276</v>
      </c>
      <c r="F96" s="33" t="s">
        <v>281</v>
      </c>
      <c r="G96" s="71">
        <v>1362409</v>
      </c>
      <c r="H96" s="30" t="s">
        <v>297</v>
      </c>
      <c r="I96" s="56" t="s">
        <v>217</v>
      </c>
      <c r="J96" s="32" t="s">
        <v>310</v>
      </c>
      <c r="K96" s="30" t="s">
        <v>312</v>
      </c>
      <c r="L96" s="33" t="str">
        <f t="shared" si="10"/>
        <v>-</v>
      </c>
      <c r="M96" s="33" t="s">
        <v>411</v>
      </c>
      <c r="N96" s="32"/>
      <c r="O96" s="48" t="s">
        <v>102</v>
      </c>
      <c r="P96" s="30"/>
      <c r="Q96" s="30"/>
      <c r="R96" s="66">
        <v>21</v>
      </c>
      <c r="S96" s="31">
        <v>131</v>
      </c>
      <c r="T96" s="30">
        <v>131</v>
      </c>
      <c r="U96" s="30">
        <f>ROUNDDOWN(S96/HLOOKUP(D96,Table!$C$3:$D$4,2,0)*8,2)</f>
        <v>2.3199999999999998</v>
      </c>
      <c r="V96" s="30">
        <v>6.9</v>
      </c>
      <c r="W96" s="30" t="s">
        <v>21</v>
      </c>
      <c r="X96" s="34"/>
      <c r="Y96" s="34"/>
      <c r="Z96" s="34">
        <v>43902</v>
      </c>
      <c r="AA96" s="34">
        <v>43902</v>
      </c>
      <c r="AB96" s="37" t="s">
        <v>182</v>
      </c>
      <c r="AC96" s="30">
        <v>100</v>
      </c>
      <c r="AD96" s="30">
        <v>100</v>
      </c>
      <c r="AE96" s="30">
        <v>100</v>
      </c>
      <c r="AF96" s="30"/>
      <c r="AG96" s="33" t="s">
        <v>88</v>
      </c>
    </row>
    <row r="97" spans="1:33" x14ac:dyDescent="0.35">
      <c r="B97" s="58">
        <f t="shared" si="7"/>
        <v>95</v>
      </c>
      <c r="C97" s="30">
        <v>20200309</v>
      </c>
      <c r="D97" s="30" t="s">
        <v>3</v>
      </c>
      <c r="E97" s="30" t="s">
        <v>277</v>
      </c>
      <c r="F97" s="33" t="s">
        <v>282</v>
      </c>
      <c r="G97" s="70">
        <v>1362280</v>
      </c>
      <c r="H97" s="30" t="s">
        <v>298</v>
      </c>
      <c r="I97" s="56" t="s">
        <v>217</v>
      </c>
      <c r="J97" s="30">
        <v>80507</v>
      </c>
      <c r="K97" s="30" t="s">
        <v>313</v>
      </c>
      <c r="L97" s="33" t="str">
        <f t="shared" si="10"/>
        <v>-</v>
      </c>
      <c r="M97" s="33" t="s">
        <v>412</v>
      </c>
      <c r="N97" s="32"/>
      <c r="O97" s="48" t="s">
        <v>103</v>
      </c>
      <c r="P97" s="30"/>
      <c r="Q97" s="30"/>
      <c r="R97" s="66">
        <v>25</v>
      </c>
      <c r="S97" s="30">
        <v>25</v>
      </c>
      <c r="T97" s="30">
        <v>25</v>
      </c>
      <c r="U97" s="30">
        <f>ROUNDDOWN(S97/HLOOKUP(D97,Table!$C$3:$D$4,2,0)*8,2)</f>
        <v>0.44</v>
      </c>
      <c r="V97" s="30">
        <v>0.2</v>
      </c>
      <c r="W97" s="30" t="s">
        <v>21</v>
      </c>
      <c r="X97" s="34"/>
      <c r="Y97" s="34"/>
      <c r="Z97" s="34">
        <v>43902</v>
      </c>
      <c r="AA97" s="34">
        <v>43902</v>
      </c>
      <c r="AB97" s="37" t="s">
        <v>182</v>
      </c>
      <c r="AC97" s="30">
        <v>100</v>
      </c>
      <c r="AD97" s="30">
        <v>100</v>
      </c>
      <c r="AE97" s="30">
        <v>100</v>
      </c>
      <c r="AF97" s="30"/>
      <c r="AG97" s="33" t="s">
        <v>88</v>
      </c>
    </row>
    <row r="98" spans="1:33" x14ac:dyDescent="0.35">
      <c r="B98" s="58">
        <f t="shared" si="7"/>
        <v>96</v>
      </c>
      <c r="C98" s="30">
        <v>20200309</v>
      </c>
      <c r="D98" s="30" t="s">
        <v>3</v>
      </c>
      <c r="E98" s="30" t="s">
        <v>277</v>
      </c>
      <c r="F98" s="33" t="s">
        <v>283</v>
      </c>
      <c r="G98" s="70">
        <v>1362280</v>
      </c>
      <c r="H98" s="30" t="s">
        <v>299</v>
      </c>
      <c r="I98" s="56" t="s">
        <v>217</v>
      </c>
      <c r="J98" s="30">
        <v>80507</v>
      </c>
      <c r="K98" s="30" t="s">
        <v>313</v>
      </c>
      <c r="L98" s="33" t="str">
        <f t="shared" si="10"/>
        <v>-</v>
      </c>
      <c r="M98" s="33" t="s">
        <v>412</v>
      </c>
      <c r="N98" s="32"/>
      <c r="O98" s="48" t="s">
        <v>103</v>
      </c>
      <c r="P98" s="30"/>
      <c r="Q98" s="30"/>
      <c r="R98" s="66">
        <v>151</v>
      </c>
      <c r="S98" s="30">
        <v>151</v>
      </c>
      <c r="T98" s="30">
        <v>151</v>
      </c>
      <c r="U98" s="30">
        <f>ROUNDDOWN(S98/HLOOKUP(D98,Table!$C$3:$D$4,2,0)*8,2)</f>
        <v>2.68</v>
      </c>
      <c r="V98" s="30">
        <v>2.5</v>
      </c>
      <c r="W98" s="30" t="s">
        <v>21</v>
      </c>
      <c r="X98" s="34"/>
      <c r="Y98" s="34"/>
      <c r="Z98" s="34">
        <v>43902</v>
      </c>
      <c r="AA98" s="34">
        <v>43902</v>
      </c>
      <c r="AB98" s="37" t="s">
        <v>182</v>
      </c>
      <c r="AC98" s="30">
        <v>100</v>
      </c>
      <c r="AD98" s="30">
        <v>100</v>
      </c>
      <c r="AE98" s="30">
        <v>100</v>
      </c>
      <c r="AF98" s="30"/>
      <c r="AG98" s="33" t="s">
        <v>88</v>
      </c>
    </row>
    <row r="99" spans="1:33" hidden="1" x14ac:dyDescent="0.35">
      <c r="B99" s="58">
        <f t="shared" si="7"/>
        <v>97</v>
      </c>
      <c r="C99" s="30">
        <v>20200309</v>
      </c>
      <c r="D99" s="30" t="s">
        <v>3</v>
      </c>
      <c r="E99" s="30" t="s">
        <v>277</v>
      </c>
      <c r="F99" s="33" t="s">
        <v>359</v>
      </c>
      <c r="G99" s="70">
        <v>1362280</v>
      </c>
      <c r="H99" s="30" t="s">
        <v>300</v>
      </c>
      <c r="I99" s="56" t="s">
        <v>217</v>
      </c>
      <c r="J99" s="30">
        <v>80507</v>
      </c>
      <c r="K99" s="30" t="s">
        <v>313</v>
      </c>
      <c r="L99" s="33" t="str">
        <f t="shared" si="10"/>
        <v>-</v>
      </c>
      <c r="M99" s="33" t="s">
        <v>412</v>
      </c>
      <c r="N99" s="32"/>
      <c r="O99" s="29" t="s">
        <v>101</v>
      </c>
      <c r="P99" s="30"/>
      <c r="Q99" s="30"/>
      <c r="R99" s="66">
        <v>178</v>
      </c>
      <c r="S99" s="30">
        <v>178</v>
      </c>
      <c r="T99" s="30">
        <v>178</v>
      </c>
      <c r="U99" s="30">
        <f>ROUNDDOWN(S99/HLOOKUP(D99,Table!$C$3:$D$4,2,0)*8,2)</f>
        <v>3.16</v>
      </c>
      <c r="V99" s="30">
        <v>4</v>
      </c>
      <c r="W99" s="30" t="s">
        <v>21</v>
      </c>
      <c r="X99" s="34"/>
      <c r="Y99" s="34"/>
      <c r="Z99" s="34"/>
      <c r="AA99" s="34"/>
      <c r="AB99" s="37"/>
      <c r="AC99" s="30"/>
      <c r="AD99" s="30"/>
      <c r="AE99" s="30"/>
      <c r="AF99" s="30"/>
      <c r="AG99" s="33" t="s">
        <v>88</v>
      </c>
    </row>
    <row r="100" spans="1:33" x14ac:dyDescent="0.35">
      <c r="B100" s="58">
        <f t="shared" si="7"/>
        <v>98</v>
      </c>
      <c r="C100" s="30">
        <v>20200309</v>
      </c>
      <c r="D100" s="30" t="s">
        <v>3</v>
      </c>
      <c r="E100" s="30" t="s">
        <v>276</v>
      </c>
      <c r="F100" s="33" t="s">
        <v>284</v>
      </c>
      <c r="G100" s="71">
        <v>1362197</v>
      </c>
      <c r="H100" s="30" t="s">
        <v>301</v>
      </c>
      <c r="I100" s="56" t="s">
        <v>217</v>
      </c>
      <c r="J100" s="30">
        <v>81033</v>
      </c>
      <c r="K100" s="30" t="s">
        <v>312</v>
      </c>
      <c r="L100" s="33" t="str">
        <f t="shared" si="10"/>
        <v>-</v>
      </c>
      <c r="M100" s="33" t="s">
        <v>413</v>
      </c>
      <c r="N100" s="32"/>
      <c r="O100" s="48" t="s">
        <v>103</v>
      </c>
      <c r="P100" s="30"/>
      <c r="Q100" s="30"/>
      <c r="R100" s="66">
        <v>280</v>
      </c>
      <c r="S100" s="31">
        <v>277</v>
      </c>
      <c r="T100" s="30">
        <v>277</v>
      </c>
      <c r="U100" s="30">
        <f>ROUNDDOWN(S100/HLOOKUP(D100,Table!$C$3:$D$4,2,0)*8,2)</f>
        <v>4.92</v>
      </c>
      <c r="V100" s="30">
        <v>2</v>
      </c>
      <c r="W100" s="30" t="s">
        <v>21</v>
      </c>
      <c r="X100" s="34"/>
      <c r="Y100" s="34"/>
      <c r="Z100" s="34">
        <v>43903</v>
      </c>
      <c r="AA100" s="34">
        <v>43903</v>
      </c>
      <c r="AB100" s="37" t="s">
        <v>182</v>
      </c>
      <c r="AC100" s="30">
        <v>100</v>
      </c>
      <c r="AD100" s="30">
        <v>100</v>
      </c>
      <c r="AE100" s="30">
        <v>100</v>
      </c>
      <c r="AF100" s="30"/>
      <c r="AG100" s="33" t="s">
        <v>88</v>
      </c>
    </row>
    <row r="101" spans="1:33" hidden="1" x14ac:dyDescent="0.35">
      <c r="B101" s="58">
        <f t="shared" si="7"/>
        <v>99</v>
      </c>
      <c r="C101" s="30">
        <v>20200309</v>
      </c>
      <c r="D101" s="30" t="s">
        <v>3</v>
      </c>
      <c r="E101" s="30" t="s">
        <v>276</v>
      </c>
      <c r="F101" s="33" t="s">
        <v>289</v>
      </c>
      <c r="G101" s="71">
        <v>1362163</v>
      </c>
      <c r="H101" s="30" t="s">
        <v>302</v>
      </c>
      <c r="I101" s="56" t="s">
        <v>217</v>
      </c>
      <c r="J101" s="30">
        <v>81033</v>
      </c>
      <c r="K101" s="30" t="s">
        <v>312</v>
      </c>
      <c r="L101" s="33" t="str">
        <f t="shared" si="10"/>
        <v>-</v>
      </c>
      <c r="M101" s="33" t="s">
        <v>414</v>
      </c>
      <c r="N101" s="32"/>
      <c r="O101" s="29" t="s">
        <v>101</v>
      </c>
      <c r="P101" s="30"/>
      <c r="Q101" s="30"/>
      <c r="R101" s="66">
        <v>259</v>
      </c>
      <c r="S101" s="30">
        <v>259</v>
      </c>
      <c r="T101" s="30">
        <v>259</v>
      </c>
      <c r="U101" s="30">
        <f>ROUNDDOWN(S101/HLOOKUP(D101,Table!$C$3:$D$4,2,0)*8,2)</f>
        <v>4.5999999999999996</v>
      </c>
      <c r="V101" s="30">
        <v>6</v>
      </c>
      <c r="W101" s="30" t="s">
        <v>21</v>
      </c>
      <c r="X101" s="34"/>
      <c r="Y101" s="34"/>
      <c r="Z101" s="34">
        <v>43903</v>
      </c>
      <c r="AA101" s="34">
        <v>43903</v>
      </c>
      <c r="AB101" s="37" t="s">
        <v>181</v>
      </c>
      <c r="AC101" s="30">
        <v>100</v>
      </c>
      <c r="AD101" s="30">
        <v>100</v>
      </c>
      <c r="AE101" s="30">
        <v>94</v>
      </c>
      <c r="AF101" s="30" t="s">
        <v>377</v>
      </c>
      <c r="AG101" s="33" t="s">
        <v>88</v>
      </c>
    </row>
    <row r="102" spans="1:33" x14ac:dyDescent="0.35">
      <c r="B102" s="58">
        <f t="shared" si="7"/>
        <v>100</v>
      </c>
      <c r="C102" s="30">
        <v>20200309</v>
      </c>
      <c r="D102" s="30" t="s">
        <v>3</v>
      </c>
      <c r="E102" s="30" t="s">
        <v>278</v>
      </c>
      <c r="F102" s="33" t="s">
        <v>285</v>
      </c>
      <c r="G102" s="71">
        <v>1360524</v>
      </c>
      <c r="H102" s="30" t="s">
        <v>303</v>
      </c>
      <c r="I102" s="56" t="s">
        <v>217</v>
      </c>
      <c r="J102" s="30" t="s">
        <v>125</v>
      </c>
      <c r="K102" s="30" t="s">
        <v>109</v>
      </c>
      <c r="L102" s="33" t="str">
        <f t="shared" si="10"/>
        <v>-</v>
      </c>
      <c r="M102" s="33" t="s">
        <v>415</v>
      </c>
      <c r="N102" s="32"/>
      <c r="O102" s="48" t="s">
        <v>103</v>
      </c>
      <c r="P102" s="30"/>
      <c r="Q102" s="30"/>
      <c r="R102" s="66">
        <v>35</v>
      </c>
      <c r="S102" s="30">
        <v>35</v>
      </c>
      <c r="T102" s="136">
        <v>35</v>
      </c>
      <c r="U102" s="30">
        <f>ROUNDDOWN(S102/HLOOKUP(D102,Table!$C$3:$D$4,2,0)*8,2)</f>
        <v>0.62</v>
      </c>
      <c r="V102" s="30">
        <v>0.5</v>
      </c>
      <c r="W102" s="30" t="s">
        <v>21</v>
      </c>
      <c r="X102" s="34"/>
      <c r="Y102" s="34"/>
      <c r="Z102" s="34">
        <v>43906</v>
      </c>
      <c r="AA102" s="34">
        <v>43906</v>
      </c>
      <c r="AB102" s="37" t="s">
        <v>182</v>
      </c>
      <c r="AC102" s="30">
        <v>100</v>
      </c>
      <c r="AD102" s="30">
        <v>100</v>
      </c>
      <c r="AE102" s="30">
        <v>100</v>
      </c>
      <c r="AF102" s="30"/>
      <c r="AG102" s="33" t="s">
        <v>88</v>
      </c>
    </row>
    <row r="103" spans="1:33" hidden="1" x14ac:dyDescent="0.35">
      <c r="B103" s="69">
        <f>B102+1</f>
        <v>101</v>
      </c>
      <c r="C103" s="30">
        <v>20200312</v>
      </c>
      <c r="D103" s="30" t="s">
        <v>3</v>
      </c>
      <c r="E103" s="30" t="s">
        <v>274</v>
      </c>
      <c r="F103" s="33" t="s">
        <v>326</v>
      </c>
      <c r="G103" s="90">
        <v>1368920</v>
      </c>
      <c r="H103" s="30" t="s">
        <v>330</v>
      </c>
      <c r="I103" s="56" t="s">
        <v>217</v>
      </c>
      <c r="J103" s="30">
        <v>99478</v>
      </c>
      <c r="K103" s="30" t="s">
        <v>231</v>
      </c>
      <c r="L103" s="33" t="str">
        <f t="shared" si="10"/>
        <v>-</v>
      </c>
      <c r="M103" s="33" t="s">
        <v>403</v>
      </c>
      <c r="N103" s="32"/>
      <c r="O103" s="30" t="s">
        <v>101</v>
      </c>
      <c r="P103" s="30"/>
      <c r="Q103" s="30"/>
      <c r="R103" s="66">
        <v>191</v>
      </c>
      <c r="S103" s="30">
        <v>191</v>
      </c>
      <c r="T103" s="133">
        <v>191</v>
      </c>
      <c r="U103" s="30">
        <f>ROUNDDOWN(S103/HLOOKUP(D103,Table!$C$3:$D$4,2,0)*8,2)</f>
        <v>3.39</v>
      </c>
      <c r="V103" s="30">
        <v>5</v>
      </c>
      <c r="W103" s="30" t="s">
        <v>21</v>
      </c>
      <c r="X103" s="34"/>
      <c r="Y103" s="34">
        <v>43904</v>
      </c>
      <c r="Z103" s="34"/>
      <c r="AA103" s="34"/>
      <c r="AB103" s="37" t="s">
        <v>182</v>
      </c>
      <c r="AC103" s="30">
        <v>100</v>
      </c>
      <c r="AD103" s="30">
        <v>100</v>
      </c>
      <c r="AE103" s="30">
        <v>100</v>
      </c>
      <c r="AF103" s="30"/>
      <c r="AG103" s="33" t="s">
        <v>88</v>
      </c>
    </row>
    <row r="104" spans="1:33" hidden="1" x14ac:dyDescent="0.35">
      <c r="B104" s="69">
        <f t="shared" si="7"/>
        <v>102</v>
      </c>
      <c r="C104" s="30">
        <v>20200312</v>
      </c>
      <c r="D104" s="30" t="s">
        <v>3</v>
      </c>
      <c r="E104" s="30" t="s">
        <v>274</v>
      </c>
      <c r="F104" s="33" t="s">
        <v>279</v>
      </c>
      <c r="G104" s="90">
        <v>1368920</v>
      </c>
      <c r="H104" s="30" t="s">
        <v>291</v>
      </c>
      <c r="I104" s="56" t="s">
        <v>217</v>
      </c>
      <c r="J104" s="30">
        <v>99478</v>
      </c>
      <c r="K104" s="30" t="s">
        <v>231</v>
      </c>
      <c r="L104" s="33" t="str">
        <f t="shared" si="10"/>
        <v>-</v>
      </c>
      <c r="M104" s="33" t="s">
        <v>403</v>
      </c>
      <c r="N104" s="32"/>
      <c r="O104" s="30" t="s">
        <v>104</v>
      </c>
      <c r="P104" s="30"/>
      <c r="Q104" s="30"/>
      <c r="R104" s="66">
        <v>67</v>
      </c>
      <c r="S104" s="71">
        <v>67</v>
      </c>
      <c r="T104" s="71">
        <v>67</v>
      </c>
      <c r="U104" s="30">
        <f>ROUNDDOWN(S104/HLOOKUP(D104,Table!$C$3:$D$4,2,0)*8,2)</f>
        <v>1.19</v>
      </c>
      <c r="V104" s="30">
        <v>0.5</v>
      </c>
      <c r="W104" s="30" t="s">
        <v>21</v>
      </c>
      <c r="X104" s="34"/>
      <c r="Y104" s="34"/>
      <c r="Z104" s="34">
        <v>43906</v>
      </c>
      <c r="AA104" s="34">
        <v>43906</v>
      </c>
      <c r="AB104" s="37" t="s">
        <v>182</v>
      </c>
      <c r="AC104" s="30">
        <v>100</v>
      </c>
      <c r="AD104" s="30">
        <v>100</v>
      </c>
      <c r="AE104" s="30">
        <v>100</v>
      </c>
      <c r="AF104" s="30" t="s">
        <v>367</v>
      </c>
      <c r="AG104" s="33" t="s">
        <v>88</v>
      </c>
    </row>
    <row r="105" spans="1:33" hidden="1" x14ac:dyDescent="0.35">
      <c r="B105" s="69">
        <f t="shared" si="7"/>
        <v>103</v>
      </c>
      <c r="C105" s="30">
        <v>20200312</v>
      </c>
      <c r="D105" s="30" t="s">
        <v>3</v>
      </c>
      <c r="E105" s="30" t="s">
        <v>91</v>
      </c>
      <c r="F105" s="33" t="s">
        <v>241</v>
      </c>
      <c r="G105" s="90">
        <v>1368889</v>
      </c>
      <c r="H105" s="30" t="s">
        <v>248</v>
      </c>
      <c r="I105" s="56" t="s">
        <v>217</v>
      </c>
      <c r="J105" s="30">
        <v>80504</v>
      </c>
      <c r="K105" s="30" t="s">
        <v>109</v>
      </c>
      <c r="L105" s="33" t="str">
        <f t="shared" si="10"/>
        <v>-</v>
      </c>
      <c r="M105" s="33" t="s">
        <v>408</v>
      </c>
      <c r="N105" s="32"/>
      <c r="O105" s="30" t="s">
        <v>101</v>
      </c>
      <c r="P105" s="30"/>
      <c r="Q105" s="30"/>
      <c r="R105" s="66">
        <v>431</v>
      </c>
      <c r="S105" s="30">
        <v>431</v>
      </c>
      <c r="T105" s="30">
        <v>431</v>
      </c>
      <c r="U105" s="30">
        <f>ROUNDDOWN(S105/HLOOKUP(D105,Table!$C$3:$D$4,2,0)*8,2)</f>
        <v>7.66</v>
      </c>
      <c r="V105" s="30">
        <v>8</v>
      </c>
      <c r="W105" s="30" t="s">
        <v>21</v>
      </c>
      <c r="X105" s="34"/>
      <c r="Y105" s="34"/>
      <c r="Z105" s="34">
        <v>43907</v>
      </c>
      <c r="AA105" s="34">
        <v>43907</v>
      </c>
      <c r="AB105" s="37" t="s">
        <v>182</v>
      </c>
      <c r="AC105" s="30">
        <v>100</v>
      </c>
      <c r="AD105" s="30">
        <v>100</v>
      </c>
      <c r="AE105" s="30">
        <v>100</v>
      </c>
      <c r="AF105" s="30"/>
      <c r="AG105" s="33" t="s">
        <v>88</v>
      </c>
    </row>
    <row r="106" spans="1:33" hidden="1" x14ac:dyDescent="0.35">
      <c r="B106" s="69">
        <f t="shared" si="7"/>
        <v>104</v>
      </c>
      <c r="C106" s="30">
        <v>20200312</v>
      </c>
      <c r="D106" s="30" t="s">
        <v>3</v>
      </c>
      <c r="E106" s="30" t="s">
        <v>91</v>
      </c>
      <c r="F106" s="33" t="s">
        <v>241</v>
      </c>
      <c r="G106" s="90">
        <v>1368889</v>
      </c>
      <c r="H106" s="30" t="s">
        <v>331</v>
      </c>
      <c r="I106" s="56" t="s">
        <v>217</v>
      </c>
      <c r="J106" s="30">
        <v>80504</v>
      </c>
      <c r="K106" s="30" t="s">
        <v>109</v>
      </c>
      <c r="L106" s="33" t="str">
        <f t="shared" si="10"/>
        <v>-</v>
      </c>
      <c r="M106" s="33" t="s">
        <v>408</v>
      </c>
      <c r="N106" s="32"/>
      <c r="O106" s="30" t="s">
        <v>104</v>
      </c>
      <c r="P106" s="30"/>
      <c r="Q106" s="30"/>
      <c r="R106" s="66">
        <v>184</v>
      </c>
      <c r="S106" s="71">
        <v>184</v>
      </c>
      <c r="T106" s="71">
        <v>184</v>
      </c>
      <c r="U106" s="30">
        <f>ROUNDDOWN(S106/HLOOKUP(D106,Table!$C$3:$D$4,2,0)*8,2)</f>
        <v>3.27</v>
      </c>
      <c r="V106" s="30">
        <v>2</v>
      </c>
      <c r="W106" s="30" t="s">
        <v>21</v>
      </c>
      <c r="X106" s="34"/>
      <c r="Y106" s="34"/>
      <c r="Z106" s="34">
        <v>43906</v>
      </c>
      <c r="AA106" s="34">
        <v>43906</v>
      </c>
      <c r="AB106" s="37" t="s">
        <v>182</v>
      </c>
      <c r="AC106" s="30">
        <v>100</v>
      </c>
      <c r="AD106" s="30">
        <v>100</v>
      </c>
      <c r="AE106" s="30">
        <v>100</v>
      </c>
      <c r="AF106" s="30"/>
      <c r="AG106" s="33" t="s">
        <v>88</v>
      </c>
    </row>
    <row r="107" spans="1:33" x14ac:dyDescent="0.35">
      <c r="B107" s="69">
        <f t="shared" ref="B107:B117" si="11">B106+1</f>
        <v>105</v>
      </c>
      <c r="C107" s="30">
        <v>20200312</v>
      </c>
      <c r="D107" s="30" t="s">
        <v>3</v>
      </c>
      <c r="E107" s="30" t="s">
        <v>324</v>
      </c>
      <c r="F107" s="33"/>
      <c r="G107" s="50">
        <v>1359407</v>
      </c>
      <c r="H107" s="30" t="s">
        <v>332</v>
      </c>
      <c r="I107" s="56" t="s">
        <v>217</v>
      </c>
      <c r="J107" s="30"/>
      <c r="K107" s="30" t="s">
        <v>126</v>
      </c>
      <c r="L107" s="33" t="str">
        <f t="shared" si="10"/>
        <v>-</v>
      </c>
      <c r="M107" s="33" t="s">
        <v>401</v>
      </c>
      <c r="N107" s="32"/>
      <c r="O107" s="48" t="s">
        <v>103</v>
      </c>
      <c r="P107" s="30"/>
      <c r="Q107" s="30"/>
      <c r="R107" s="66">
        <v>1023</v>
      </c>
      <c r="S107" s="30">
        <v>1023</v>
      </c>
      <c r="T107" s="30">
        <v>1023</v>
      </c>
      <c r="U107" s="30">
        <f>ROUNDDOWN(S107/HLOOKUP(D107,Table!$C$3:$D$4,2,0)*8,2)</f>
        <v>18.18</v>
      </c>
      <c r="V107" s="30">
        <v>12</v>
      </c>
      <c r="W107" s="30" t="s">
        <v>21</v>
      </c>
      <c r="X107" s="34"/>
      <c r="Y107" s="34"/>
      <c r="Z107" s="34"/>
      <c r="AA107" s="34"/>
      <c r="AB107" s="37" t="s">
        <v>182</v>
      </c>
      <c r="AC107" s="30">
        <v>100</v>
      </c>
      <c r="AD107" s="30">
        <v>100</v>
      </c>
      <c r="AE107" s="30">
        <v>100</v>
      </c>
      <c r="AF107" s="30"/>
      <c r="AG107" s="33" t="s">
        <v>88</v>
      </c>
    </row>
    <row r="108" spans="1:33" s="94" customFormat="1" hidden="1" x14ac:dyDescent="0.35">
      <c r="A108" s="93"/>
      <c r="B108" s="102">
        <f t="shared" si="11"/>
        <v>106</v>
      </c>
      <c r="C108" s="95">
        <v>20200312</v>
      </c>
      <c r="D108" s="95" t="s">
        <v>3</v>
      </c>
      <c r="E108" s="95" t="s">
        <v>325</v>
      </c>
      <c r="F108" s="96" t="s">
        <v>327</v>
      </c>
      <c r="G108" s="95">
        <v>1264979</v>
      </c>
      <c r="H108" s="111" t="s">
        <v>333</v>
      </c>
      <c r="I108" s="101" t="s">
        <v>217</v>
      </c>
      <c r="J108" s="95">
        <v>81728</v>
      </c>
      <c r="K108" s="95" t="s">
        <v>341</v>
      </c>
      <c r="L108" s="96" t="str">
        <f t="shared" si="10"/>
        <v>-</v>
      </c>
      <c r="M108" s="40" t="s">
        <v>416</v>
      </c>
      <c r="N108" s="27"/>
      <c r="O108" s="95" t="s">
        <v>102</v>
      </c>
      <c r="P108" s="95"/>
      <c r="Q108" s="95"/>
      <c r="R108" s="95">
        <v>43</v>
      </c>
      <c r="S108" s="95">
        <v>43</v>
      </c>
      <c r="T108" s="95">
        <v>43</v>
      </c>
      <c r="U108" s="30">
        <f>ROUNDDOWN(S108/HLOOKUP(D108,Table!$C$3:$D$4,2,0)*8,2)</f>
        <v>0.76</v>
      </c>
      <c r="V108" s="95">
        <v>1</v>
      </c>
      <c r="W108" s="95" t="s">
        <v>21</v>
      </c>
      <c r="X108" s="97"/>
      <c r="Y108" s="97"/>
      <c r="Z108" s="109">
        <v>43906</v>
      </c>
      <c r="AA108" s="105">
        <v>43906</v>
      </c>
      <c r="AB108" s="98" t="s">
        <v>182</v>
      </c>
      <c r="AC108" s="95">
        <v>100</v>
      </c>
      <c r="AD108" s="95">
        <v>100</v>
      </c>
      <c r="AE108" s="95">
        <v>100</v>
      </c>
      <c r="AF108" s="95"/>
      <c r="AG108" s="33" t="s">
        <v>88</v>
      </c>
    </row>
    <row r="109" spans="1:33" x14ac:dyDescent="0.35">
      <c r="B109" s="69">
        <f t="shared" si="11"/>
        <v>107</v>
      </c>
      <c r="C109" s="30">
        <v>20200312</v>
      </c>
      <c r="D109" s="30" t="s">
        <v>3</v>
      </c>
      <c r="E109" s="30" t="s">
        <v>325</v>
      </c>
      <c r="F109" s="33" t="s">
        <v>327</v>
      </c>
      <c r="G109" s="90">
        <v>1264979</v>
      </c>
      <c r="H109" s="30" t="s">
        <v>334</v>
      </c>
      <c r="I109" s="56" t="s">
        <v>217</v>
      </c>
      <c r="J109" s="30">
        <v>81728</v>
      </c>
      <c r="K109" s="30" t="s">
        <v>341</v>
      </c>
      <c r="L109" s="33" t="str">
        <f t="shared" si="10"/>
        <v>-</v>
      </c>
      <c r="M109" s="33" t="s">
        <v>416</v>
      </c>
      <c r="N109" s="32"/>
      <c r="O109" s="30" t="s">
        <v>103</v>
      </c>
      <c r="P109" s="30"/>
      <c r="Q109" s="30"/>
      <c r="R109" s="66">
        <v>231</v>
      </c>
      <c r="S109" s="30">
        <v>231</v>
      </c>
      <c r="T109" s="30">
        <v>231</v>
      </c>
      <c r="U109" s="30">
        <f>ROUNDDOWN(S109/HLOOKUP(D109,Table!$C$3:$D$4,2,0)*8,2)</f>
        <v>4.0999999999999996</v>
      </c>
      <c r="V109" s="30">
        <v>3</v>
      </c>
      <c r="W109" s="30" t="s">
        <v>21</v>
      </c>
      <c r="X109" s="34"/>
      <c r="Y109" s="34"/>
      <c r="Z109" s="34">
        <v>43906</v>
      </c>
      <c r="AA109" s="34">
        <v>43906</v>
      </c>
      <c r="AB109" s="37" t="s">
        <v>182</v>
      </c>
      <c r="AC109" s="30">
        <v>100</v>
      </c>
      <c r="AD109" s="30">
        <v>100</v>
      </c>
      <c r="AE109" s="30">
        <v>100</v>
      </c>
      <c r="AF109" s="30"/>
      <c r="AG109" s="33" t="s">
        <v>88</v>
      </c>
    </row>
    <row r="110" spans="1:33" hidden="1" x14ac:dyDescent="0.35">
      <c r="B110" s="69">
        <f t="shared" si="11"/>
        <v>108</v>
      </c>
      <c r="C110" s="30">
        <v>20200312</v>
      </c>
      <c r="D110" s="30" t="s">
        <v>3</v>
      </c>
      <c r="E110" s="30" t="s">
        <v>325</v>
      </c>
      <c r="F110" s="33" t="s">
        <v>327</v>
      </c>
      <c r="G110" s="90">
        <v>1264979</v>
      </c>
      <c r="H110" s="30" t="s">
        <v>335</v>
      </c>
      <c r="I110" s="56" t="s">
        <v>217</v>
      </c>
      <c r="J110" s="30">
        <v>81728</v>
      </c>
      <c r="K110" s="30" t="s">
        <v>341</v>
      </c>
      <c r="L110" s="33" t="str">
        <f t="shared" si="10"/>
        <v>-</v>
      </c>
      <c r="M110" s="33" t="s">
        <v>416</v>
      </c>
      <c r="N110" s="32"/>
      <c r="O110" s="30" t="s">
        <v>104</v>
      </c>
      <c r="P110" s="30"/>
      <c r="Q110" s="30"/>
      <c r="R110" s="66">
        <v>360</v>
      </c>
      <c r="S110" s="30">
        <f>R110</f>
        <v>360</v>
      </c>
      <c r="T110" s="30">
        <f>S110</f>
        <v>360</v>
      </c>
      <c r="U110" s="30">
        <f>ROUNDDOWN(S110/HLOOKUP(D110,Table!$C$3:$D$4,2,0)*8,2)</f>
        <v>6.4</v>
      </c>
      <c r="V110" s="30">
        <v>3</v>
      </c>
      <c r="W110" s="30" t="s">
        <v>21</v>
      </c>
      <c r="X110" s="34"/>
      <c r="Y110" s="34"/>
      <c r="Z110" s="34">
        <v>43906</v>
      </c>
      <c r="AA110" s="34">
        <v>43906</v>
      </c>
      <c r="AB110" s="37" t="s">
        <v>182</v>
      </c>
      <c r="AC110" s="30">
        <v>100</v>
      </c>
      <c r="AD110" s="30">
        <v>100</v>
      </c>
      <c r="AE110" s="30">
        <v>100</v>
      </c>
      <c r="AF110" s="30"/>
      <c r="AG110" s="33" t="s">
        <v>88</v>
      </c>
    </row>
    <row r="111" spans="1:33" s="94" customFormat="1" hidden="1" x14ac:dyDescent="0.35">
      <c r="A111" s="93"/>
      <c r="B111" s="102">
        <f t="shared" si="11"/>
        <v>109</v>
      </c>
      <c r="C111" s="95">
        <v>20200312</v>
      </c>
      <c r="D111" s="95" t="s">
        <v>3</v>
      </c>
      <c r="E111" s="95" t="s">
        <v>325</v>
      </c>
      <c r="F111" s="96" t="s">
        <v>327</v>
      </c>
      <c r="G111" s="95">
        <v>1264979</v>
      </c>
      <c r="H111" s="111" t="s">
        <v>332</v>
      </c>
      <c r="I111" s="101" t="s">
        <v>217</v>
      </c>
      <c r="J111" s="95">
        <v>81728</v>
      </c>
      <c r="K111" s="95" t="s">
        <v>341</v>
      </c>
      <c r="L111" s="96" t="str">
        <f t="shared" si="10"/>
        <v>-</v>
      </c>
      <c r="M111" s="40" t="s">
        <v>416</v>
      </c>
      <c r="N111" s="27"/>
      <c r="O111" s="95" t="s">
        <v>102</v>
      </c>
      <c r="P111" s="95"/>
      <c r="Q111" s="95"/>
      <c r="R111" s="95">
        <v>1023</v>
      </c>
      <c r="S111" s="95">
        <v>1023</v>
      </c>
      <c r="T111" s="95">
        <v>1023</v>
      </c>
      <c r="U111" s="30">
        <f>ROUNDDOWN(S111/HLOOKUP(D111,Table!$C$3:$D$4,2,0)*8,2)</f>
        <v>18.18</v>
      </c>
      <c r="V111" s="95">
        <v>8</v>
      </c>
      <c r="W111" s="95" t="s">
        <v>21</v>
      </c>
      <c r="X111" s="97"/>
      <c r="Y111" s="97"/>
      <c r="Z111" s="109">
        <v>43906</v>
      </c>
      <c r="AA111" s="105">
        <v>43906</v>
      </c>
      <c r="AB111" s="98" t="s">
        <v>182</v>
      </c>
      <c r="AC111" s="95">
        <v>100</v>
      </c>
      <c r="AD111" s="95">
        <v>100</v>
      </c>
      <c r="AE111" s="95">
        <v>100</v>
      </c>
      <c r="AF111" s="95"/>
      <c r="AG111" s="33" t="s">
        <v>88</v>
      </c>
    </row>
    <row r="112" spans="1:33" s="94" customFormat="1" hidden="1" x14ac:dyDescent="0.35">
      <c r="A112" s="93"/>
      <c r="B112" s="102">
        <f t="shared" si="11"/>
        <v>110</v>
      </c>
      <c r="C112" s="95">
        <v>20200312</v>
      </c>
      <c r="D112" s="95" t="s">
        <v>3</v>
      </c>
      <c r="E112" s="95" t="s">
        <v>325</v>
      </c>
      <c r="F112" s="96" t="s">
        <v>327</v>
      </c>
      <c r="G112" s="95">
        <v>1264979</v>
      </c>
      <c r="H112" s="111" t="s">
        <v>336</v>
      </c>
      <c r="I112" s="101" t="s">
        <v>217</v>
      </c>
      <c r="J112" s="95">
        <v>81728</v>
      </c>
      <c r="K112" s="95" t="s">
        <v>341</v>
      </c>
      <c r="L112" s="96" t="str">
        <f t="shared" si="10"/>
        <v>-</v>
      </c>
      <c r="M112" s="40" t="s">
        <v>416</v>
      </c>
      <c r="N112" s="27"/>
      <c r="O112" s="95" t="s">
        <v>102</v>
      </c>
      <c r="P112" s="95"/>
      <c r="Q112" s="95"/>
      <c r="R112" s="95">
        <v>303</v>
      </c>
      <c r="S112" s="95">
        <v>303</v>
      </c>
      <c r="T112" s="95">
        <v>303</v>
      </c>
      <c r="U112" s="30">
        <f>ROUNDDOWN(S112/HLOOKUP(D112,Table!$C$3:$D$4,2,0)*8,2)</f>
        <v>5.38</v>
      </c>
      <c r="V112" s="95">
        <v>2</v>
      </c>
      <c r="W112" s="95" t="s">
        <v>21</v>
      </c>
      <c r="X112" s="97"/>
      <c r="Y112" s="97"/>
      <c r="Z112" s="109">
        <v>43906</v>
      </c>
      <c r="AA112" s="105">
        <v>43906</v>
      </c>
      <c r="AB112" s="98" t="s">
        <v>182</v>
      </c>
      <c r="AC112" s="95">
        <v>100</v>
      </c>
      <c r="AD112" s="95">
        <v>100</v>
      </c>
      <c r="AE112" s="95">
        <v>100</v>
      </c>
      <c r="AF112" s="95"/>
      <c r="AG112" s="33" t="s">
        <v>88</v>
      </c>
    </row>
    <row r="113" spans="1:33" s="94" customFormat="1" hidden="1" x14ac:dyDescent="0.35">
      <c r="A113" s="93"/>
      <c r="B113" s="102">
        <f t="shared" si="11"/>
        <v>111</v>
      </c>
      <c r="C113" s="95">
        <v>20200312</v>
      </c>
      <c r="D113" s="95" t="s">
        <v>3</v>
      </c>
      <c r="E113" s="95" t="s">
        <v>325</v>
      </c>
      <c r="F113" s="96" t="s">
        <v>327</v>
      </c>
      <c r="G113" s="95">
        <v>1264979</v>
      </c>
      <c r="H113" s="111" t="s">
        <v>337</v>
      </c>
      <c r="I113" s="101" t="s">
        <v>217</v>
      </c>
      <c r="J113" s="95">
        <v>81728</v>
      </c>
      <c r="K113" s="95" t="s">
        <v>341</v>
      </c>
      <c r="L113" s="96" t="str">
        <f t="shared" si="10"/>
        <v>-</v>
      </c>
      <c r="M113" s="40" t="s">
        <v>416</v>
      </c>
      <c r="N113" s="27"/>
      <c r="O113" s="95" t="s">
        <v>102</v>
      </c>
      <c r="P113" s="95"/>
      <c r="Q113" s="95"/>
      <c r="R113" s="95">
        <v>87</v>
      </c>
      <c r="S113" s="95">
        <v>87</v>
      </c>
      <c r="T113" s="95">
        <v>87</v>
      </c>
      <c r="U113" s="30">
        <f>ROUNDDOWN(S113/HLOOKUP(D113,Table!$C$3:$D$4,2,0)*8,2)</f>
        <v>1.54</v>
      </c>
      <c r="V113" s="95">
        <v>2</v>
      </c>
      <c r="W113" s="95" t="s">
        <v>21</v>
      </c>
      <c r="X113" s="97"/>
      <c r="Y113" s="97"/>
      <c r="Z113" s="109">
        <v>43906</v>
      </c>
      <c r="AA113" s="105">
        <v>43906</v>
      </c>
      <c r="AB113" s="98" t="s">
        <v>182</v>
      </c>
      <c r="AC113" s="95">
        <v>100</v>
      </c>
      <c r="AD113" s="95">
        <v>100</v>
      </c>
      <c r="AE113" s="95">
        <v>100</v>
      </c>
      <c r="AF113" s="95"/>
      <c r="AG113" s="33" t="s">
        <v>88</v>
      </c>
    </row>
    <row r="114" spans="1:33" hidden="1" x14ac:dyDescent="0.35">
      <c r="B114" s="69">
        <f t="shared" si="11"/>
        <v>112</v>
      </c>
      <c r="C114" s="30">
        <v>20200312</v>
      </c>
      <c r="D114" s="30" t="s">
        <v>3</v>
      </c>
      <c r="E114" s="30" t="s">
        <v>325</v>
      </c>
      <c r="F114" s="33" t="s">
        <v>327</v>
      </c>
      <c r="G114" s="90">
        <v>1264979</v>
      </c>
      <c r="H114" s="30" t="s">
        <v>119</v>
      </c>
      <c r="I114" s="56" t="s">
        <v>217</v>
      </c>
      <c r="J114" s="30">
        <v>81728</v>
      </c>
      <c r="K114" s="30" t="s">
        <v>341</v>
      </c>
      <c r="L114" s="33" t="str">
        <f t="shared" si="10"/>
        <v>-</v>
      </c>
      <c r="M114" s="33" t="s">
        <v>416</v>
      </c>
      <c r="N114" s="32"/>
      <c r="O114" s="30" t="s">
        <v>101</v>
      </c>
      <c r="P114" s="30"/>
      <c r="Q114" s="30"/>
      <c r="R114" s="66">
        <v>828</v>
      </c>
      <c r="S114" s="30">
        <v>828</v>
      </c>
      <c r="T114" s="30">
        <v>828</v>
      </c>
      <c r="U114" s="30">
        <f>ROUNDDOWN(S114/HLOOKUP(D114,Table!$C$3:$D$4,2,0)*8,2)</f>
        <v>14.72</v>
      </c>
      <c r="V114" s="30">
        <v>8</v>
      </c>
      <c r="W114" s="30" t="s">
        <v>21</v>
      </c>
      <c r="X114" s="34"/>
      <c r="Y114" s="34"/>
      <c r="Z114" s="34">
        <v>43906</v>
      </c>
      <c r="AA114" s="34">
        <v>43906</v>
      </c>
      <c r="AB114" s="37" t="s">
        <v>181</v>
      </c>
      <c r="AC114" s="30">
        <v>100</v>
      </c>
      <c r="AD114" s="30">
        <v>100</v>
      </c>
      <c r="AE114" s="30">
        <v>95</v>
      </c>
      <c r="AF114" s="30" t="s">
        <v>377</v>
      </c>
      <c r="AG114" s="33" t="s">
        <v>88</v>
      </c>
    </row>
    <row r="115" spans="1:33" s="94" customFormat="1" hidden="1" x14ac:dyDescent="0.35">
      <c r="A115" s="93"/>
      <c r="B115" s="102">
        <f t="shared" si="11"/>
        <v>113</v>
      </c>
      <c r="C115" s="95">
        <v>20200312</v>
      </c>
      <c r="D115" s="95" t="s">
        <v>3</v>
      </c>
      <c r="E115" s="95" t="s">
        <v>325</v>
      </c>
      <c r="F115" s="96" t="s">
        <v>327</v>
      </c>
      <c r="G115" s="95">
        <v>1264979</v>
      </c>
      <c r="H115" s="111" t="s">
        <v>338</v>
      </c>
      <c r="I115" s="101" t="s">
        <v>217</v>
      </c>
      <c r="J115" s="95">
        <v>81728</v>
      </c>
      <c r="K115" s="95" t="s">
        <v>341</v>
      </c>
      <c r="L115" s="96" t="str">
        <f t="shared" si="10"/>
        <v>-</v>
      </c>
      <c r="M115" s="40" t="s">
        <v>416</v>
      </c>
      <c r="N115" s="27"/>
      <c r="O115" s="95" t="s">
        <v>102</v>
      </c>
      <c r="P115" s="95"/>
      <c r="Q115" s="95"/>
      <c r="R115" s="95">
        <v>107</v>
      </c>
      <c r="S115" s="95">
        <v>107</v>
      </c>
      <c r="T115" s="95">
        <v>107</v>
      </c>
      <c r="U115" s="30">
        <f>ROUNDDOWN(S115/HLOOKUP(D115,Table!$C$3:$D$4,2,0)*8,2)</f>
        <v>1.9</v>
      </c>
      <c r="V115" s="95">
        <v>2</v>
      </c>
      <c r="W115" s="95" t="s">
        <v>21</v>
      </c>
      <c r="X115" s="97"/>
      <c r="Y115" s="97"/>
      <c r="Z115" s="109">
        <v>43906</v>
      </c>
      <c r="AA115" s="105">
        <v>43906</v>
      </c>
      <c r="AB115" s="98" t="s">
        <v>182</v>
      </c>
      <c r="AC115" s="95">
        <v>100</v>
      </c>
      <c r="AD115" s="95">
        <v>100</v>
      </c>
      <c r="AE115" s="95">
        <v>100</v>
      </c>
      <c r="AF115" s="95"/>
      <c r="AG115" s="33" t="s">
        <v>88</v>
      </c>
    </row>
    <row r="116" spans="1:33" hidden="1" x14ac:dyDescent="0.35">
      <c r="B116" s="69">
        <f t="shared" si="11"/>
        <v>114</v>
      </c>
      <c r="C116" s="30">
        <v>20200312</v>
      </c>
      <c r="D116" s="30" t="s">
        <v>3</v>
      </c>
      <c r="E116" s="30" t="s">
        <v>325</v>
      </c>
      <c r="F116" s="33" t="s">
        <v>328</v>
      </c>
      <c r="G116" s="90">
        <v>1264979</v>
      </c>
      <c r="H116" s="30" t="s">
        <v>339</v>
      </c>
      <c r="I116" s="56" t="s">
        <v>217</v>
      </c>
      <c r="J116" s="30">
        <v>81728</v>
      </c>
      <c r="K116" s="30" t="s">
        <v>341</v>
      </c>
      <c r="L116" s="33" t="str">
        <f t="shared" si="10"/>
        <v>-</v>
      </c>
      <c r="M116" s="33" t="s">
        <v>416</v>
      </c>
      <c r="N116" s="32"/>
      <c r="O116" s="30" t="s">
        <v>104</v>
      </c>
      <c r="P116" s="30"/>
      <c r="Q116" s="30"/>
      <c r="R116" s="66">
        <v>1193</v>
      </c>
      <c r="S116" s="30">
        <f>R116</f>
        <v>1193</v>
      </c>
      <c r="T116" s="30">
        <f>S116</f>
        <v>1193</v>
      </c>
      <c r="U116" s="30">
        <f>ROUNDDOWN(S116/HLOOKUP(D116,Table!$C$3:$D$4,2,0)*8,2)</f>
        <v>21.2</v>
      </c>
      <c r="V116" s="30">
        <v>1</v>
      </c>
      <c r="W116" s="30" t="s">
        <v>21</v>
      </c>
      <c r="X116" s="34"/>
      <c r="Y116" s="34"/>
      <c r="Z116" s="34">
        <v>43902</v>
      </c>
      <c r="AA116" s="34">
        <v>43906</v>
      </c>
      <c r="AB116" s="37" t="s">
        <v>182</v>
      </c>
      <c r="AC116" s="30">
        <v>100</v>
      </c>
      <c r="AD116" s="30">
        <v>100</v>
      </c>
      <c r="AE116" s="30">
        <v>100</v>
      </c>
      <c r="AF116" s="30"/>
      <c r="AG116" s="33" t="s">
        <v>88</v>
      </c>
    </row>
    <row r="117" spans="1:33" s="94" customFormat="1" hidden="1" x14ac:dyDescent="0.35">
      <c r="A117" s="93"/>
      <c r="B117" s="102">
        <f t="shared" si="11"/>
        <v>115</v>
      </c>
      <c r="C117" s="95">
        <v>20200312</v>
      </c>
      <c r="D117" s="95" t="s">
        <v>3</v>
      </c>
      <c r="E117" s="95" t="s">
        <v>325</v>
      </c>
      <c r="F117" s="96" t="s">
        <v>329</v>
      </c>
      <c r="G117" s="95">
        <v>1264979</v>
      </c>
      <c r="H117" s="111" t="s">
        <v>340</v>
      </c>
      <c r="I117" s="101" t="s">
        <v>217</v>
      </c>
      <c r="J117" s="95">
        <v>81728</v>
      </c>
      <c r="K117" s="95" t="s">
        <v>341</v>
      </c>
      <c r="L117" s="96" t="str">
        <f t="shared" si="10"/>
        <v>-</v>
      </c>
      <c r="M117" s="40" t="s">
        <v>416</v>
      </c>
      <c r="N117" s="27"/>
      <c r="O117" s="95" t="s">
        <v>102</v>
      </c>
      <c r="P117" s="95"/>
      <c r="Q117" s="95"/>
      <c r="R117" s="95">
        <v>23</v>
      </c>
      <c r="S117" s="95">
        <v>23</v>
      </c>
      <c r="T117" s="134">
        <v>23</v>
      </c>
      <c r="U117" s="30">
        <f>ROUNDDOWN(S117/HLOOKUP(D117,Table!$C$3:$D$4,2,0)*8,2)</f>
        <v>0.4</v>
      </c>
      <c r="V117" s="95">
        <v>1</v>
      </c>
      <c r="W117" s="95" t="s">
        <v>21</v>
      </c>
      <c r="X117" s="97"/>
      <c r="Y117" s="100"/>
      <c r="Z117" s="109">
        <v>43906</v>
      </c>
      <c r="AA117" s="105">
        <v>43906</v>
      </c>
      <c r="AB117" s="98" t="s">
        <v>181</v>
      </c>
      <c r="AC117" s="95">
        <v>87</v>
      </c>
      <c r="AD117" s="95">
        <v>50</v>
      </c>
      <c r="AE117" s="95">
        <v>0</v>
      </c>
      <c r="AF117" s="32" t="s">
        <v>446</v>
      </c>
      <c r="AG117" s="33" t="s">
        <v>88</v>
      </c>
    </row>
    <row r="118" spans="1:33" hidden="1" x14ac:dyDescent="0.35">
      <c r="B118" s="86">
        <f t="shared" si="7"/>
        <v>116</v>
      </c>
      <c r="C118" s="30">
        <v>20200313</v>
      </c>
      <c r="D118" s="30" t="s">
        <v>3</v>
      </c>
      <c r="E118" s="30" t="s">
        <v>363</v>
      </c>
      <c r="F118" s="33" t="s">
        <v>360</v>
      </c>
      <c r="G118" s="70">
        <v>1371489</v>
      </c>
      <c r="H118" s="30" t="s">
        <v>368</v>
      </c>
      <c r="I118" s="56" t="s">
        <v>217</v>
      </c>
      <c r="J118" s="30">
        <v>81923</v>
      </c>
      <c r="K118" s="30" t="s">
        <v>365</v>
      </c>
      <c r="L118" s="33" t="str">
        <f t="shared" si="10"/>
        <v>-</v>
      </c>
      <c r="M118" s="33" t="s">
        <v>417</v>
      </c>
      <c r="N118" s="32"/>
      <c r="O118" s="30" t="s">
        <v>101</v>
      </c>
      <c r="P118" s="30"/>
      <c r="Q118" s="30"/>
      <c r="R118" s="66">
        <v>194</v>
      </c>
      <c r="S118" s="30">
        <v>194</v>
      </c>
      <c r="T118" s="132">
        <v>194</v>
      </c>
      <c r="U118" s="95">
        <f>ROUNDDOWN(S118/HLOOKUP(D118,Table!$C$3:$D$4,2,0)*8,2)</f>
        <v>3.44</v>
      </c>
      <c r="V118" s="30">
        <v>3</v>
      </c>
      <c r="W118" s="30" t="s">
        <v>21</v>
      </c>
      <c r="X118" s="34"/>
      <c r="Y118" s="34">
        <v>43908</v>
      </c>
      <c r="Z118" s="37"/>
      <c r="AA118" s="34">
        <v>43908</v>
      </c>
      <c r="AB118" s="37" t="s">
        <v>182</v>
      </c>
      <c r="AC118" s="30">
        <v>100</v>
      </c>
      <c r="AD118" s="30">
        <v>100</v>
      </c>
      <c r="AE118" s="30">
        <v>100</v>
      </c>
      <c r="AF118" s="30"/>
      <c r="AG118" s="33" t="s">
        <v>88</v>
      </c>
    </row>
    <row r="119" spans="1:33" hidden="1" x14ac:dyDescent="0.35">
      <c r="B119" s="86">
        <f t="shared" si="7"/>
        <v>117</v>
      </c>
      <c r="C119" s="30">
        <v>20200313</v>
      </c>
      <c r="D119" s="30" t="s">
        <v>3</v>
      </c>
      <c r="E119" s="30" t="s">
        <v>363</v>
      </c>
      <c r="F119" s="33" t="s">
        <v>360</v>
      </c>
      <c r="G119" s="70">
        <v>1371489</v>
      </c>
      <c r="H119" s="30" t="s">
        <v>369</v>
      </c>
      <c r="I119" s="56" t="s">
        <v>217</v>
      </c>
      <c r="J119" s="30">
        <v>81923</v>
      </c>
      <c r="K119" s="30" t="s">
        <v>365</v>
      </c>
      <c r="L119" s="33" t="str">
        <f t="shared" si="10"/>
        <v>-</v>
      </c>
      <c r="M119" s="33" t="s">
        <v>417</v>
      </c>
      <c r="N119" s="32"/>
      <c r="O119" s="30" t="s">
        <v>101</v>
      </c>
      <c r="P119" s="30"/>
      <c r="Q119" s="30"/>
      <c r="R119" s="66">
        <v>2</v>
      </c>
      <c r="S119" s="30">
        <v>2</v>
      </c>
      <c r="T119" s="30">
        <v>2</v>
      </c>
      <c r="U119" s="95">
        <f>ROUNDDOWN(S119/HLOOKUP(D119,Table!$C$3:$D$4,2,0)*8,2)</f>
        <v>0.03</v>
      </c>
      <c r="V119" s="30">
        <v>0.03</v>
      </c>
      <c r="W119" s="30" t="s">
        <v>21</v>
      </c>
      <c r="X119" s="34"/>
      <c r="Y119" s="34">
        <v>43908</v>
      </c>
      <c r="Z119" s="37"/>
      <c r="AA119" s="34">
        <v>43908</v>
      </c>
      <c r="AB119" s="37" t="s">
        <v>182</v>
      </c>
      <c r="AC119" s="30">
        <v>100</v>
      </c>
      <c r="AD119" s="30">
        <v>100</v>
      </c>
      <c r="AE119" s="30">
        <v>100</v>
      </c>
      <c r="AF119" s="30"/>
      <c r="AG119" s="33" t="s">
        <v>88</v>
      </c>
    </row>
    <row r="120" spans="1:33" hidden="1" x14ac:dyDescent="0.35">
      <c r="B120" s="86">
        <f t="shared" si="7"/>
        <v>118</v>
      </c>
      <c r="C120" s="30">
        <v>20200313</v>
      </c>
      <c r="D120" s="30" t="s">
        <v>3</v>
      </c>
      <c r="E120" s="27" t="s">
        <v>364</v>
      </c>
      <c r="F120" s="33" t="s">
        <v>361</v>
      </c>
      <c r="G120" s="141">
        <v>1355916</v>
      </c>
      <c r="H120" s="30" t="s">
        <v>370</v>
      </c>
      <c r="I120" s="31" t="s">
        <v>218</v>
      </c>
      <c r="J120" s="33" t="s">
        <v>88</v>
      </c>
      <c r="K120" s="30" t="s">
        <v>366</v>
      </c>
      <c r="L120" s="33" t="str">
        <f t="shared" si="10"/>
        <v>-</v>
      </c>
      <c r="M120" s="33" t="s">
        <v>409</v>
      </c>
      <c r="N120" s="32"/>
      <c r="O120" s="30" t="s">
        <v>104</v>
      </c>
      <c r="P120" s="30"/>
      <c r="Q120" s="30"/>
      <c r="R120" s="66">
        <v>28</v>
      </c>
      <c r="S120" s="66">
        <v>28</v>
      </c>
      <c r="T120" s="66">
        <v>28</v>
      </c>
      <c r="U120" s="30">
        <f>ROUNDDOWN(S120/HLOOKUP(D120,Table!$C$3:$D$4,2,0)*8,2)</f>
        <v>0.49</v>
      </c>
      <c r="V120" s="30">
        <v>1</v>
      </c>
      <c r="W120" s="30" t="s">
        <v>21</v>
      </c>
      <c r="X120" s="34"/>
      <c r="Y120" s="34">
        <v>43908</v>
      </c>
      <c r="Z120" s="34">
        <v>43909</v>
      </c>
      <c r="AA120" s="34">
        <v>43909</v>
      </c>
      <c r="AB120" s="37" t="s">
        <v>182</v>
      </c>
      <c r="AC120" s="30">
        <v>100</v>
      </c>
      <c r="AD120" s="30">
        <v>100</v>
      </c>
      <c r="AE120" s="30">
        <v>100</v>
      </c>
      <c r="AF120" s="30" t="s">
        <v>470</v>
      </c>
      <c r="AG120" s="33" t="s">
        <v>88</v>
      </c>
    </row>
    <row r="121" spans="1:33" hidden="1" x14ac:dyDescent="0.35">
      <c r="B121" s="86">
        <f t="shared" si="7"/>
        <v>119</v>
      </c>
      <c r="C121" s="30">
        <v>20200313</v>
      </c>
      <c r="D121" s="30" t="s">
        <v>3</v>
      </c>
      <c r="E121" s="30" t="s">
        <v>364</v>
      </c>
      <c r="F121" s="33" t="s">
        <v>362</v>
      </c>
      <c r="G121" s="141">
        <v>1355916</v>
      </c>
      <c r="H121" s="30" t="s">
        <v>371</v>
      </c>
      <c r="I121" s="31" t="s">
        <v>218</v>
      </c>
      <c r="J121" s="33" t="s">
        <v>88</v>
      </c>
      <c r="K121" s="30" t="s">
        <v>366</v>
      </c>
      <c r="L121" s="33" t="str">
        <f t="shared" si="10"/>
        <v>-</v>
      </c>
      <c r="M121" s="33" t="s">
        <v>409</v>
      </c>
      <c r="N121" s="32"/>
      <c r="O121" s="30" t="s">
        <v>104</v>
      </c>
      <c r="P121" s="30"/>
      <c r="Q121" s="30"/>
      <c r="R121" s="66">
        <v>226</v>
      </c>
      <c r="S121" s="71">
        <v>226</v>
      </c>
      <c r="T121" s="71">
        <v>226</v>
      </c>
      <c r="U121" s="30">
        <f>ROUNDDOWN(S121/HLOOKUP(D121,Table!$C$3:$D$4,2,0)*8,2)</f>
        <v>4.01</v>
      </c>
      <c r="V121" s="30">
        <v>1</v>
      </c>
      <c r="W121" s="30" t="s">
        <v>21</v>
      </c>
      <c r="X121" s="34"/>
      <c r="Y121" s="34">
        <v>43908</v>
      </c>
      <c r="Z121" s="34">
        <v>43908</v>
      </c>
      <c r="AA121" s="34">
        <v>43908</v>
      </c>
      <c r="AB121" s="37" t="s">
        <v>181</v>
      </c>
      <c r="AC121" s="30">
        <v>100</v>
      </c>
      <c r="AD121" s="30">
        <v>100</v>
      </c>
      <c r="AE121" s="30">
        <v>97</v>
      </c>
      <c r="AF121" s="30" t="s">
        <v>469</v>
      </c>
      <c r="AG121" s="33" t="s">
        <v>88</v>
      </c>
    </row>
    <row r="122" spans="1:33" hidden="1" x14ac:dyDescent="0.35">
      <c r="B122" s="86">
        <f t="shared" si="7"/>
        <v>120</v>
      </c>
      <c r="C122" s="30">
        <v>20200313</v>
      </c>
      <c r="D122" s="30" t="s">
        <v>3</v>
      </c>
      <c r="E122" s="30" t="s">
        <v>364</v>
      </c>
      <c r="F122" s="33" t="s">
        <v>362</v>
      </c>
      <c r="G122" s="141">
        <v>1355916</v>
      </c>
      <c r="H122" s="30" t="s">
        <v>372</v>
      </c>
      <c r="I122" s="31" t="s">
        <v>218</v>
      </c>
      <c r="J122" s="33" t="s">
        <v>88</v>
      </c>
      <c r="K122" s="30" t="s">
        <v>366</v>
      </c>
      <c r="L122" s="33" t="str">
        <f t="shared" si="10"/>
        <v>-</v>
      </c>
      <c r="M122" s="33" t="s">
        <v>409</v>
      </c>
      <c r="N122" s="32"/>
      <c r="O122" s="30" t="s">
        <v>102</v>
      </c>
      <c r="P122" s="30"/>
      <c r="Q122" s="30"/>
      <c r="R122" s="66">
        <v>77</v>
      </c>
      <c r="S122" s="30">
        <v>77</v>
      </c>
      <c r="T122" s="132">
        <v>77</v>
      </c>
      <c r="U122" s="30">
        <f>ROUNDDOWN(S122/HLOOKUP(D122,Table!$C$3:$D$4,2,0)*8,2)</f>
        <v>1.36</v>
      </c>
      <c r="V122" s="30">
        <v>2</v>
      </c>
      <c r="W122" s="30" t="s">
        <v>21</v>
      </c>
      <c r="X122" s="34"/>
      <c r="Y122" s="34">
        <v>43908</v>
      </c>
      <c r="Z122" s="34">
        <v>43908</v>
      </c>
      <c r="AA122" s="34">
        <v>43908</v>
      </c>
      <c r="AB122" s="37" t="s">
        <v>182</v>
      </c>
      <c r="AC122" s="106">
        <v>100</v>
      </c>
      <c r="AD122" s="106">
        <v>100</v>
      </c>
      <c r="AE122" s="106">
        <v>100</v>
      </c>
      <c r="AF122" s="30"/>
      <c r="AG122" s="33" t="s">
        <v>88</v>
      </c>
    </row>
    <row r="123" spans="1:33" hidden="1" x14ac:dyDescent="0.35">
      <c r="B123" s="85">
        <f>B122+1</f>
        <v>121</v>
      </c>
      <c r="C123" s="30">
        <v>20200312</v>
      </c>
      <c r="D123" s="31" t="s">
        <v>2</v>
      </c>
      <c r="E123" s="32" t="s">
        <v>343</v>
      </c>
      <c r="F123" s="33" t="s">
        <v>88</v>
      </c>
      <c r="G123" s="70">
        <v>1367009</v>
      </c>
      <c r="H123" s="70" t="s">
        <v>357</v>
      </c>
      <c r="I123" s="33" t="s">
        <v>88</v>
      </c>
      <c r="J123" s="33" t="s">
        <v>88</v>
      </c>
      <c r="K123" s="71" t="s">
        <v>348</v>
      </c>
      <c r="L123" s="70">
        <v>1.2</v>
      </c>
      <c r="M123" s="74" t="s">
        <v>418</v>
      </c>
      <c r="N123" s="32"/>
      <c r="O123" s="30" t="s">
        <v>101</v>
      </c>
      <c r="P123" s="30"/>
      <c r="Q123" s="30"/>
      <c r="R123" s="72">
        <v>18</v>
      </c>
      <c r="S123" s="30">
        <v>18</v>
      </c>
      <c r="T123" s="144">
        <v>18</v>
      </c>
      <c r="U123" s="72">
        <v>3</v>
      </c>
      <c r="V123" s="30">
        <v>2</v>
      </c>
      <c r="W123" s="30" t="s">
        <v>21</v>
      </c>
      <c r="X123" s="34"/>
      <c r="Y123" s="34">
        <v>43909</v>
      </c>
      <c r="Z123" s="34">
        <v>43909</v>
      </c>
      <c r="AA123" s="34">
        <v>43910</v>
      </c>
      <c r="AB123" s="37" t="s">
        <v>182</v>
      </c>
      <c r="AC123" s="108">
        <v>100</v>
      </c>
      <c r="AD123" s="108">
        <v>100</v>
      </c>
      <c r="AE123" s="108">
        <v>100</v>
      </c>
      <c r="AF123" s="30"/>
      <c r="AG123" s="33" t="s">
        <v>88</v>
      </c>
    </row>
    <row r="124" spans="1:33" s="94" customFormat="1" hidden="1" x14ac:dyDescent="0.25">
      <c r="B124" s="103">
        <f>B123+1</f>
        <v>122</v>
      </c>
      <c r="C124" s="95">
        <v>20200312</v>
      </c>
      <c r="D124" s="104" t="s">
        <v>2</v>
      </c>
      <c r="E124" s="95" t="s">
        <v>343</v>
      </c>
      <c r="F124" s="96" t="s">
        <v>88</v>
      </c>
      <c r="G124" s="95">
        <v>1367009</v>
      </c>
      <c r="H124" s="95" t="s">
        <v>358</v>
      </c>
      <c r="I124" s="96" t="s">
        <v>88</v>
      </c>
      <c r="J124" s="96" t="s">
        <v>88</v>
      </c>
      <c r="K124" s="95" t="s">
        <v>348</v>
      </c>
      <c r="L124" s="95" t="s">
        <v>347</v>
      </c>
      <c r="M124" s="96" t="s">
        <v>418</v>
      </c>
      <c r="N124" s="95"/>
      <c r="O124" s="95" t="s">
        <v>102</v>
      </c>
      <c r="P124" s="95"/>
      <c r="Q124" s="95"/>
      <c r="R124" s="95">
        <v>15</v>
      </c>
      <c r="S124" s="95">
        <v>15</v>
      </c>
      <c r="T124" s="95">
        <v>15</v>
      </c>
      <c r="U124" s="95">
        <v>5</v>
      </c>
      <c r="V124" s="95">
        <v>8</v>
      </c>
      <c r="W124" s="95" t="s">
        <v>21</v>
      </c>
      <c r="X124" s="97"/>
      <c r="Y124" s="97">
        <v>43907</v>
      </c>
      <c r="Z124" s="97"/>
      <c r="AA124" s="105">
        <v>43910</v>
      </c>
      <c r="AB124" s="98" t="s">
        <v>182</v>
      </c>
      <c r="AC124" s="99">
        <v>100</v>
      </c>
      <c r="AD124" s="99">
        <v>100</v>
      </c>
      <c r="AE124" s="99">
        <v>100</v>
      </c>
      <c r="AF124" s="95"/>
      <c r="AG124" s="33" t="s">
        <v>88</v>
      </c>
    </row>
    <row r="125" spans="1:33" hidden="1" x14ac:dyDescent="0.35">
      <c r="B125" s="85">
        <f t="shared" si="7"/>
        <v>123</v>
      </c>
      <c r="C125" s="30">
        <v>20200312</v>
      </c>
      <c r="D125" s="31" t="s">
        <v>2</v>
      </c>
      <c r="E125" s="70" t="s">
        <v>343</v>
      </c>
      <c r="F125" s="33" t="s">
        <v>88</v>
      </c>
      <c r="G125" s="70">
        <v>1366969</v>
      </c>
      <c r="H125" s="70" t="s">
        <v>344</v>
      </c>
      <c r="I125" s="33" t="s">
        <v>88</v>
      </c>
      <c r="J125" s="33" t="s">
        <v>88</v>
      </c>
      <c r="K125" s="71" t="s">
        <v>349</v>
      </c>
      <c r="L125" s="70">
        <v>1.1000000000000001</v>
      </c>
      <c r="M125" s="33" t="s">
        <v>418</v>
      </c>
      <c r="N125" s="32"/>
      <c r="O125" s="30" t="s">
        <v>102</v>
      </c>
      <c r="P125" s="30"/>
      <c r="Q125" s="30"/>
      <c r="R125" s="72">
        <v>8</v>
      </c>
      <c r="S125" s="30">
        <v>8</v>
      </c>
      <c r="T125" s="30">
        <v>8</v>
      </c>
      <c r="U125" s="72">
        <v>3</v>
      </c>
      <c r="V125" s="30">
        <v>1</v>
      </c>
      <c r="W125" s="30" t="s">
        <v>21</v>
      </c>
      <c r="X125" s="34"/>
      <c r="Y125" s="34">
        <v>43907</v>
      </c>
      <c r="Z125" s="37"/>
      <c r="AA125" s="34">
        <v>43910</v>
      </c>
      <c r="AB125" s="37" t="s">
        <v>182</v>
      </c>
      <c r="AC125" s="92">
        <v>100</v>
      </c>
      <c r="AD125" s="92">
        <v>100</v>
      </c>
      <c r="AE125" s="92">
        <v>100</v>
      </c>
      <c r="AF125" s="30"/>
      <c r="AG125" s="33" t="s">
        <v>88</v>
      </c>
    </row>
    <row r="126" spans="1:33" x14ac:dyDescent="0.35">
      <c r="B126" s="85">
        <f t="shared" si="7"/>
        <v>124</v>
      </c>
      <c r="C126" s="30">
        <v>20200312</v>
      </c>
      <c r="D126" s="31" t="s">
        <v>2</v>
      </c>
      <c r="E126" s="71" t="s">
        <v>343</v>
      </c>
      <c r="F126" s="33" t="s">
        <v>88</v>
      </c>
      <c r="G126" s="71">
        <v>1366969</v>
      </c>
      <c r="H126" s="71" t="s">
        <v>345</v>
      </c>
      <c r="I126" s="33" t="s">
        <v>88</v>
      </c>
      <c r="J126" s="33" t="s">
        <v>88</v>
      </c>
      <c r="K126" s="71" t="s">
        <v>349</v>
      </c>
      <c r="L126" s="71">
        <v>1</v>
      </c>
      <c r="M126" s="33" t="s">
        <v>418</v>
      </c>
      <c r="N126" s="32"/>
      <c r="O126" s="48" t="s">
        <v>103</v>
      </c>
      <c r="P126" s="30"/>
      <c r="Q126" s="30"/>
      <c r="R126" s="73">
        <v>8</v>
      </c>
      <c r="S126" s="30"/>
      <c r="T126" s="30"/>
      <c r="U126" s="73">
        <v>3</v>
      </c>
      <c r="V126" s="30"/>
      <c r="W126" s="30"/>
      <c r="X126" s="34"/>
      <c r="Y126" s="34">
        <v>43907</v>
      </c>
      <c r="Z126" s="37"/>
      <c r="AA126" s="34">
        <v>43910</v>
      </c>
      <c r="AB126" s="37"/>
      <c r="AC126" s="30"/>
      <c r="AD126" s="30"/>
      <c r="AE126" s="30"/>
      <c r="AF126" s="30"/>
      <c r="AG126" s="33" t="s">
        <v>88</v>
      </c>
    </row>
    <row r="127" spans="1:33" hidden="1" x14ac:dyDescent="0.35">
      <c r="B127" s="85">
        <f t="shared" si="7"/>
        <v>125</v>
      </c>
      <c r="C127" s="30">
        <v>20200312</v>
      </c>
      <c r="D127" s="31" t="s">
        <v>2</v>
      </c>
      <c r="E127" s="70" t="s">
        <v>343</v>
      </c>
      <c r="F127" s="33" t="s">
        <v>88</v>
      </c>
      <c r="G127" s="70">
        <v>1371465</v>
      </c>
      <c r="H127" s="70" t="s">
        <v>346</v>
      </c>
      <c r="I127" s="33" t="s">
        <v>88</v>
      </c>
      <c r="J127" s="33" t="s">
        <v>88</v>
      </c>
      <c r="K127" s="71" t="s">
        <v>348</v>
      </c>
      <c r="L127" s="70">
        <v>1.1000000000000001</v>
      </c>
      <c r="M127" s="33" t="s">
        <v>418</v>
      </c>
      <c r="N127" s="32"/>
      <c r="O127" s="30" t="s">
        <v>101</v>
      </c>
      <c r="P127" s="30"/>
      <c r="Q127" s="30"/>
      <c r="R127" s="72">
        <v>62</v>
      </c>
      <c r="S127" s="30"/>
      <c r="T127" s="30"/>
      <c r="U127" s="72">
        <v>7</v>
      </c>
      <c r="V127" s="30"/>
      <c r="W127" s="30"/>
      <c r="X127" s="34"/>
      <c r="Y127" s="34">
        <v>43907</v>
      </c>
      <c r="Z127" s="37"/>
      <c r="AA127" s="34">
        <v>43910</v>
      </c>
      <c r="AB127" s="37"/>
      <c r="AC127" s="30"/>
      <c r="AD127" s="30"/>
      <c r="AE127" s="30"/>
      <c r="AF127" s="30"/>
      <c r="AG127" s="33" t="s">
        <v>88</v>
      </c>
    </row>
    <row r="128" spans="1:33" hidden="1" x14ac:dyDescent="0.35">
      <c r="B128" s="85">
        <f>B126+1</f>
        <v>125</v>
      </c>
      <c r="C128" s="32">
        <v>20200317</v>
      </c>
      <c r="D128" s="31" t="s">
        <v>2</v>
      </c>
      <c r="E128" s="30" t="s">
        <v>378</v>
      </c>
      <c r="F128" s="33" t="s">
        <v>88</v>
      </c>
      <c r="G128" s="144">
        <v>1345833</v>
      </c>
      <c r="H128" s="32" t="s">
        <v>382</v>
      </c>
      <c r="I128" s="33" t="s">
        <v>88</v>
      </c>
      <c r="J128" s="33" t="s">
        <v>88</v>
      </c>
      <c r="K128" s="3" t="s">
        <v>381</v>
      </c>
      <c r="L128" s="3" t="s">
        <v>383</v>
      </c>
      <c r="M128" s="33" t="s">
        <v>419</v>
      </c>
      <c r="N128" s="32"/>
      <c r="O128" s="30" t="s">
        <v>101</v>
      </c>
      <c r="P128" s="3"/>
      <c r="Q128" s="30"/>
      <c r="R128" s="72">
        <v>15</v>
      </c>
      <c r="S128" s="3">
        <v>15</v>
      </c>
      <c r="T128" s="3">
        <v>15</v>
      </c>
      <c r="U128" s="30">
        <f>ROUNDDOWN(S128/HLOOKUP(D128,Table!$C$3:$D$4,2,0)*8,2)</f>
        <v>0.92</v>
      </c>
      <c r="V128" s="3">
        <v>2</v>
      </c>
      <c r="W128" s="3" t="s">
        <v>21</v>
      </c>
      <c r="X128" s="3"/>
      <c r="Y128" s="34">
        <v>43907</v>
      </c>
      <c r="Z128" s="34">
        <v>43908</v>
      </c>
      <c r="AA128" s="34">
        <v>43910</v>
      </c>
      <c r="AB128" s="37" t="s">
        <v>182</v>
      </c>
      <c r="AC128" s="92">
        <v>100</v>
      </c>
      <c r="AD128" s="92">
        <v>100</v>
      </c>
      <c r="AE128" s="92">
        <v>100</v>
      </c>
      <c r="AF128" s="30"/>
      <c r="AG128" s="33" t="s">
        <v>88</v>
      </c>
    </row>
    <row r="129" spans="1:33" ht="43.5" hidden="1" x14ac:dyDescent="0.35">
      <c r="B129" s="85">
        <f>B127+1</f>
        <v>126</v>
      </c>
      <c r="C129" s="32">
        <v>20200317</v>
      </c>
      <c r="D129" s="30" t="s">
        <v>3</v>
      </c>
      <c r="E129" s="30" t="s">
        <v>379</v>
      </c>
      <c r="F129" s="33" t="s">
        <v>425</v>
      </c>
      <c r="G129" s="30">
        <v>1376431</v>
      </c>
      <c r="H129" s="70" t="s">
        <v>376</v>
      </c>
      <c r="I129" s="31" t="s">
        <v>218</v>
      </c>
      <c r="J129" s="33">
        <v>80773</v>
      </c>
      <c r="K129" s="3" t="s">
        <v>384</v>
      </c>
      <c r="L129" s="33" t="str">
        <f t="shared" ref="L129:L150" si="12">IF(D129="ASW","PUT_VERSION","-")</f>
        <v>-</v>
      </c>
      <c r="M129" s="33" t="s">
        <v>420</v>
      </c>
      <c r="N129" s="32"/>
      <c r="O129" s="30" t="s">
        <v>102</v>
      </c>
      <c r="P129" s="3"/>
      <c r="Q129" s="30"/>
      <c r="R129" s="112">
        <v>154</v>
      </c>
      <c r="S129" s="121">
        <v>154</v>
      </c>
      <c r="T129" s="48">
        <v>154</v>
      </c>
      <c r="U129" s="48"/>
      <c r="V129" s="48">
        <v>1</v>
      </c>
      <c r="W129" s="48" t="s">
        <v>21</v>
      </c>
      <c r="X129" s="3"/>
      <c r="Y129" s="34">
        <v>43907</v>
      </c>
      <c r="Z129" s="5"/>
      <c r="AA129" s="34">
        <v>43910</v>
      </c>
      <c r="AB129" s="89" t="s">
        <v>181</v>
      </c>
      <c r="AC129" s="3">
        <v>95</v>
      </c>
      <c r="AD129" s="3">
        <v>85</v>
      </c>
      <c r="AE129" s="3">
        <v>100</v>
      </c>
      <c r="AF129" s="91" t="s">
        <v>447</v>
      </c>
      <c r="AG129" s="33" t="s">
        <v>88</v>
      </c>
    </row>
    <row r="130" spans="1:33" hidden="1" x14ac:dyDescent="0.35">
      <c r="B130" s="85">
        <f t="shared" si="7"/>
        <v>127</v>
      </c>
      <c r="C130" s="32">
        <v>20200317</v>
      </c>
      <c r="D130" s="30" t="s">
        <v>3</v>
      </c>
      <c r="E130" s="30" t="s">
        <v>379</v>
      </c>
      <c r="F130" s="33" t="s">
        <v>425</v>
      </c>
      <c r="G130" s="30">
        <v>1376431</v>
      </c>
      <c r="H130" s="70" t="s">
        <v>374</v>
      </c>
      <c r="I130" s="31" t="s">
        <v>218</v>
      </c>
      <c r="J130" s="33">
        <v>80773</v>
      </c>
      <c r="K130" s="3" t="s">
        <v>384</v>
      </c>
      <c r="L130" s="33" t="str">
        <f t="shared" si="12"/>
        <v>-</v>
      </c>
      <c r="M130" s="33" t="s">
        <v>420</v>
      </c>
      <c r="N130" s="32"/>
      <c r="O130" s="30" t="s">
        <v>102</v>
      </c>
      <c r="P130" s="3"/>
      <c r="Q130" s="30"/>
      <c r="R130" s="112">
        <v>120</v>
      </c>
      <c r="S130" s="121">
        <v>120</v>
      </c>
      <c r="T130" s="30">
        <v>120</v>
      </c>
      <c r="U130" s="30"/>
      <c r="V130" s="30">
        <v>2</v>
      </c>
      <c r="W130" s="30" t="s">
        <v>21</v>
      </c>
      <c r="X130" s="34"/>
      <c r="Y130" s="34">
        <v>43907</v>
      </c>
      <c r="Z130" s="37"/>
      <c r="AA130" s="34">
        <v>43910</v>
      </c>
      <c r="AB130" s="3" t="s">
        <v>182</v>
      </c>
      <c r="AC130" s="30">
        <v>100</v>
      </c>
      <c r="AD130" s="30">
        <v>100</v>
      </c>
      <c r="AE130" s="30">
        <v>100</v>
      </c>
      <c r="AF130" s="30"/>
      <c r="AG130" s="33" t="s">
        <v>88</v>
      </c>
    </row>
    <row r="131" spans="1:33" x14ac:dyDescent="0.35">
      <c r="B131" s="85">
        <f t="shared" si="7"/>
        <v>128</v>
      </c>
      <c r="C131" s="32">
        <v>20200317</v>
      </c>
      <c r="D131" s="30" t="s">
        <v>3</v>
      </c>
      <c r="E131" s="30" t="s">
        <v>379</v>
      </c>
      <c r="F131" s="33" t="s">
        <v>425</v>
      </c>
      <c r="G131" s="30">
        <v>1376431</v>
      </c>
      <c r="H131" s="70" t="s">
        <v>375</v>
      </c>
      <c r="I131" s="31" t="s">
        <v>218</v>
      </c>
      <c r="J131" s="33">
        <v>80773</v>
      </c>
      <c r="K131" s="3" t="s">
        <v>384</v>
      </c>
      <c r="L131" s="33" t="str">
        <f t="shared" si="12"/>
        <v>-</v>
      </c>
      <c r="M131" s="33" t="s">
        <v>420</v>
      </c>
      <c r="N131" s="32"/>
      <c r="O131" s="48" t="s">
        <v>103</v>
      </c>
      <c r="P131" s="3"/>
      <c r="Q131" s="30"/>
      <c r="R131" s="112">
        <v>145</v>
      </c>
      <c r="S131" s="121">
        <v>145</v>
      </c>
      <c r="T131" s="30"/>
      <c r="U131" s="30"/>
      <c r="V131" s="30"/>
      <c r="W131" s="30"/>
      <c r="X131" s="34"/>
      <c r="Y131" s="34">
        <v>43907</v>
      </c>
      <c r="Z131" s="37"/>
      <c r="AA131" s="34">
        <v>43910</v>
      </c>
      <c r="AB131" s="3"/>
      <c r="AC131" s="30"/>
      <c r="AD131" s="30"/>
      <c r="AE131" s="30"/>
      <c r="AF131" s="30"/>
      <c r="AG131" s="33" t="s">
        <v>88</v>
      </c>
    </row>
    <row r="132" spans="1:33" hidden="1" x14ac:dyDescent="0.35">
      <c r="B132" s="85">
        <f t="shared" si="7"/>
        <v>129</v>
      </c>
      <c r="C132" s="32">
        <v>20200317</v>
      </c>
      <c r="D132" s="30" t="s">
        <v>3</v>
      </c>
      <c r="E132" s="30" t="s">
        <v>380</v>
      </c>
      <c r="F132" s="33" t="s">
        <v>421</v>
      </c>
      <c r="G132" s="30">
        <v>1375562</v>
      </c>
      <c r="H132" s="70" t="s">
        <v>121</v>
      </c>
      <c r="I132" s="56" t="s">
        <v>217</v>
      </c>
      <c r="J132" s="33" t="s">
        <v>88</v>
      </c>
      <c r="K132" s="30" t="s">
        <v>385</v>
      </c>
      <c r="L132" s="33" t="str">
        <f t="shared" si="12"/>
        <v>-</v>
      </c>
      <c r="M132" s="33" t="s">
        <v>422</v>
      </c>
      <c r="N132" s="32"/>
      <c r="O132" s="30" t="s">
        <v>102</v>
      </c>
      <c r="P132" s="3"/>
      <c r="Q132" s="30"/>
      <c r="R132" s="112">
        <v>371</v>
      </c>
      <c r="S132" s="30">
        <v>371</v>
      </c>
      <c r="T132" s="144">
        <v>371</v>
      </c>
      <c r="U132" s="30"/>
      <c r="V132" s="30">
        <v>2</v>
      </c>
      <c r="W132" s="30" t="s">
        <v>21</v>
      </c>
      <c r="X132" s="34">
        <v>43907</v>
      </c>
      <c r="Y132" s="34">
        <v>43907</v>
      </c>
      <c r="AA132" s="34">
        <v>43910</v>
      </c>
      <c r="AB132" s="37" t="s">
        <v>182</v>
      </c>
      <c r="AC132" s="30">
        <v>100</v>
      </c>
      <c r="AD132" s="30">
        <v>100</v>
      </c>
      <c r="AE132" s="30">
        <v>100</v>
      </c>
      <c r="AF132" s="30"/>
      <c r="AG132" s="33" t="s">
        <v>88</v>
      </c>
    </row>
    <row r="133" spans="1:33" s="113" customFormat="1" hidden="1" x14ac:dyDescent="0.35">
      <c r="B133" s="114">
        <f t="shared" ref="B133:B138" si="13">B132+1</f>
        <v>130</v>
      </c>
      <c r="C133" s="115">
        <v>20200317</v>
      </c>
      <c r="D133" s="115" t="s">
        <v>3</v>
      </c>
      <c r="E133" s="115" t="s">
        <v>386</v>
      </c>
      <c r="F133" s="116" t="s">
        <v>387</v>
      </c>
      <c r="G133" s="115">
        <v>1324814</v>
      </c>
      <c r="H133" s="115" t="s">
        <v>426</v>
      </c>
      <c r="I133" s="117" t="s">
        <v>217</v>
      </c>
      <c r="J133" s="115" t="s">
        <v>436</v>
      </c>
      <c r="K133" s="115" t="s">
        <v>111</v>
      </c>
      <c r="L133" s="116" t="str">
        <f t="shared" ref="L133:L138" si="14">IF(D133="ASW","PUT_VERSION","-")</f>
        <v>-</v>
      </c>
      <c r="M133" s="116" t="s">
        <v>444</v>
      </c>
      <c r="N133" s="115"/>
      <c r="O133" s="115" t="s">
        <v>102</v>
      </c>
      <c r="P133" s="115"/>
      <c r="Q133" s="115"/>
      <c r="R133" s="115">
        <v>32</v>
      </c>
      <c r="S133" s="122">
        <v>209</v>
      </c>
      <c r="T133" s="115">
        <v>209</v>
      </c>
      <c r="U133" s="115"/>
      <c r="V133" s="115">
        <v>2</v>
      </c>
      <c r="W133" s="115" t="s">
        <v>21</v>
      </c>
      <c r="X133" s="115"/>
      <c r="Y133" s="119">
        <v>43915</v>
      </c>
      <c r="Z133" s="119">
        <v>43909</v>
      </c>
      <c r="AA133" s="119">
        <v>43909</v>
      </c>
      <c r="AB133" s="115" t="s">
        <v>182</v>
      </c>
      <c r="AC133" s="115">
        <v>100</v>
      </c>
      <c r="AD133" s="115">
        <v>100</v>
      </c>
      <c r="AE133" s="115">
        <v>100</v>
      </c>
      <c r="AF133" s="115"/>
      <c r="AG133" s="33" t="s">
        <v>88</v>
      </c>
    </row>
    <row r="134" spans="1:33" s="113" customFormat="1" hidden="1" x14ac:dyDescent="0.35">
      <c r="B134" s="114">
        <f t="shared" si="13"/>
        <v>131</v>
      </c>
      <c r="C134" s="115">
        <v>20200317</v>
      </c>
      <c r="D134" s="115" t="s">
        <v>3</v>
      </c>
      <c r="E134" s="115" t="s">
        <v>386</v>
      </c>
      <c r="F134" s="116" t="s">
        <v>388</v>
      </c>
      <c r="G134" s="115">
        <v>1324814</v>
      </c>
      <c r="H134" s="115" t="s">
        <v>427</v>
      </c>
      <c r="I134" s="117" t="s">
        <v>217</v>
      </c>
      <c r="J134" s="115" t="s">
        <v>437</v>
      </c>
      <c r="K134" s="115" t="s">
        <v>111</v>
      </c>
      <c r="L134" s="116" t="str">
        <f t="shared" si="14"/>
        <v>-</v>
      </c>
      <c r="M134" s="116" t="s">
        <v>444</v>
      </c>
      <c r="N134" s="115"/>
      <c r="O134" s="115" t="s">
        <v>102</v>
      </c>
      <c r="P134" s="115"/>
      <c r="Q134" s="115"/>
      <c r="R134" s="115">
        <v>80</v>
      </c>
      <c r="S134" s="115">
        <v>80</v>
      </c>
      <c r="T134" s="115">
        <v>80</v>
      </c>
      <c r="U134" s="115"/>
      <c r="V134" s="115">
        <v>2</v>
      </c>
      <c r="W134" s="115" t="s">
        <v>21</v>
      </c>
      <c r="X134" s="115"/>
      <c r="Y134" s="119">
        <v>43915</v>
      </c>
      <c r="Z134" s="119">
        <v>43909</v>
      </c>
      <c r="AA134" s="119">
        <v>43909</v>
      </c>
      <c r="AB134" s="115" t="s">
        <v>182</v>
      </c>
      <c r="AC134" s="115">
        <v>100</v>
      </c>
      <c r="AD134" s="115">
        <v>100</v>
      </c>
      <c r="AE134" s="115">
        <v>100</v>
      </c>
      <c r="AF134" s="115"/>
      <c r="AG134" s="33" t="s">
        <v>88</v>
      </c>
    </row>
    <row r="135" spans="1:33" s="113" customFormat="1" hidden="1" x14ac:dyDescent="0.35">
      <c r="B135" s="114">
        <f t="shared" si="13"/>
        <v>132</v>
      </c>
      <c r="C135" s="115">
        <v>20200317</v>
      </c>
      <c r="D135" s="115" t="s">
        <v>3</v>
      </c>
      <c r="E135" s="115" t="s">
        <v>386</v>
      </c>
      <c r="F135" s="116" t="s">
        <v>388</v>
      </c>
      <c r="G135" s="115">
        <v>1324814</v>
      </c>
      <c r="H135" s="115" t="s">
        <v>428</v>
      </c>
      <c r="I135" s="117" t="s">
        <v>217</v>
      </c>
      <c r="J135" s="115" t="s">
        <v>438</v>
      </c>
      <c r="K135" s="115" t="s">
        <v>111</v>
      </c>
      <c r="L135" s="116" t="str">
        <f t="shared" si="14"/>
        <v>-</v>
      </c>
      <c r="M135" s="116" t="s">
        <v>444</v>
      </c>
      <c r="N135" s="115"/>
      <c r="O135" s="115" t="s">
        <v>102</v>
      </c>
      <c r="P135" s="115"/>
      <c r="Q135" s="115"/>
      <c r="R135" s="115">
        <v>38</v>
      </c>
      <c r="S135" s="115">
        <v>38</v>
      </c>
      <c r="T135" s="115">
        <v>38</v>
      </c>
      <c r="U135" s="115"/>
      <c r="V135" s="115">
        <v>2</v>
      </c>
      <c r="W135" s="115" t="s">
        <v>21</v>
      </c>
      <c r="X135" s="115"/>
      <c r="Y135" s="119">
        <v>43915</v>
      </c>
      <c r="Z135" s="119">
        <v>43909</v>
      </c>
      <c r="AA135" s="119">
        <v>43909</v>
      </c>
      <c r="AB135" s="115" t="s">
        <v>182</v>
      </c>
      <c r="AC135" s="115">
        <v>100</v>
      </c>
      <c r="AD135" s="115">
        <v>100</v>
      </c>
      <c r="AE135" s="115">
        <v>100</v>
      </c>
      <c r="AF135" s="115"/>
      <c r="AG135" s="33" t="s">
        <v>88</v>
      </c>
    </row>
    <row r="136" spans="1:33" s="113" customFormat="1" hidden="1" x14ac:dyDescent="0.35">
      <c r="B136" s="114">
        <f t="shared" si="13"/>
        <v>133</v>
      </c>
      <c r="C136" s="115">
        <v>20200317</v>
      </c>
      <c r="D136" s="115" t="s">
        <v>3</v>
      </c>
      <c r="E136" s="115" t="s">
        <v>386</v>
      </c>
      <c r="F136" s="116" t="s">
        <v>388</v>
      </c>
      <c r="G136" s="115">
        <v>1324814</v>
      </c>
      <c r="H136" s="115" t="s">
        <v>96</v>
      </c>
      <c r="I136" s="117" t="s">
        <v>217</v>
      </c>
      <c r="J136" s="115" t="s">
        <v>439</v>
      </c>
      <c r="K136" s="115" t="s">
        <v>111</v>
      </c>
      <c r="L136" s="116" t="str">
        <f t="shared" si="14"/>
        <v>-</v>
      </c>
      <c r="M136" s="116" t="s">
        <v>444</v>
      </c>
      <c r="N136" s="115"/>
      <c r="O136" s="115" t="s">
        <v>102</v>
      </c>
      <c r="P136" s="115"/>
      <c r="Q136" s="115"/>
      <c r="R136" s="115">
        <v>110</v>
      </c>
      <c r="S136" s="115">
        <v>110</v>
      </c>
      <c r="T136" s="115">
        <v>110</v>
      </c>
      <c r="U136" s="115"/>
      <c r="V136" s="115">
        <v>1</v>
      </c>
      <c r="W136" s="115" t="s">
        <v>21</v>
      </c>
      <c r="X136" s="115"/>
      <c r="Y136" s="119">
        <v>43915</v>
      </c>
      <c r="Z136" s="119">
        <v>43909</v>
      </c>
      <c r="AA136" s="119">
        <v>43909</v>
      </c>
      <c r="AB136" s="115" t="s">
        <v>182</v>
      </c>
      <c r="AC136" s="115">
        <v>100</v>
      </c>
      <c r="AD136" s="115">
        <v>100</v>
      </c>
      <c r="AE136" s="115">
        <v>100</v>
      </c>
      <c r="AF136" s="115"/>
      <c r="AG136" s="33" t="s">
        <v>88</v>
      </c>
    </row>
    <row r="137" spans="1:33" hidden="1" x14ac:dyDescent="0.35">
      <c r="B137" s="88">
        <f t="shared" si="13"/>
        <v>134</v>
      </c>
      <c r="C137" s="32">
        <v>20200317</v>
      </c>
      <c r="D137" s="30" t="s">
        <v>3</v>
      </c>
      <c r="E137" s="30" t="s">
        <v>386</v>
      </c>
      <c r="F137" s="33" t="s">
        <v>389</v>
      </c>
      <c r="G137" s="30">
        <v>1324814</v>
      </c>
      <c r="H137" s="30" t="s">
        <v>93</v>
      </c>
      <c r="I137" s="56" t="s">
        <v>217</v>
      </c>
      <c r="J137" s="30" t="s">
        <v>440</v>
      </c>
      <c r="K137" s="30" t="s">
        <v>111</v>
      </c>
      <c r="L137" s="33" t="str">
        <f t="shared" si="14"/>
        <v>-</v>
      </c>
      <c r="M137" s="33" t="s">
        <v>444</v>
      </c>
      <c r="N137" s="32"/>
      <c r="O137" s="30" t="s">
        <v>101</v>
      </c>
      <c r="P137" s="30"/>
      <c r="Q137" s="30"/>
      <c r="R137" s="30">
        <v>478</v>
      </c>
      <c r="S137" s="30"/>
      <c r="T137" s="30"/>
      <c r="U137" s="30"/>
      <c r="V137" s="30"/>
      <c r="W137" s="30"/>
      <c r="X137" s="118"/>
      <c r="Y137" s="34">
        <v>43915</v>
      </c>
      <c r="Z137" s="34"/>
      <c r="AA137" s="120"/>
      <c r="AB137" s="118"/>
      <c r="AC137" s="30"/>
      <c r="AD137" s="30"/>
      <c r="AE137" s="30"/>
      <c r="AF137" s="30"/>
      <c r="AG137" s="33" t="s">
        <v>88</v>
      </c>
    </row>
    <row r="138" spans="1:33" s="113" customFormat="1" hidden="1" x14ac:dyDescent="0.35">
      <c r="B138" s="114">
        <f t="shared" si="13"/>
        <v>135</v>
      </c>
      <c r="C138" s="115">
        <v>20200317</v>
      </c>
      <c r="D138" s="115" t="s">
        <v>3</v>
      </c>
      <c r="E138" s="115" t="s">
        <v>386</v>
      </c>
      <c r="F138" s="116" t="s">
        <v>390</v>
      </c>
      <c r="G138" s="115">
        <v>1324814</v>
      </c>
      <c r="H138" s="115" t="s">
        <v>429</v>
      </c>
      <c r="I138" s="117" t="s">
        <v>217</v>
      </c>
      <c r="J138" s="115" t="s">
        <v>441</v>
      </c>
      <c r="K138" s="115" t="s">
        <v>111</v>
      </c>
      <c r="L138" s="116" t="str">
        <f t="shared" si="14"/>
        <v>-</v>
      </c>
      <c r="M138" s="116" t="s">
        <v>444</v>
      </c>
      <c r="N138" s="115"/>
      <c r="O138" s="115" t="s">
        <v>102</v>
      </c>
      <c r="P138" s="115"/>
      <c r="Q138" s="115"/>
      <c r="R138" s="115">
        <v>84</v>
      </c>
      <c r="S138" s="115">
        <v>84</v>
      </c>
      <c r="T138" s="115">
        <v>84</v>
      </c>
      <c r="U138" s="115"/>
      <c r="V138" s="115">
        <v>1</v>
      </c>
      <c r="W138" s="115" t="s">
        <v>21</v>
      </c>
      <c r="X138" s="115"/>
      <c r="Y138" s="119">
        <v>43915</v>
      </c>
      <c r="Z138" s="119">
        <v>43909</v>
      </c>
      <c r="AA138" s="119">
        <v>43909</v>
      </c>
      <c r="AB138" s="115" t="s">
        <v>182</v>
      </c>
      <c r="AC138" s="115">
        <v>100</v>
      </c>
      <c r="AD138" s="115">
        <v>100</v>
      </c>
      <c r="AE138" s="115">
        <v>100</v>
      </c>
      <c r="AF138" s="115"/>
      <c r="AG138" s="33" t="s">
        <v>88</v>
      </c>
    </row>
    <row r="139" spans="1:33" hidden="1" x14ac:dyDescent="0.35">
      <c r="B139" s="88">
        <f t="shared" si="7"/>
        <v>136</v>
      </c>
      <c r="C139" s="32">
        <v>20200317</v>
      </c>
      <c r="D139" s="30" t="s">
        <v>3</v>
      </c>
      <c r="E139" s="30" t="s">
        <v>386</v>
      </c>
      <c r="F139" s="33" t="s">
        <v>387</v>
      </c>
      <c r="G139" s="30">
        <v>1324814</v>
      </c>
      <c r="H139" s="30" t="s">
        <v>302</v>
      </c>
      <c r="I139" s="56" t="s">
        <v>217</v>
      </c>
      <c r="J139" s="30" t="s">
        <v>442</v>
      </c>
      <c r="K139" s="30" t="s">
        <v>111</v>
      </c>
      <c r="L139" s="33" t="str">
        <f t="shared" si="12"/>
        <v>-</v>
      </c>
      <c r="M139" s="33" t="s">
        <v>444</v>
      </c>
      <c r="N139" s="32"/>
      <c r="O139" s="30" t="s">
        <v>101</v>
      </c>
      <c r="P139" s="30"/>
      <c r="Q139" s="30"/>
      <c r="R139" s="30">
        <v>259</v>
      </c>
      <c r="S139" s="30"/>
      <c r="T139" s="30"/>
      <c r="U139" s="30"/>
      <c r="V139" s="30"/>
      <c r="W139" s="30"/>
      <c r="X139" s="34"/>
      <c r="Y139" s="34"/>
      <c r="Z139" s="37"/>
      <c r="AA139" s="34">
        <v>43915</v>
      </c>
      <c r="AB139" s="37"/>
      <c r="AC139" s="30"/>
      <c r="AD139" s="30"/>
      <c r="AE139" s="30"/>
      <c r="AF139" s="30"/>
      <c r="AG139" s="33" t="s">
        <v>88</v>
      </c>
    </row>
    <row r="140" spans="1:33" x14ac:dyDescent="0.35">
      <c r="B140" s="88">
        <f t="shared" si="7"/>
        <v>137</v>
      </c>
      <c r="C140" s="32">
        <v>20200317</v>
      </c>
      <c r="D140" s="30" t="s">
        <v>3</v>
      </c>
      <c r="E140" s="30" t="s">
        <v>423</v>
      </c>
      <c r="F140" s="33" t="s">
        <v>391</v>
      </c>
      <c r="G140" s="30">
        <v>1297584</v>
      </c>
      <c r="H140" s="30" t="s">
        <v>430</v>
      </c>
      <c r="I140" s="56" t="s">
        <v>217</v>
      </c>
      <c r="J140" s="33" t="s">
        <v>88</v>
      </c>
      <c r="K140" s="30" t="s">
        <v>443</v>
      </c>
      <c r="L140" s="33" t="str">
        <f t="shared" si="12"/>
        <v>-</v>
      </c>
      <c r="M140" s="33" t="s">
        <v>445</v>
      </c>
      <c r="N140" s="32"/>
      <c r="O140" s="48" t="s">
        <v>103</v>
      </c>
      <c r="P140" s="30"/>
      <c r="Q140" s="30"/>
      <c r="R140" s="30">
        <v>34</v>
      </c>
      <c r="S140" s="30">
        <v>439</v>
      </c>
      <c r="T140" s="30">
        <v>439</v>
      </c>
      <c r="U140" s="30">
        <v>7</v>
      </c>
      <c r="V140" s="30">
        <v>6</v>
      </c>
      <c r="W140" s="30" t="s">
        <v>21</v>
      </c>
      <c r="X140" s="34"/>
      <c r="Y140" s="34"/>
      <c r="Z140" s="34">
        <v>43909</v>
      </c>
      <c r="AA140" s="34">
        <v>43909</v>
      </c>
      <c r="AB140" s="37" t="s">
        <v>181</v>
      </c>
      <c r="AC140" s="30">
        <v>100</v>
      </c>
      <c r="AD140" s="30">
        <v>100</v>
      </c>
      <c r="AE140" s="30">
        <v>36</v>
      </c>
      <c r="AF140" s="33" t="s">
        <v>472</v>
      </c>
      <c r="AG140" s="33" t="s">
        <v>88</v>
      </c>
    </row>
    <row r="141" spans="1:33" x14ac:dyDescent="0.35">
      <c r="B141" s="88">
        <f t="shared" si="7"/>
        <v>138</v>
      </c>
      <c r="C141" s="32">
        <v>20200317</v>
      </c>
      <c r="D141" s="30" t="s">
        <v>3</v>
      </c>
      <c r="E141" s="30" t="s">
        <v>423</v>
      </c>
      <c r="F141" s="33" t="s">
        <v>392</v>
      </c>
      <c r="G141" s="30">
        <v>1297584</v>
      </c>
      <c r="H141" s="30" t="s">
        <v>292</v>
      </c>
      <c r="I141" s="56" t="s">
        <v>217</v>
      </c>
      <c r="J141" s="33" t="s">
        <v>88</v>
      </c>
      <c r="K141" s="30" t="s">
        <v>443</v>
      </c>
      <c r="L141" s="33" t="str">
        <f t="shared" si="12"/>
        <v>-</v>
      </c>
      <c r="M141" s="33" t="s">
        <v>445</v>
      </c>
      <c r="N141" s="32"/>
      <c r="O141" s="48" t="s">
        <v>103</v>
      </c>
      <c r="P141" s="30"/>
      <c r="Q141" s="30"/>
      <c r="R141" s="30">
        <v>130</v>
      </c>
      <c r="S141" s="30">
        <v>288</v>
      </c>
      <c r="T141" s="30">
        <v>288</v>
      </c>
      <c r="U141" s="30">
        <f>ROUNDDOWN(S141/HLOOKUP(D141,Table!$C$3:$D$4,2,0)*8,2)</f>
        <v>5.12</v>
      </c>
      <c r="V141" s="30">
        <v>2</v>
      </c>
      <c r="W141" s="30" t="s">
        <v>21</v>
      </c>
      <c r="X141" s="34"/>
      <c r="Y141" s="34"/>
      <c r="Z141" s="34">
        <v>43909</v>
      </c>
      <c r="AA141" s="34">
        <v>43909</v>
      </c>
      <c r="AB141" s="37" t="s">
        <v>182</v>
      </c>
      <c r="AC141" s="30">
        <v>100</v>
      </c>
      <c r="AD141" s="30">
        <v>100</v>
      </c>
      <c r="AE141" s="30">
        <v>100</v>
      </c>
      <c r="AF141" s="30"/>
      <c r="AG141" s="33" t="s">
        <v>88</v>
      </c>
    </row>
    <row r="142" spans="1:33" x14ac:dyDescent="0.35">
      <c r="B142" s="88">
        <f t="shared" si="7"/>
        <v>139</v>
      </c>
      <c r="C142" s="32">
        <v>20200317</v>
      </c>
      <c r="D142" s="30" t="s">
        <v>3</v>
      </c>
      <c r="E142" s="30" t="s">
        <v>423</v>
      </c>
      <c r="F142" s="33" t="s">
        <v>392</v>
      </c>
      <c r="G142" s="30">
        <v>1297584</v>
      </c>
      <c r="H142" s="30" t="s">
        <v>431</v>
      </c>
      <c r="I142" s="56" t="s">
        <v>217</v>
      </c>
      <c r="J142" s="33" t="s">
        <v>88</v>
      </c>
      <c r="K142" s="30" t="s">
        <v>443</v>
      </c>
      <c r="L142" s="33" t="str">
        <f t="shared" si="12"/>
        <v>-</v>
      </c>
      <c r="M142" s="33" t="s">
        <v>445</v>
      </c>
      <c r="N142" s="32"/>
      <c r="O142" s="48" t="s">
        <v>103</v>
      </c>
      <c r="P142" s="30"/>
      <c r="Q142" s="30"/>
      <c r="R142" s="30">
        <v>29</v>
      </c>
      <c r="S142" s="30">
        <v>29</v>
      </c>
      <c r="T142" s="30"/>
      <c r="U142" s="30"/>
      <c r="V142" s="30"/>
      <c r="W142" s="30"/>
      <c r="X142" s="34"/>
      <c r="Y142" s="34"/>
      <c r="Z142" s="37"/>
      <c r="AA142" s="34">
        <v>43915</v>
      </c>
      <c r="AB142" s="37"/>
      <c r="AC142" s="30"/>
      <c r="AD142" s="30"/>
      <c r="AE142" s="30"/>
      <c r="AF142" s="30"/>
      <c r="AG142" s="30"/>
    </row>
    <row r="143" spans="1:33" hidden="1" x14ac:dyDescent="0.35">
      <c r="B143" s="88">
        <f t="shared" si="7"/>
        <v>140</v>
      </c>
      <c r="C143" s="32">
        <v>20200317</v>
      </c>
      <c r="D143" s="30" t="s">
        <v>3</v>
      </c>
      <c r="E143" s="30" t="s">
        <v>423</v>
      </c>
      <c r="F143" s="33" t="s">
        <v>392</v>
      </c>
      <c r="G143" s="30">
        <v>1297584</v>
      </c>
      <c r="H143" s="30" t="s">
        <v>432</v>
      </c>
      <c r="I143" s="56" t="s">
        <v>217</v>
      </c>
      <c r="J143" s="33" t="s">
        <v>88</v>
      </c>
      <c r="K143" s="30" t="s">
        <v>443</v>
      </c>
      <c r="L143" s="33" t="str">
        <f t="shared" si="12"/>
        <v>-</v>
      </c>
      <c r="M143" s="33" t="s">
        <v>445</v>
      </c>
      <c r="N143" s="32"/>
      <c r="O143" s="30" t="s">
        <v>101</v>
      </c>
      <c r="P143" s="30"/>
      <c r="Q143" s="30"/>
      <c r="R143" s="30">
        <v>162</v>
      </c>
      <c r="S143" s="30"/>
      <c r="T143" s="30"/>
      <c r="U143" s="30"/>
      <c r="V143" s="30"/>
      <c r="W143" s="30"/>
      <c r="X143" s="34"/>
      <c r="Y143" s="34"/>
      <c r="Z143" s="37"/>
      <c r="AA143" s="34">
        <v>43915</v>
      </c>
      <c r="AB143" s="37"/>
      <c r="AC143" s="30"/>
      <c r="AD143" s="30"/>
      <c r="AE143" s="30"/>
      <c r="AF143" s="30"/>
      <c r="AG143" s="30"/>
    </row>
    <row r="144" spans="1:33" x14ac:dyDescent="0.35">
      <c r="B144" s="88">
        <f t="shared" si="7"/>
        <v>141</v>
      </c>
      <c r="C144" s="32">
        <v>20200317</v>
      </c>
      <c r="D144" s="30" t="s">
        <v>3</v>
      </c>
      <c r="E144" s="30" t="s">
        <v>423</v>
      </c>
      <c r="F144" s="33" t="s">
        <v>392</v>
      </c>
      <c r="G144" s="30">
        <v>1297584</v>
      </c>
      <c r="H144" s="30" t="s">
        <v>433</v>
      </c>
      <c r="I144" s="56" t="s">
        <v>217</v>
      </c>
      <c r="J144" s="33" t="s">
        <v>88</v>
      </c>
      <c r="K144" s="30" t="s">
        <v>443</v>
      </c>
      <c r="L144" s="33" t="str">
        <f t="shared" si="12"/>
        <v>-</v>
      </c>
      <c r="M144" s="33" t="s">
        <v>445</v>
      </c>
      <c r="N144" s="32"/>
      <c r="O144" s="48" t="s">
        <v>103</v>
      </c>
      <c r="P144" s="30"/>
      <c r="Q144" s="30"/>
      <c r="R144" s="30">
        <v>95</v>
      </c>
      <c r="S144" s="30">
        <v>95</v>
      </c>
      <c r="T144" s="30"/>
      <c r="U144" s="30"/>
      <c r="V144" s="30"/>
      <c r="W144" s="30"/>
      <c r="X144" s="34"/>
      <c r="Y144" s="34"/>
      <c r="Z144" s="37"/>
      <c r="AA144" s="34">
        <v>43915</v>
      </c>
      <c r="AB144" s="37"/>
      <c r="AC144" s="30"/>
      <c r="AD144" s="30"/>
      <c r="AE144" s="30"/>
      <c r="AF144" s="30"/>
      <c r="AG144" s="30"/>
    </row>
    <row r="145" spans="1:33" hidden="1" x14ac:dyDescent="0.35">
      <c r="B145" s="88">
        <f t="shared" si="7"/>
        <v>142</v>
      </c>
      <c r="C145" s="32">
        <v>20200317</v>
      </c>
      <c r="D145" s="30" t="s">
        <v>3</v>
      </c>
      <c r="E145" s="30" t="s">
        <v>423</v>
      </c>
      <c r="F145" s="33" t="s">
        <v>392</v>
      </c>
      <c r="G145" s="30">
        <v>1297584</v>
      </c>
      <c r="H145" s="30" t="s">
        <v>434</v>
      </c>
      <c r="I145" s="56" t="s">
        <v>217</v>
      </c>
      <c r="J145" s="33" t="s">
        <v>88</v>
      </c>
      <c r="K145" s="30" t="s">
        <v>443</v>
      </c>
      <c r="L145" s="33" t="str">
        <f t="shared" si="12"/>
        <v>-</v>
      </c>
      <c r="M145" s="33" t="s">
        <v>445</v>
      </c>
      <c r="N145" s="32"/>
      <c r="O145" s="30" t="s">
        <v>101</v>
      </c>
      <c r="P145" s="30"/>
      <c r="Q145" s="30"/>
      <c r="R145" s="30">
        <v>170</v>
      </c>
      <c r="S145" s="30"/>
      <c r="T145" s="30"/>
      <c r="U145" s="30"/>
      <c r="V145" s="30"/>
      <c r="W145" s="30"/>
      <c r="X145" s="34"/>
      <c r="Y145" s="34"/>
      <c r="Z145" s="37"/>
      <c r="AA145" s="34">
        <v>43915</v>
      </c>
      <c r="AB145" s="37"/>
      <c r="AC145" s="30"/>
      <c r="AD145" s="30"/>
      <c r="AE145" s="30"/>
      <c r="AF145" s="30"/>
      <c r="AG145" s="30"/>
    </row>
    <row r="146" spans="1:33" x14ac:dyDescent="0.35">
      <c r="B146" s="88">
        <f t="shared" si="7"/>
        <v>143</v>
      </c>
      <c r="C146" s="32">
        <v>20200317</v>
      </c>
      <c r="D146" s="30" t="s">
        <v>3</v>
      </c>
      <c r="E146" s="30" t="s">
        <v>423</v>
      </c>
      <c r="F146" s="33" t="s">
        <v>393</v>
      </c>
      <c r="G146" s="30">
        <v>1297584</v>
      </c>
      <c r="H146" s="30" t="s">
        <v>435</v>
      </c>
      <c r="I146" s="56" t="s">
        <v>217</v>
      </c>
      <c r="J146" s="33" t="s">
        <v>88</v>
      </c>
      <c r="K146" s="30" t="s">
        <v>443</v>
      </c>
      <c r="L146" s="33" t="str">
        <f t="shared" si="12"/>
        <v>-</v>
      </c>
      <c r="M146" s="33" t="s">
        <v>445</v>
      </c>
      <c r="N146" s="32"/>
      <c r="O146" s="48" t="s">
        <v>103</v>
      </c>
      <c r="P146" s="30"/>
      <c r="Q146" s="30"/>
      <c r="R146" s="30">
        <v>10</v>
      </c>
      <c r="S146" s="30">
        <v>10</v>
      </c>
      <c r="T146" s="30"/>
      <c r="U146" s="30"/>
      <c r="V146" s="30"/>
      <c r="W146" s="30"/>
      <c r="X146" s="34"/>
      <c r="Y146" s="34"/>
      <c r="Z146" s="37"/>
      <c r="AA146" s="34">
        <v>43915</v>
      </c>
      <c r="AB146" s="37"/>
      <c r="AC146" s="30"/>
      <c r="AD146" s="30"/>
      <c r="AE146" s="30"/>
      <c r="AF146" s="30"/>
      <c r="AG146" s="30"/>
    </row>
    <row r="147" spans="1:33" x14ac:dyDescent="0.35">
      <c r="B147" s="140">
        <f t="shared" si="7"/>
        <v>144</v>
      </c>
      <c r="C147" s="32">
        <v>20200318</v>
      </c>
      <c r="D147" s="30" t="s">
        <v>3</v>
      </c>
      <c r="E147" s="30" t="s">
        <v>448</v>
      </c>
      <c r="F147" s="33" t="s">
        <v>450</v>
      </c>
      <c r="G147" s="30">
        <v>1375788</v>
      </c>
      <c r="H147" s="30" t="s">
        <v>451</v>
      </c>
      <c r="I147" s="56" t="s">
        <v>217</v>
      </c>
      <c r="J147" s="33" t="s">
        <v>88</v>
      </c>
      <c r="K147" s="30" t="s">
        <v>455</v>
      </c>
      <c r="L147" s="33" t="str">
        <f t="shared" si="12"/>
        <v>-</v>
      </c>
      <c r="M147" s="33" t="s">
        <v>457</v>
      </c>
      <c r="N147" s="32"/>
      <c r="O147" s="48" t="s">
        <v>103</v>
      </c>
      <c r="P147" s="30"/>
      <c r="Q147" s="30"/>
      <c r="R147" s="30">
        <v>125</v>
      </c>
      <c r="S147" s="30"/>
      <c r="T147" s="30"/>
      <c r="U147" s="30"/>
      <c r="V147" s="30"/>
      <c r="W147" s="30"/>
      <c r="X147" s="34"/>
      <c r="Y147" s="34"/>
      <c r="Z147" s="37"/>
      <c r="AA147" s="34">
        <v>43916</v>
      </c>
      <c r="AB147" s="37"/>
      <c r="AC147" s="30"/>
      <c r="AD147" s="30"/>
      <c r="AE147" s="30"/>
      <c r="AF147" s="30"/>
      <c r="AG147" s="30"/>
    </row>
    <row r="148" spans="1:33" x14ac:dyDescent="0.35">
      <c r="B148" s="140">
        <f t="shared" si="7"/>
        <v>145</v>
      </c>
      <c r="C148" s="32">
        <v>20200318</v>
      </c>
      <c r="D148" s="30" t="s">
        <v>3</v>
      </c>
      <c r="E148" s="30" t="s">
        <v>448</v>
      </c>
      <c r="F148" s="33" t="s">
        <v>450</v>
      </c>
      <c r="G148" s="30">
        <v>1375788</v>
      </c>
      <c r="H148" s="30" t="s">
        <v>452</v>
      </c>
      <c r="I148" s="56" t="s">
        <v>217</v>
      </c>
      <c r="J148" s="33" t="s">
        <v>88</v>
      </c>
      <c r="K148" s="30" t="s">
        <v>455</v>
      </c>
      <c r="L148" s="33" t="str">
        <f t="shared" si="12"/>
        <v>-</v>
      </c>
      <c r="M148" s="33" t="s">
        <v>457</v>
      </c>
      <c r="N148" s="32"/>
      <c r="O148" s="48" t="s">
        <v>103</v>
      </c>
      <c r="P148" s="30"/>
      <c r="Q148" s="30"/>
      <c r="R148" s="30">
        <v>33</v>
      </c>
      <c r="S148" s="30"/>
      <c r="T148" s="30"/>
      <c r="U148" s="30"/>
      <c r="V148" s="30"/>
      <c r="W148" s="30"/>
      <c r="X148" s="34"/>
      <c r="Y148" s="34"/>
      <c r="Z148" s="37"/>
      <c r="AA148" s="34">
        <v>43916</v>
      </c>
      <c r="AB148" s="37"/>
      <c r="AC148" s="30"/>
      <c r="AD148" s="30"/>
      <c r="AE148" s="30"/>
      <c r="AF148" s="30"/>
      <c r="AG148" s="30"/>
    </row>
    <row r="149" spans="1:33" x14ac:dyDescent="0.35">
      <c r="B149" s="140">
        <f t="shared" si="7"/>
        <v>146</v>
      </c>
      <c r="C149" s="32">
        <v>20200318</v>
      </c>
      <c r="D149" s="30" t="s">
        <v>3</v>
      </c>
      <c r="E149" s="30" t="s">
        <v>449</v>
      </c>
      <c r="F149" s="49" t="s">
        <v>463</v>
      </c>
      <c r="G149" s="30">
        <v>1373324</v>
      </c>
      <c r="H149" s="30" t="s">
        <v>453</v>
      </c>
      <c r="I149" s="56" t="s">
        <v>217</v>
      </c>
      <c r="J149" s="33" t="s">
        <v>88</v>
      </c>
      <c r="K149" s="30" t="s">
        <v>456</v>
      </c>
      <c r="L149" s="33" t="str">
        <f t="shared" si="12"/>
        <v>-</v>
      </c>
      <c r="M149" s="33" t="s">
        <v>458</v>
      </c>
      <c r="N149" s="32"/>
      <c r="O149" s="48" t="s">
        <v>103</v>
      </c>
      <c r="P149" s="30"/>
      <c r="Q149" s="30"/>
      <c r="R149" s="30">
        <v>178</v>
      </c>
      <c r="S149" s="30"/>
      <c r="T149" s="30"/>
      <c r="U149" s="30"/>
      <c r="V149" s="30"/>
      <c r="W149" s="30"/>
      <c r="X149" s="34"/>
      <c r="Y149" s="34"/>
      <c r="Z149" s="37"/>
      <c r="AA149" s="34">
        <v>43916</v>
      </c>
      <c r="AB149" s="37"/>
      <c r="AC149" s="30"/>
      <c r="AD149" s="30"/>
      <c r="AE149" s="30"/>
      <c r="AF149" s="30"/>
      <c r="AG149" s="30"/>
    </row>
    <row r="150" spans="1:33" hidden="1" x14ac:dyDescent="0.35">
      <c r="B150" s="140">
        <f t="shared" si="7"/>
        <v>147</v>
      </c>
      <c r="C150" s="32">
        <v>20200318</v>
      </c>
      <c r="D150" s="30" t="s">
        <v>3</v>
      </c>
      <c r="E150" s="30" t="s">
        <v>449</v>
      </c>
      <c r="F150" s="33" t="s">
        <v>463</v>
      </c>
      <c r="G150" s="30">
        <v>1373324</v>
      </c>
      <c r="H150" s="30" t="s">
        <v>454</v>
      </c>
      <c r="I150" s="56" t="s">
        <v>217</v>
      </c>
      <c r="J150" s="33" t="s">
        <v>88</v>
      </c>
      <c r="K150" s="30" t="s">
        <v>456</v>
      </c>
      <c r="L150" s="33" t="str">
        <f t="shared" si="12"/>
        <v>-</v>
      </c>
      <c r="M150" s="33" t="s">
        <v>458</v>
      </c>
      <c r="N150" s="32"/>
      <c r="O150" s="30" t="s">
        <v>101</v>
      </c>
      <c r="P150" s="30"/>
      <c r="Q150" s="30"/>
      <c r="R150" s="30">
        <v>196</v>
      </c>
      <c r="S150" s="30"/>
      <c r="T150" s="30"/>
      <c r="U150" s="30"/>
      <c r="V150" s="30"/>
      <c r="W150" s="30"/>
      <c r="X150" s="34"/>
      <c r="Y150" s="34"/>
      <c r="Z150" s="37"/>
      <c r="AA150" s="34">
        <v>43916</v>
      </c>
      <c r="AB150" s="37"/>
      <c r="AC150" s="30"/>
      <c r="AD150" s="30"/>
      <c r="AE150" s="30"/>
      <c r="AF150" s="30"/>
      <c r="AG150" s="30"/>
    </row>
    <row r="151" spans="1:33" hidden="1" x14ac:dyDescent="0.35">
      <c r="B151" s="140">
        <f t="shared" si="7"/>
        <v>148</v>
      </c>
      <c r="C151" s="30">
        <v>20200319</v>
      </c>
      <c r="D151" s="30" t="s">
        <v>3</v>
      </c>
      <c r="E151" s="48" t="s">
        <v>459</v>
      </c>
      <c r="F151" s="49" t="s">
        <v>460</v>
      </c>
      <c r="G151" s="48">
        <v>1380105</v>
      </c>
      <c r="H151" s="48" t="s">
        <v>461</v>
      </c>
      <c r="I151" s="56" t="s">
        <v>217</v>
      </c>
      <c r="J151" s="33" t="s">
        <v>88</v>
      </c>
      <c r="K151" s="30" t="s">
        <v>456</v>
      </c>
      <c r="L151" s="33" t="str">
        <f>IF(D151="ASW","PUT_VERSION","-")</f>
        <v>-</v>
      </c>
      <c r="M151" s="49" t="s">
        <v>462</v>
      </c>
      <c r="N151" s="32"/>
      <c r="O151" s="30" t="s">
        <v>101</v>
      </c>
      <c r="P151" s="30"/>
      <c r="Q151" s="30"/>
      <c r="R151" s="30">
        <v>417</v>
      </c>
      <c r="S151" s="30"/>
      <c r="T151" s="30"/>
      <c r="U151" s="30"/>
      <c r="V151" s="30"/>
      <c r="W151" s="30"/>
      <c r="X151" s="34"/>
      <c r="Y151" s="34"/>
      <c r="Z151" s="37"/>
      <c r="AA151" s="34">
        <v>43916</v>
      </c>
      <c r="AB151" s="37"/>
      <c r="AC151" s="30"/>
      <c r="AD151" s="30"/>
      <c r="AE151" s="30"/>
      <c r="AF151" s="30"/>
      <c r="AG151" s="30"/>
    </row>
    <row r="152" spans="1:33" hidden="1" x14ac:dyDescent="0.35">
      <c r="B152" s="38">
        <f t="shared" si="7"/>
        <v>149</v>
      </c>
      <c r="C152" s="30">
        <v>20200313</v>
      </c>
      <c r="D152" s="31" t="s">
        <v>2</v>
      </c>
      <c r="E152" s="30" t="s">
        <v>464</v>
      </c>
      <c r="F152" s="33" t="s">
        <v>88</v>
      </c>
      <c r="G152" s="30">
        <v>1366593</v>
      </c>
      <c r="H152" s="30" t="s">
        <v>465</v>
      </c>
      <c r="I152" s="33" t="s">
        <v>88</v>
      </c>
      <c r="J152" s="33" t="s">
        <v>88</v>
      </c>
      <c r="K152" s="30" t="s">
        <v>466</v>
      </c>
      <c r="L152" s="107" t="s">
        <v>467</v>
      </c>
      <c r="M152" s="33" t="s">
        <v>468</v>
      </c>
      <c r="N152" s="32"/>
      <c r="O152" s="30" t="s">
        <v>101</v>
      </c>
      <c r="P152" s="30"/>
      <c r="Q152" s="30"/>
      <c r="R152" s="30">
        <v>104</v>
      </c>
      <c r="S152" s="30">
        <v>104</v>
      </c>
      <c r="T152" s="30">
        <v>104</v>
      </c>
      <c r="U152" s="30">
        <f>ROUNDDOWN(S152/HLOOKUP(D152,Table!$C$3:$D$4,2,0)*8,2)</f>
        <v>6.4</v>
      </c>
      <c r="V152" s="30">
        <v>6</v>
      </c>
      <c r="W152" s="30" t="s">
        <v>21</v>
      </c>
      <c r="X152" s="34"/>
      <c r="Y152" s="34">
        <v>43909</v>
      </c>
      <c r="Z152" s="34">
        <v>43910</v>
      </c>
      <c r="AA152" s="34">
        <v>43909</v>
      </c>
      <c r="AB152" s="37" t="s">
        <v>182</v>
      </c>
      <c r="AC152" s="30">
        <v>100</v>
      </c>
      <c r="AD152" s="30">
        <v>100</v>
      </c>
      <c r="AE152" s="30">
        <v>100</v>
      </c>
      <c r="AF152" s="30"/>
      <c r="AG152" s="30"/>
    </row>
    <row r="153" spans="1:33" hidden="1" x14ac:dyDescent="0.35">
      <c r="B153" s="38">
        <f t="shared" si="7"/>
        <v>150</v>
      </c>
      <c r="C153" s="30">
        <v>20200319</v>
      </c>
      <c r="D153" s="31" t="s">
        <v>2</v>
      </c>
      <c r="E153" s="30" t="s">
        <v>473</v>
      </c>
      <c r="F153" s="33" t="s">
        <v>88</v>
      </c>
      <c r="G153" s="30">
        <v>1380028</v>
      </c>
      <c r="H153" s="30" t="s">
        <v>476</v>
      </c>
      <c r="I153" s="33" t="s">
        <v>88</v>
      </c>
      <c r="J153" s="33" t="s">
        <v>88</v>
      </c>
      <c r="K153" s="30" t="s">
        <v>484</v>
      </c>
      <c r="L153" s="33" t="s">
        <v>488</v>
      </c>
      <c r="M153" s="33" t="s">
        <v>495</v>
      </c>
      <c r="N153" s="32"/>
      <c r="O153" s="30" t="s">
        <v>102</v>
      </c>
      <c r="P153" s="30"/>
      <c r="Q153" s="30"/>
      <c r="R153" s="30">
        <v>14</v>
      </c>
      <c r="S153" s="30"/>
      <c r="T153" s="30"/>
      <c r="U153" s="30"/>
      <c r="V153" s="30"/>
      <c r="W153" s="30"/>
      <c r="X153" s="34"/>
      <c r="Y153" s="34"/>
      <c r="Z153" s="37"/>
      <c r="AA153" s="34">
        <v>43917</v>
      </c>
      <c r="AB153" s="37"/>
      <c r="AC153" s="30"/>
      <c r="AD153" s="30"/>
      <c r="AE153" s="30"/>
      <c r="AF153" s="30"/>
      <c r="AG153" s="30"/>
    </row>
    <row r="154" spans="1:33" hidden="1" x14ac:dyDescent="0.35">
      <c r="B154" s="38">
        <f t="shared" si="7"/>
        <v>151</v>
      </c>
      <c r="C154" s="30">
        <v>20200319</v>
      </c>
      <c r="D154" s="31" t="s">
        <v>2</v>
      </c>
      <c r="E154" s="30" t="s">
        <v>386</v>
      </c>
      <c r="F154" s="33" t="s">
        <v>88</v>
      </c>
      <c r="G154" s="30">
        <v>1379963</v>
      </c>
      <c r="H154" s="30" t="s">
        <v>477</v>
      </c>
      <c r="I154" s="33" t="s">
        <v>88</v>
      </c>
      <c r="J154" s="33" t="s">
        <v>88</v>
      </c>
      <c r="K154" s="30" t="s">
        <v>485</v>
      </c>
      <c r="L154" s="33" t="s">
        <v>489</v>
      </c>
      <c r="M154" s="33" t="s">
        <v>496</v>
      </c>
      <c r="N154" s="32"/>
      <c r="O154" s="30"/>
      <c r="P154" s="30"/>
      <c r="Q154" s="30"/>
      <c r="R154" s="30">
        <v>62</v>
      </c>
      <c r="S154" s="30"/>
      <c r="T154" s="30"/>
      <c r="U154" s="30"/>
      <c r="V154" s="30"/>
      <c r="W154" s="30"/>
      <c r="X154" s="34"/>
      <c r="Y154" s="34"/>
      <c r="Z154" s="37"/>
      <c r="AA154" s="34">
        <v>43917</v>
      </c>
      <c r="AB154" s="37"/>
      <c r="AC154" s="30"/>
      <c r="AD154" s="30"/>
      <c r="AE154" s="30"/>
      <c r="AF154" s="30"/>
      <c r="AG154" s="30"/>
    </row>
    <row r="155" spans="1:33" hidden="1" x14ac:dyDescent="0.35">
      <c r="B155" s="38">
        <f t="shared" ref="B155:B164" si="15">B154+1</f>
        <v>152</v>
      </c>
      <c r="C155" s="30">
        <v>20200319</v>
      </c>
      <c r="D155" s="31" t="s">
        <v>2</v>
      </c>
      <c r="E155" s="30" t="s">
        <v>386</v>
      </c>
      <c r="F155" s="33" t="s">
        <v>88</v>
      </c>
      <c r="G155" s="30">
        <v>1379963</v>
      </c>
      <c r="H155" s="30" t="s">
        <v>478</v>
      </c>
      <c r="I155" s="33" t="s">
        <v>88</v>
      </c>
      <c r="J155" s="33" t="s">
        <v>88</v>
      </c>
      <c r="K155" s="30" t="s">
        <v>485</v>
      </c>
      <c r="L155" s="33" t="s">
        <v>490</v>
      </c>
      <c r="M155" s="33" t="s">
        <v>496</v>
      </c>
      <c r="N155" s="32"/>
      <c r="O155" s="30" t="s">
        <v>102</v>
      </c>
      <c r="P155" s="30"/>
      <c r="Q155" s="30"/>
      <c r="R155" s="30">
        <v>32</v>
      </c>
      <c r="S155" s="30"/>
      <c r="T155" s="30"/>
      <c r="U155" s="30"/>
      <c r="V155" s="30"/>
      <c r="W155" s="30"/>
      <c r="X155" s="34"/>
      <c r="Y155" s="34"/>
      <c r="Z155" s="37"/>
      <c r="AA155" s="34">
        <v>43917</v>
      </c>
      <c r="AB155" s="37"/>
      <c r="AC155" s="30"/>
      <c r="AD155" s="30"/>
      <c r="AE155" s="30"/>
      <c r="AF155" s="30"/>
      <c r="AG155" s="30"/>
    </row>
    <row r="156" spans="1:33" hidden="1" x14ac:dyDescent="0.35">
      <c r="B156" s="38">
        <f t="shared" si="15"/>
        <v>153</v>
      </c>
      <c r="C156" s="30">
        <v>20200319</v>
      </c>
      <c r="D156" s="31" t="s">
        <v>2</v>
      </c>
      <c r="E156" s="30" t="s">
        <v>386</v>
      </c>
      <c r="F156" s="33" t="s">
        <v>88</v>
      </c>
      <c r="G156" s="30">
        <v>1379963</v>
      </c>
      <c r="H156" s="30" t="s">
        <v>479</v>
      </c>
      <c r="I156" s="33" t="s">
        <v>88</v>
      </c>
      <c r="J156" s="33" t="s">
        <v>88</v>
      </c>
      <c r="K156" s="30" t="s">
        <v>485</v>
      </c>
      <c r="L156" s="30" t="s">
        <v>491</v>
      </c>
      <c r="M156" s="33" t="s">
        <v>496</v>
      </c>
      <c r="N156" s="32"/>
      <c r="O156" s="30" t="s">
        <v>102</v>
      </c>
      <c r="P156" s="30"/>
      <c r="Q156" s="30"/>
      <c r="R156" s="30">
        <v>11</v>
      </c>
      <c r="S156" s="30"/>
      <c r="T156" s="30"/>
      <c r="U156" s="30"/>
      <c r="V156" s="30"/>
      <c r="W156" s="30"/>
      <c r="X156" s="34"/>
      <c r="Y156" s="34"/>
      <c r="Z156" s="37"/>
      <c r="AA156" s="34">
        <v>43917</v>
      </c>
      <c r="AB156" s="37"/>
      <c r="AC156" s="30"/>
      <c r="AD156" s="30"/>
      <c r="AE156" s="30"/>
      <c r="AF156" s="30"/>
      <c r="AG156" s="30"/>
    </row>
    <row r="157" spans="1:33" hidden="1" x14ac:dyDescent="0.35">
      <c r="B157" s="38">
        <f t="shared" si="15"/>
        <v>154</v>
      </c>
      <c r="C157" s="30">
        <v>20200319</v>
      </c>
      <c r="D157" s="31" t="s">
        <v>2</v>
      </c>
      <c r="E157" s="30" t="s">
        <v>386</v>
      </c>
      <c r="F157" s="33" t="s">
        <v>88</v>
      </c>
      <c r="G157" s="30">
        <v>1379963</v>
      </c>
      <c r="H157" s="30" t="s">
        <v>480</v>
      </c>
      <c r="I157" s="33" t="s">
        <v>88</v>
      </c>
      <c r="J157" s="33" t="s">
        <v>88</v>
      </c>
      <c r="K157" s="30" t="s">
        <v>485</v>
      </c>
      <c r="L157" s="30" t="s">
        <v>491</v>
      </c>
      <c r="M157" s="33" t="s">
        <v>496</v>
      </c>
      <c r="N157" s="32"/>
      <c r="O157" s="30" t="s">
        <v>102</v>
      </c>
      <c r="P157" s="30"/>
      <c r="Q157" s="30"/>
      <c r="R157" s="30">
        <v>19</v>
      </c>
      <c r="S157" s="30"/>
      <c r="T157" s="30"/>
      <c r="U157" s="30"/>
      <c r="V157" s="30"/>
      <c r="W157" s="30"/>
      <c r="X157" s="34"/>
      <c r="Y157" s="34"/>
      <c r="Z157" s="37"/>
      <c r="AA157" s="34">
        <v>43917</v>
      </c>
      <c r="AB157" s="37"/>
      <c r="AC157" s="30"/>
      <c r="AD157" s="30"/>
      <c r="AE157" s="30"/>
      <c r="AF157" s="30"/>
      <c r="AG157" s="30"/>
    </row>
    <row r="158" spans="1:33" hidden="1" x14ac:dyDescent="0.35">
      <c r="B158" s="38">
        <f t="shared" si="15"/>
        <v>155</v>
      </c>
      <c r="C158" s="30">
        <v>20200319</v>
      </c>
      <c r="D158" s="31" t="s">
        <v>2</v>
      </c>
      <c r="E158" s="30" t="s">
        <v>386</v>
      </c>
      <c r="F158" s="33" t="s">
        <v>88</v>
      </c>
      <c r="G158" s="30">
        <v>1379963</v>
      </c>
      <c r="H158" s="30" t="s">
        <v>481</v>
      </c>
      <c r="I158" s="33" t="s">
        <v>88</v>
      </c>
      <c r="J158" s="33" t="s">
        <v>88</v>
      </c>
      <c r="K158" s="30" t="s">
        <v>485</v>
      </c>
      <c r="L158" s="30" t="s">
        <v>492</v>
      </c>
      <c r="M158" s="33" t="s">
        <v>496</v>
      </c>
      <c r="N158" s="32"/>
      <c r="O158" s="30" t="s">
        <v>101</v>
      </c>
      <c r="P158" s="30"/>
      <c r="Q158" s="30"/>
      <c r="R158" s="30">
        <v>98</v>
      </c>
      <c r="S158" s="30"/>
      <c r="T158" s="30"/>
      <c r="U158" s="30"/>
      <c r="V158" s="30"/>
      <c r="W158" s="30"/>
      <c r="X158" s="34"/>
      <c r="Y158" s="34"/>
      <c r="Z158" s="37"/>
      <c r="AA158" s="34">
        <v>43917</v>
      </c>
      <c r="AB158" s="37"/>
      <c r="AC158" s="30"/>
      <c r="AD158" s="30"/>
      <c r="AE158" s="30"/>
      <c r="AF158" s="30"/>
      <c r="AG158" s="30"/>
    </row>
    <row r="159" spans="1:33" hidden="1" x14ac:dyDescent="0.35">
      <c r="B159" s="38">
        <f t="shared" si="15"/>
        <v>156</v>
      </c>
      <c r="C159" s="30">
        <v>20200319</v>
      </c>
      <c r="D159" s="31" t="s">
        <v>2</v>
      </c>
      <c r="E159" s="30" t="s">
        <v>474</v>
      </c>
      <c r="F159" s="33" t="s">
        <v>88</v>
      </c>
      <c r="G159" s="30">
        <v>1381575</v>
      </c>
      <c r="H159" s="30" t="s">
        <v>482</v>
      </c>
      <c r="I159" s="33" t="s">
        <v>88</v>
      </c>
      <c r="J159" s="33" t="s">
        <v>88</v>
      </c>
      <c r="K159" s="30" t="s">
        <v>486</v>
      </c>
      <c r="L159" s="30" t="s">
        <v>493</v>
      </c>
      <c r="M159" s="30" t="s">
        <v>497</v>
      </c>
      <c r="N159" s="32"/>
      <c r="O159" s="30"/>
      <c r="P159" s="30"/>
      <c r="Q159" s="30"/>
      <c r="R159" s="30">
        <v>46</v>
      </c>
      <c r="S159" s="30"/>
      <c r="T159" s="30"/>
      <c r="U159" s="30"/>
      <c r="V159" s="30"/>
      <c r="W159" s="30"/>
      <c r="X159" s="34"/>
      <c r="Y159" s="34"/>
      <c r="Z159" s="37"/>
      <c r="AA159" s="34">
        <v>43917</v>
      </c>
      <c r="AB159" s="37"/>
      <c r="AC159" s="30"/>
      <c r="AD159" s="30"/>
      <c r="AE159" s="30"/>
      <c r="AF159" s="30"/>
      <c r="AG159" s="30"/>
    </row>
    <row r="160" spans="1:33" hidden="1" x14ac:dyDescent="0.35">
      <c r="B160" s="38">
        <f t="shared" si="15"/>
        <v>157</v>
      </c>
      <c r="C160" s="30">
        <v>20200319</v>
      </c>
      <c r="D160" s="31" t="s">
        <v>2</v>
      </c>
      <c r="E160" s="30" t="s">
        <v>475</v>
      </c>
      <c r="F160" s="33" t="s">
        <v>88</v>
      </c>
      <c r="G160" s="30">
        <v>1382215</v>
      </c>
      <c r="H160" s="30" t="s">
        <v>483</v>
      </c>
      <c r="I160" s="33" t="s">
        <v>88</v>
      </c>
      <c r="J160" s="33" t="s">
        <v>88</v>
      </c>
      <c r="K160" s="30" t="s">
        <v>487</v>
      </c>
      <c r="L160" s="30" t="s">
        <v>494</v>
      </c>
      <c r="M160" s="30" t="s">
        <v>498</v>
      </c>
      <c r="N160" s="32"/>
      <c r="O160" s="30"/>
      <c r="P160" s="30"/>
      <c r="Q160" s="30"/>
      <c r="R160" s="30">
        <v>60</v>
      </c>
      <c r="S160" s="30"/>
      <c r="T160" s="30"/>
      <c r="U160" s="30"/>
      <c r="V160" s="30"/>
      <c r="W160" s="30"/>
      <c r="X160" s="34"/>
      <c r="Y160" s="34"/>
      <c r="Z160" s="37"/>
      <c r="AA160" s="34">
        <v>43917</v>
      </c>
      <c r="AB160" s="37"/>
      <c r="AC160" s="30"/>
      <c r="AD160" s="30"/>
      <c r="AE160" s="30"/>
      <c r="AF160" s="30"/>
      <c r="AG160" s="30"/>
    </row>
    <row r="161" spans="2:33" hidden="1" x14ac:dyDescent="0.35">
      <c r="B161" s="38">
        <f t="shared" si="15"/>
        <v>158</v>
      </c>
      <c r="C161" s="30"/>
      <c r="D161" s="30"/>
      <c r="E161" s="30"/>
      <c r="F161" s="33"/>
      <c r="G161" s="30"/>
      <c r="H161" s="30"/>
      <c r="I161" s="30"/>
      <c r="J161" s="30"/>
      <c r="K161" s="30"/>
      <c r="L161" s="30"/>
      <c r="M161" s="30"/>
      <c r="N161" s="32"/>
      <c r="O161" s="30"/>
      <c r="P161" s="30"/>
      <c r="Q161" s="30"/>
      <c r="R161" s="30"/>
      <c r="S161" s="30"/>
      <c r="T161" s="30"/>
      <c r="U161" s="30"/>
      <c r="V161" s="30"/>
      <c r="W161" s="30"/>
      <c r="X161" s="37"/>
      <c r="Y161" s="37"/>
      <c r="Z161" s="37"/>
      <c r="AA161" s="37"/>
      <c r="AB161" s="37"/>
      <c r="AC161" s="30"/>
      <c r="AD161" s="30"/>
      <c r="AE161" s="30"/>
      <c r="AF161" s="30"/>
      <c r="AG161" s="30"/>
    </row>
    <row r="162" spans="2:33" hidden="1" x14ac:dyDescent="0.35">
      <c r="B162" s="38">
        <f t="shared" si="15"/>
        <v>159</v>
      </c>
      <c r="C162" s="30"/>
      <c r="D162" s="30"/>
      <c r="E162" s="30"/>
      <c r="F162" s="33"/>
      <c r="G162" s="30"/>
      <c r="H162" s="30"/>
      <c r="I162" s="30"/>
      <c r="J162" s="30"/>
      <c r="K162" s="30"/>
      <c r="L162" s="30"/>
      <c r="M162" s="30"/>
      <c r="N162" s="32"/>
      <c r="O162" s="30"/>
      <c r="P162" s="30"/>
      <c r="Q162" s="30"/>
      <c r="R162" s="30"/>
      <c r="S162" s="30"/>
      <c r="T162" s="30"/>
      <c r="U162" s="30"/>
      <c r="V162" s="30"/>
      <c r="W162" s="30"/>
      <c r="X162" s="37"/>
      <c r="Y162" s="37"/>
      <c r="Z162" s="37"/>
      <c r="AA162" s="37"/>
      <c r="AB162" s="37"/>
      <c r="AC162" s="30"/>
      <c r="AD162" s="30"/>
      <c r="AE162" s="30"/>
      <c r="AF162" s="30"/>
      <c r="AG162" s="30"/>
    </row>
    <row r="163" spans="2:33" hidden="1" x14ac:dyDescent="0.35">
      <c r="B163" s="38">
        <f t="shared" si="15"/>
        <v>160</v>
      </c>
      <c r="C163" s="30"/>
      <c r="D163" s="30"/>
      <c r="E163" s="30"/>
      <c r="F163" s="33"/>
      <c r="G163" s="30"/>
      <c r="H163" s="30"/>
      <c r="I163" s="30"/>
      <c r="J163" s="30"/>
      <c r="K163" s="30"/>
      <c r="L163" s="30"/>
      <c r="M163" s="30"/>
      <c r="N163" s="32"/>
      <c r="O163" s="30"/>
      <c r="P163" s="30"/>
      <c r="Q163" s="30"/>
      <c r="R163" s="30"/>
      <c r="S163" s="30"/>
      <c r="T163" s="30"/>
      <c r="U163" s="30"/>
      <c r="V163" s="30"/>
      <c r="W163" s="30"/>
      <c r="X163" s="37"/>
      <c r="Y163" s="37"/>
      <c r="Z163" s="37"/>
      <c r="AA163" s="37"/>
      <c r="AB163" s="37"/>
      <c r="AC163" s="30"/>
      <c r="AD163" s="30"/>
      <c r="AE163" s="30"/>
      <c r="AF163" s="30"/>
      <c r="AG163" s="30"/>
    </row>
    <row r="164" spans="2:33" hidden="1" x14ac:dyDescent="0.35">
      <c r="B164" s="38">
        <f t="shared" si="15"/>
        <v>161</v>
      </c>
      <c r="C164" s="30"/>
      <c r="D164" s="30"/>
      <c r="E164" s="30"/>
      <c r="F164" s="33"/>
      <c r="G164" s="30"/>
      <c r="H164" s="30"/>
      <c r="I164" s="30"/>
      <c r="J164" s="30"/>
      <c r="K164" s="30"/>
      <c r="L164" s="30"/>
      <c r="M164" s="30"/>
      <c r="N164" s="32"/>
      <c r="O164" s="30"/>
      <c r="P164" s="30"/>
      <c r="Q164" s="30"/>
      <c r="R164" s="30"/>
      <c r="S164" s="30"/>
      <c r="T164" s="30"/>
      <c r="U164" s="30"/>
      <c r="V164" s="30"/>
      <c r="W164" s="30"/>
      <c r="X164" s="37"/>
      <c r="Y164" s="37"/>
      <c r="Z164" s="37"/>
      <c r="AA164" s="37"/>
      <c r="AB164" s="37"/>
      <c r="AC164" s="30"/>
      <c r="AD164" s="30"/>
      <c r="AE164" s="30"/>
      <c r="AF164" s="30"/>
      <c r="AG164" s="30"/>
    </row>
    <row r="165" spans="2:33" x14ac:dyDescent="0.35"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51"/>
      <c r="O165" s="6"/>
      <c r="P165" s="6"/>
    </row>
    <row r="166" spans="2:33" x14ac:dyDescent="0.35">
      <c r="B166" s="1" t="s">
        <v>62</v>
      </c>
    </row>
    <row r="167" spans="2:33" x14ac:dyDescent="0.35">
      <c r="B167" s="2" t="s">
        <v>0</v>
      </c>
      <c r="C167" s="2" t="s">
        <v>9</v>
      </c>
      <c r="D167" s="2" t="s">
        <v>28</v>
      </c>
      <c r="E167" s="2" t="s">
        <v>29</v>
      </c>
      <c r="F167" s="2" t="s">
        <v>26</v>
      </c>
      <c r="G167" s="2" t="s">
        <v>424</v>
      </c>
      <c r="H167" s="4" t="s">
        <v>30</v>
      </c>
      <c r="K167" s="54"/>
    </row>
    <row r="168" spans="2:33" x14ac:dyDescent="0.35">
      <c r="B168" s="3">
        <v>1</v>
      </c>
      <c r="C168" s="46" t="s">
        <v>101</v>
      </c>
      <c r="D168" s="3">
        <f>SUMIFS($S$3:$S$164,$D$3:$D$164,Table!$C$3,$O$3:$O$164,C168)</f>
        <v>187</v>
      </c>
      <c r="E168" s="3">
        <f>SUMIFS($T$3:$T$164,$D$3:$D$164,Table!$C$3,$O$3:$O$164,C168)-SUM(SUMIFS($T$3:$T$164,$D$3:$D$164,Table!$C$3,$O$3:$O$164,C168,$W$3:$W$164,{"Ongoing","N\A",""}))</f>
        <v>187</v>
      </c>
      <c r="F168" s="3">
        <f>1/8*(SUMIFS($V$3:$V$164,$D$3:$D$164,Table!$C$3,$O$3:$O$164,C168)-SUM(SUMIFS($V$3:$V$164,$D$3:$D$164,Table!$C$3,$O$3:$O$164,C168,$W$3:$W$164,{"Ongoing","N/A",""})))</f>
        <v>2</v>
      </c>
      <c r="G168" s="3">
        <f>IF(ISERROR(E168/(F168)),"N/A",E168/F168)</f>
        <v>93.5</v>
      </c>
      <c r="H168" s="7">
        <f>IF(ISERROR(E168/D168),"N/A",E168/D168)</f>
        <v>1</v>
      </c>
    </row>
    <row r="169" spans="2:33" x14ac:dyDescent="0.35">
      <c r="B169" s="3">
        <v>2</v>
      </c>
      <c r="C169" s="46" t="s">
        <v>102</v>
      </c>
      <c r="D169" s="3">
        <f>SUMIFS($S$3:$S$164,$D$3:$D$164,Table!$C$3,$O$3:$O$164,C169)</f>
        <v>23</v>
      </c>
      <c r="E169" s="3">
        <f>SUMIFS($T$3:$T$164,$D$3:$D$164,Table!$C$3,$O$3:$O$164,C169)-SUM(SUMIFS($T$3:$T$164,$D$3:$D$164,Table!$C$3,$O$3:$O$164,C169,$W$3:$W$164,{"Ongoing","N/A",""}))</f>
        <v>23</v>
      </c>
      <c r="F169" s="3">
        <f>1/8*(SUMIFS($V$3:$V$164,$D$3:$D$164,Table!$C$3,$O$3:$O$164,C169)-SUM(SUMIFS($V$3:$V$164,$D$3:$D$164,Table!$C$3,$O$3:$O$164,C169,$W$3:$W$164,{"Ongoing","N/A",""})))</f>
        <v>1.125</v>
      </c>
      <c r="G169" s="3">
        <f>IF(ISERROR(E169/(F169)),"N/A",E169/F169)</f>
        <v>20.444444444444443</v>
      </c>
      <c r="H169" s="7">
        <f>IF(ISERROR(E169/D169),"N/A",E169/D169)</f>
        <v>1</v>
      </c>
    </row>
    <row r="170" spans="2:33" x14ac:dyDescent="0.35">
      <c r="B170" s="3">
        <v>3</v>
      </c>
      <c r="C170" s="46" t="s">
        <v>103</v>
      </c>
      <c r="D170" s="3">
        <f>SUMIFS($S$3:$S$164,$D$3:$D$164,Table!$C$3,$O$3:$O$164,C170)</f>
        <v>19</v>
      </c>
      <c r="E170" s="3">
        <f>SUMIFS($T$3:$T$164,$D$3:$D$164,Table!$C$3,$O$3:$O$164,C170)-SUM(SUMIFS($T$3:$T$164,$D$3:$D$164,Table!$C$3,$O$3:$O$164,C170,$W$3:$W$164,{"Ongoing","N/A",""}))</f>
        <v>19</v>
      </c>
      <c r="F170" s="3">
        <f>1/8*(SUMIFS($V$3:$V$164,$D$3:$D$164,Table!$C$3,$O$3:$O$164,C170)-SUM(SUMIFS($V$3:$V$164,$D$3:$D$164,Table!$C$3,$O$3:$O$164,C170,$W$3:$W$164,{"Ongoing","N/A",""})))</f>
        <v>0.5</v>
      </c>
      <c r="G170" s="3">
        <f>IF(ISERROR(E170/(F170)),"N/A",E170/F170)</f>
        <v>38</v>
      </c>
      <c r="H170" s="7">
        <f>IF(ISERROR(E170/D170),"N/A",E170/D170)</f>
        <v>1</v>
      </c>
    </row>
    <row r="171" spans="2:33" x14ac:dyDescent="0.35">
      <c r="B171" s="3">
        <v>4</v>
      </c>
      <c r="C171" s="46" t="s">
        <v>104</v>
      </c>
      <c r="D171" s="3">
        <f>SUMIFS($S$3:$S$164,$D$3:$D$164,Table!$C$3,$O$3:$O$164,C171)</f>
        <v>0</v>
      </c>
      <c r="E171" s="3">
        <f>SUMIFS($T$3:$T$164,$D$3:$D$164,Table!$C$3,$O$3:$O$164,C171)-SUM(SUMIFS($T$3:$T$164,$D$3:$D$164,Table!$C$3,$O$3:$O$164,C171,$W$3:$W$164,{"Ongoing","N/A"}))</f>
        <v>0</v>
      </c>
      <c r="F171" s="3">
        <f>1/8*(SUMIFS($V$3:$V$164,$D$3:$D$164,Table!$C$3,$O$3:$O$164,C171)-SUM(SUMIFS($V$3:$V$164,$D$3:$D$164,Table!$C$3,$O$3:$O$164,C171,$W$3:$W$164,{"Ongoing","N/A",""})))</f>
        <v>0</v>
      </c>
      <c r="G171" s="3" t="str">
        <f>IF(ISERROR(E171/(F171)),"N/A",E171/F171)</f>
        <v>N/A</v>
      </c>
      <c r="H171" s="7" t="str">
        <f>IF(ISERROR(E171/D171),"N/A",E171/D171)</f>
        <v>N/A</v>
      </c>
    </row>
    <row r="172" spans="2:33" x14ac:dyDescent="0.35">
      <c r="B172" s="2" t="s">
        <v>355</v>
      </c>
      <c r="C172" s="46"/>
      <c r="D172" s="3">
        <f>SUMIFS($R$3:$R$164,$D$3:$D$164,Table!$C$3)</f>
        <v>641</v>
      </c>
      <c r="E172" s="3">
        <f>SUMIFS($T$3:$T$164,$D$3:$D$164,Table!$C$3)-SUM(SUMIFS($T$3:$T$164,$D$3:$D$164,Table!$C$3,$W$3:$W$164,{"Ongoing","N/A",""}))</f>
        <v>229</v>
      </c>
      <c r="F172" s="3">
        <f>1/8*(SUMIFS($V$3:$V$164,$D$3:$D$164,Table!$C$3)-SUM(SUMIFS($V$3:$V$164,$D$3:$D$164,Table!$C$3,$W$3:$W$164,{"Ongoing","N/A",""})))</f>
        <v>3.625</v>
      </c>
      <c r="G172" s="3">
        <f>IF(ISERROR(E172/(F172)),"N/A",E172/F172)</f>
        <v>63.172413793103445</v>
      </c>
      <c r="H172" s="7">
        <f>IF(ISERROR(E172/D172),"N/A",E172/D172)</f>
        <v>0.35725429017160687</v>
      </c>
    </row>
    <row r="175" spans="2:33" x14ac:dyDescent="0.35">
      <c r="B175" s="1" t="s">
        <v>63</v>
      </c>
    </row>
    <row r="176" spans="2:33" x14ac:dyDescent="0.35">
      <c r="B176" s="2" t="s">
        <v>0</v>
      </c>
      <c r="C176" s="2" t="s">
        <v>9</v>
      </c>
      <c r="D176" s="2" t="s">
        <v>28</v>
      </c>
      <c r="E176" s="2" t="s">
        <v>29</v>
      </c>
      <c r="F176" s="2" t="s">
        <v>26</v>
      </c>
      <c r="G176" s="2" t="s">
        <v>25</v>
      </c>
      <c r="H176" s="4" t="s">
        <v>30</v>
      </c>
    </row>
    <row r="177" spans="2:8" x14ac:dyDescent="0.35">
      <c r="B177" s="3">
        <v>1</v>
      </c>
      <c r="C177" s="46" t="s">
        <v>101</v>
      </c>
      <c r="D177" s="3">
        <f>SUMIFS($S$3:$S$164,$D$3:$D$164,Table!$D$3,$O$3:$O$164,C177)</f>
        <v>4282</v>
      </c>
      <c r="E177" s="3">
        <f>SUMIFS($S$3:$S$164,$D$3:$D$164,Table!$D$3,$O$3:$O$164,C177)-SUM(SUMIFS($S$3:$S$164,$D$3:$D$164,Table!$D$3,$O$3:$O$164,C177,$W$3:$W$164,{"Ongoing","N/A",""}))</f>
        <v>4282</v>
      </c>
      <c r="F177" s="3">
        <f>1/8*(SUMIFS($V$3:$V$164,$D$3:$D$164,Table!$D$3,$O$3:$O$164,C177)-SUM(SUMIFS($V$3:$V$164,$D$3:$D$164,Table!$D$3,$O$3:$O$164,C177,$W$3:$W$164,{"Ongoing","N/A",""})))</f>
        <v>10.87875</v>
      </c>
      <c r="G177" s="3">
        <f>IF(ISERROR(E177/(F177)),"N/A",E177/F177)</f>
        <v>393.61139836837873</v>
      </c>
      <c r="H177" s="7">
        <f>IF(ISERROR(E177/D177),"N/A",E177/D177)</f>
        <v>1</v>
      </c>
    </row>
    <row r="178" spans="2:8" x14ac:dyDescent="0.35">
      <c r="B178" s="3">
        <v>2</v>
      </c>
      <c r="C178" s="46" t="s">
        <v>102</v>
      </c>
      <c r="D178" s="3">
        <f>SUMIFS($S$3:$S$164,$D$3:$D$164,Table!$D$3,$O$3:$O$164,C178)</f>
        <v>7880</v>
      </c>
      <c r="E178" s="3">
        <f>SUMIFS($S$3:$S$164,$D$3:$D$164,Table!$D$3,$O$3:$O$164,C178)-SUM(SUMIFS($S$3:$S$164,$D$3:$D$164,Table!$D$3,$O$3:$O$164,C178,$W$3:$W$164,{"Ongoing","N/A",""}))</f>
        <v>7880</v>
      </c>
      <c r="F178" s="3">
        <f>1/8*(SUMIFS($V$3:$V$164,$D$3:$D$164,Table!$D$3,$O$3:$O$164,C178)-SUM(SUMIFS($V$3:$V$164,$D$3:$D$164,Table!$D$3,$O$3:$O$164,C178,$W$3:$W$164,{"Ongoing","N/A",""})))</f>
        <v>11.125</v>
      </c>
      <c r="G178" s="3">
        <f>IF(ISERROR(E178/(F178)),"N/A",E178/F178)</f>
        <v>708.31460674157302</v>
      </c>
      <c r="H178" s="7">
        <f>IF(ISERROR(E178/D178),"N/A",E178/D178)</f>
        <v>1</v>
      </c>
    </row>
    <row r="179" spans="2:8" x14ac:dyDescent="0.35">
      <c r="B179" s="3">
        <v>3</v>
      </c>
      <c r="C179" s="46" t="s">
        <v>103</v>
      </c>
      <c r="D179" s="3">
        <f>SUMIFS($S$3:$S$164,$D$3:$D$164,Table!$D$3,$O$3:$O$164,C179)</f>
        <v>7254</v>
      </c>
      <c r="E179" s="3">
        <f>SUMIFS($S$3:$S$164,$D$3:$D$164,Table!$D$3,$O$3:$O$164,C179)-SUM(SUMIFS($S$3:$S$164,$D$3:$D$164,Table!$D$3,$O$3:$O$164,C179,$W$3:$W$164,{"Ongoing","N/A",""}))</f>
        <v>6687</v>
      </c>
      <c r="F179" s="3">
        <f>1/8*(SUMIFS($V$3:$V$164,$D$3:$D$164,Table!$D$3,$O$3:$O$164,C179)-SUM(SUMIFS($V$3:$V$164,$D$3:$D$164,Table!$D$3,$O$3:$O$164,C179,$W$3:$W$164,{"Ongoing","N/A",""})))</f>
        <v>12.200000000000001</v>
      </c>
      <c r="G179" s="3">
        <f>IF(ISERROR(E179/(F179)),"N/A",E179/F179)</f>
        <v>548.11475409836066</v>
      </c>
      <c r="H179" s="7">
        <f>IF(ISERROR(E179/D179),"N/A",E179/D179)</f>
        <v>0.92183622828784118</v>
      </c>
    </row>
    <row r="180" spans="2:8" x14ac:dyDescent="0.35">
      <c r="B180" s="3">
        <v>4</v>
      </c>
      <c r="C180" s="46" t="s">
        <v>104</v>
      </c>
      <c r="D180" s="3">
        <f>SUMIFS($S$3:$S$164,$D$3:$D$164,Table!$D$3,$O$3:$O$164,C180)</f>
        <v>8751</v>
      </c>
      <c r="E180" s="3">
        <f>SUMIFS($S$3:$S$164,$D$3:$D$164,Table!$D$3,$O$3:$O$164,C180)-SUM(SUMIFS($S$3:$S$164,$D$3:$D$164,Table!$D$3,$O$3:$O$164,C180,$W$3:$W$164,{"Ongoing","N/A",""}))</f>
        <v>8751</v>
      </c>
      <c r="F180" s="3">
        <f>1/8*(SUMIFS($V$3:$V$164,$D$3:$D$164,Table!$D$3,$O$3:$O$164,C180)-SUM(SUMIFS($V$3:$V$164,$D$3:$D$164,Table!$D$3,$O$3:$O$164,C180,$W$3:$W$164,{"Ongoing","N/A",""})))</f>
        <v>10.675000000000002</v>
      </c>
      <c r="G180" s="3">
        <f>IF(ISERROR(E180/(F180)),"N/A",E180/F180)</f>
        <v>819.76580796252904</v>
      </c>
      <c r="H180" s="7">
        <f>IF(ISERROR(E180/D180),"N/A",E180/D180)</f>
        <v>1</v>
      </c>
    </row>
    <row r="181" spans="2:8" x14ac:dyDescent="0.35">
      <c r="B181" s="2" t="s">
        <v>355</v>
      </c>
      <c r="C181" s="46"/>
      <c r="D181" s="3">
        <f>SUMIFS($R$3:$R$164,$D$3:$D$164,Table!$D$3)</f>
        <v>28776</v>
      </c>
      <c r="E181" s="3">
        <f>SUMIFS($T$3:$T$164,$D$3:$D$164,Table!$D$3)-SUM(SUMIFS($T$3:$T$164,$D$3:$D$164,Table!$D$3,$W$3:$W$164,{"Ongoing","N/A",""}))</f>
        <v>27600</v>
      </c>
      <c r="F181" s="3">
        <f>1/8*(SUMIFS($V$3:$V$164,$D$3:$D$164,Table!$D$3)-SUM(SUMIFS($V$3:$V$164,$D$3:$D$164,Table!$D$3,$W$3:$W$164,{"Ongoing","N/A",""})))</f>
        <v>44.878749999999982</v>
      </c>
      <c r="G181" s="3">
        <f>IF(ISERROR(E181/(F181)),"N/A",E181/F181)</f>
        <v>614.99039077514442</v>
      </c>
      <c r="H181" s="7">
        <f>IF(ISERROR(E181/D181),"N/A",E181/D181)</f>
        <v>0.95913261050875731</v>
      </c>
    </row>
    <row r="184" spans="2:8" x14ac:dyDescent="0.35">
      <c r="B184" s="1" t="s">
        <v>356</v>
      </c>
    </row>
    <row r="185" spans="2:8" x14ac:dyDescent="0.35">
      <c r="B185" s="2" t="s">
        <v>0</v>
      </c>
      <c r="C185" s="2" t="s">
        <v>9</v>
      </c>
      <c r="D185" s="2" t="s">
        <v>28</v>
      </c>
      <c r="E185" s="2" t="s">
        <v>29</v>
      </c>
      <c r="F185" s="2" t="s">
        <v>26</v>
      </c>
      <c r="G185" s="2" t="s">
        <v>25</v>
      </c>
      <c r="H185" s="4" t="s">
        <v>30</v>
      </c>
    </row>
    <row r="186" spans="2:8" x14ac:dyDescent="0.35">
      <c r="B186" s="3">
        <v>1</v>
      </c>
      <c r="C186" s="46" t="s">
        <v>101</v>
      </c>
      <c r="D186" s="3">
        <f>SUM(D168*Table!$D$4/Table!$C$4,D177)</f>
        <v>4929.3076923076924</v>
      </c>
      <c r="E186" s="3">
        <f>SUM(E168*Table!$D$4/Table!$C$4,E177)</f>
        <v>4929.3076923076924</v>
      </c>
      <c r="F186" s="3">
        <f>Template_Weekly_Report!$B$3</f>
        <v>14.25</v>
      </c>
      <c r="G186" s="3">
        <f>IF(ISERROR(E186/(F186)),"N/A",E186/F186)</f>
        <v>345.91632928475036</v>
      </c>
      <c r="H186" s="7">
        <f>IF(ISERROR(E186/D186),"N/A",E186/D186)</f>
        <v>1</v>
      </c>
    </row>
    <row r="187" spans="2:8" x14ac:dyDescent="0.35">
      <c r="B187" s="3">
        <v>2</v>
      </c>
      <c r="C187" s="46" t="s">
        <v>102</v>
      </c>
      <c r="D187" s="3">
        <f>SUM(D169*Table!$D$4/Table!$C$4,D178)</f>
        <v>7959.6153846153848</v>
      </c>
      <c r="E187" s="3">
        <f>SUM(E169*Table!$D$4/Table!$C$4,E178)</f>
        <v>7959.6153846153848</v>
      </c>
      <c r="F187" s="84">
        <f>Template_Weekly_Report!$B$3-Template_Weekly_Report!E34</f>
        <v>13.25</v>
      </c>
      <c r="G187" s="3">
        <f>IF(ISERROR(E187/(F187)),"N/A",E187/F187)</f>
        <v>600.72568940493466</v>
      </c>
      <c r="H187" s="7">
        <f>IF(ISERROR(E187/D187),"N/A",E187/D187)</f>
        <v>1</v>
      </c>
    </row>
    <row r="188" spans="2:8" x14ac:dyDescent="0.35">
      <c r="B188" s="3">
        <v>3</v>
      </c>
      <c r="C188" s="46" t="s">
        <v>103</v>
      </c>
      <c r="D188" s="3">
        <f>SUM(D170*Table!$D$4/Table!$C$4,D179)</f>
        <v>7319.7692307692305</v>
      </c>
      <c r="E188" s="3">
        <f>SUM(E170*Table!$D$4/Table!$C$4,E179)</f>
        <v>6752.7692307692305</v>
      </c>
      <c r="F188" s="84">
        <f>Template_Weekly_Report!$B$3-Template_Weekly_Report!E35</f>
        <v>13.25</v>
      </c>
      <c r="G188" s="3">
        <f>IF(ISERROR(E188/(F188)),"N/A",E188/F188)</f>
        <v>509.64296081277212</v>
      </c>
      <c r="H188" s="7">
        <f>IF(ISERROR(E188/D188),"N/A",E188/D188)</f>
        <v>0.9225385415681453</v>
      </c>
    </row>
    <row r="189" spans="2:8" x14ac:dyDescent="0.35">
      <c r="B189" s="3">
        <v>4</v>
      </c>
      <c r="C189" s="46" t="s">
        <v>104</v>
      </c>
      <c r="D189" s="3">
        <f>SUM(D171*Table!$D$4/Table!$C$4,D180)</f>
        <v>8751</v>
      </c>
      <c r="E189" s="3">
        <f>SUM(E171*Table!$D$4/Table!$C$4,E180)</f>
        <v>8751</v>
      </c>
      <c r="F189" s="3">
        <f>Template_Weekly_Report!$B$3</f>
        <v>14.25</v>
      </c>
      <c r="G189" s="3">
        <f>IF(ISERROR(E189/(F189)),"N/A",E189/F189)</f>
        <v>614.10526315789468</v>
      </c>
      <c r="H189" s="7">
        <f>IF(ISERROR(E189/D189),"N/A",E189/D189)</f>
        <v>1</v>
      </c>
    </row>
    <row r="191" spans="2:8" x14ac:dyDescent="0.35">
      <c r="B191" s="1" t="s">
        <v>373</v>
      </c>
    </row>
    <row r="192" spans="2:8" x14ac:dyDescent="0.35">
      <c r="B192" s="2" t="s">
        <v>0</v>
      </c>
      <c r="C192" s="2" t="s">
        <v>9</v>
      </c>
      <c r="D192" s="2" t="s">
        <v>26</v>
      </c>
      <c r="E192" s="2" t="s">
        <v>505</v>
      </c>
    </row>
    <row r="193" spans="2:6" x14ac:dyDescent="0.35">
      <c r="B193" s="3">
        <v>1</v>
      </c>
      <c r="C193" s="46" t="s">
        <v>101</v>
      </c>
      <c r="D193" s="3">
        <f>F168+F177</f>
        <v>12.87875</v>
      </c>
      <c r="E193" s="137">
        <f>D193*8</f>
        <v>103.03</v>
      </c>
    </row>
    <row r="194" spans="2:6" x14ac:dyDescent="0.35">
      <c r="B194" s="3">
        <v>2</v>
      </c>
      <c r="C194" s="46" t="s">
        <v>102</v>
      </c>
      <c r="D194" s="3">
        <f t="shared" ref="D194:D196" si="16">F169+F178</f>
        <v>12.25</v>
      </c>
      <c r="E194" s="137">
        <f t="shared" ref="E194:E196" si="17">D194*8</f>
        <v>98</v>
      </c>
    </row>
    <row r="195" spans="2:6" x14ac:dyDescent="0.35">
      <c r="B195" s="3">
        <v>3</v>
      </c>
      <c r="C195" s="46" t="s">
        <v>103</v>
      </c>
      <c r="D195" s="3">
        <f t="shared" si="16"/>
        <v>12.700000000000001</v>
      </c>
      <c r="E195" s="137">
        <f t="shared" si="17"/>
        <v>101.60000000000001</v>
      </c>
    </row>
    <row r="196" spans="2:6" x14ac:dyDescent="0.35">
      <c r="B196" s="3">
        <v>4</v>
      </c>
      <c r="C196" s="46" t="s">
        <v>104</v>
      </c>
      <c r="D196" s="3">
        <f t="shared" si="16"/>
        <v>10.675000000000002</v>
      </c>
      <c r="E196" s="137">
        <f t="shared" si="17"/>
        <v>85.40000000000002</v>
      </c>
    </row>
    <row r="197" spans="2:6" x14ac:dyDescent="0.35">
      <c r="B197" s="2" t="s">
        <v>355</v>
      </c>
      <c r="C197" s="46"/>
      <c r="D197" s="138">
        <f>SUM(D193:D196)</f>
        <v>48.503750000000004</v>
      </c>
      <c r="E197" s="139">
        <f>D197*8</f>
        <v>388.03000000000003</v>
      </c>
      <c r="F197" s="1"/>
    </row>
    <row r="198" spans="2:6" x14ac:dyDescent="0.35">
      <c r="E198" s="142"/>
    </row>
  </sheetData>
  <autoFilter ref="B2:AG164" xr:uid="{00000000-0009-0000-0000-000000000000}">
    <filterColumn colId="13">
      <filters>
        <filter val="thanh.nguyen-kim"/>
      </filters>
    </filterColumn>
  </autoFilter>
  <customSheetViews>
    <customSheetView guid="{D1CE1C7B-C5EA-487A-B174-370E881055E2}" scale="85" filter="1" showAutoFilter="1" hiddenColumns="1" topLeftCell="A168">
      <selection activeCell="F184" sqref="F184"/>
      <pageMargins left="0.7" right="0.7" top="0.75" bottom="0.75" header="0.3" footer="0.3"/>
      <pageSetup orientation="portrait" r:id="rId1"/>
      <autoFilter ref="B2:AG164" xr:uid="{00000000-0009-0000-0000-000000000000}">
        <filterColumn colId="13">
          <filters>
            <filter val="thanh.nguyen-kim"/>
          </filters>
        </filterColumn>
      </autoFilter>
    </customSheetView>
    <customSheetView guid="{4E06BDBF-2CED-473B-850B-2A6C7311FF41}" showAutoFilter="1" hiddenColumns="1" topLeftCell="R115">
      <selection activeCell="AE141" sqref="AE141"/>
      <pageMargins left="0.7" right="0.7" top="0.75" bottom="0.75" header="0.3" footer="0.3"/>
      <pageSetup orientation="portrait" r:id="rId2"/>
      <autoFilter ref="A2:AG164" xr:uid="{00000000-0000-0000-0000-000000000000}"/>
    </customSheetView>
    <customSheetView guid="{7ECC2B8E-6A82-42F5-8AB0-4A51C54EA5EC}" hiddenColumns="1" topLeftCell="O28">
      <selection activeCell="AG47" sqref="AG47"/>
      <pageMargins left="0.7" right="0.7" top="0.75" bottom="0.75" header="0.3" footer="0.3"/>
      <pageSetup orientation="portrait" r:id="rId3"/>
    </customSheetView>
    <customSheetView guid="{250915DF-0B97-45D7-B29D-7EED4C89C1C1}" scale="85" topLeftCell="A100">
      <selection activeCell="H113" sqref="H113"/>
      <pageMargins left="0.7" right="0.7" top="0.75" bottom="0.75" header="0.3" footer="0.3"/>
      <pageSetup orientation="portrait" r:id="rId4"/>
    </customSheetView>
    <customSheetView guid="{60D2C030-4E31-4E07-8E1C-44D2EE84B177}" scale="85" showAutoFilter="1" topLeftCell="K121">
      <selection activeCell="V147" sqref="V147"/>
      <pageMargins left="0.7" right="0.7" top="0.75" bottom="0.75" header="0.3" footer="0.3"/>
      <pageSetup orientation="portrait" r:id="rId5"/>
      <autoFilter ref="B2:AG164" xr:uid="{00000000-0000-0000-0000-000000000000}"/>
    </customSheetView>
    <customSheetView guid="{72A6EB0A-84D5-4B8A-AC51-54CCD061630B}" scale="85" hiddenColumns="1" topLeftCell="G130">
      <selection activeCell="O155" sqref="O155"/>
      <pageMargins left="0.7" right="0.7" top="0.75" bottom="0.75" header="0.3" footer="0.3"/>
      <pageSetup orientation="portrait" r:id="rId6"/>
    </customSheetView>
    <customSheetView guid="{7E0EA425-A420-4443-B9E0-CDF0AA9E5D09}" scale="85" showAutoFilter="1" hiddenColumns="1" topLeftCell="G103">
      <selection activeCell="I128" sqref="I128"/>
      <pageMargins left="0.7" right="0.7" top="0.75" bottom="0.75" header="0.3" footer="0.3"/>
      <pageSetup orientation="portrait" r:id="rId7"/>
      <autoFilter ref="B2:AG164" xr:uid="{00000000-0000-0000-0000-000000000000}"/>
    </customSheetView>
  </customSheetViews>
  <conditionalFormatting sqref="H177:H180 H168:H172">
    <cfRule type="cellIs" dxfId="16" priority="6" operator="equal">
      <formula>1</formula>
    </cfRule>
    <cfRule type="cellIs" dxfId="15" priority="7" operator="lessThan">
      <formula>1</formula>
    </cfRule>
  </conditionalFormatting>
  <conditionalFormatting sqref="AB3:AB128 AB130:AB164">
    <cfRule type="cellIs" dxfId="14" priority="2" operator="equal">
      <formula>"OK"</formula>
    </cfRule>
    <cfRule type="cellIs" dxfId="13" priority="3" operator="equal">
      <formula>"NG"</formula>
    </cfRule>
  </conditionalFormatting>
  <conditionalFormatting sqref="L3:M19 L26:M66">
    <cfRule type="cellIs" dxfId="12" priority="1" operator="equal">
      <formula>"PUT_VERSION"</formula>
    </cfRule>
  </conditionalFormatting>
  <dataValidations count="2">
    <dataValidation type="list" allowBlank="1" showInputMessage="1" showErrorMessage="1" sqref="AB130:AB164 AB3:AB128" xr:uid="{00000000-0002-0000-0000-000000000000}">
      <formula1>"OK,NG"</formula1>
    </dataValidation>
    <dataValidation type="list" allowBlank="1" showInputMessage="1" showErrorMessage="1" sqref="Q130:Q164 Q3:Q128" xr:uid="{00000000-0002-0000-0000-000001000000}">
      <formula1>"Yes,No"</formula1>
    </dataValidation>
  </dataValidations>
  <pageMargins left="0.7" right="0.7" top="0.75" bottom="0.75" header="0.3" footer="0.3"/>
  <pageSetup orientation="portrait" r:id="rId8"/>
  <legacyDrawing r:id="rId9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greaterThanOrEqual" id="{A2DBCDAC-112C-4EB1-9137-4C59CE189EEE}">
            <xm:f>Table!$C$4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" operator="lessThan" id="{F93A1AC6-53A2-4404-902D-A62DCB6880F9}">
            <xm:f>Table!$C$4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G168:G172</xm:sqref>
        </x14:conditionalFormatting>
        <x14:conditionalFormatting xmlns:xm="http://schemas.microsoft.com/office/excel/2006/main">
          <x14:cfRule type="cellIs" priority="10" operator="greaterThanOrEqual" id="{4226BAC8-183D-4343-90C4-3398666B9C59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" operator="lessThan" id="{2C456F9B-0386-48E4-B7ED-E463A343237A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G177:G180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Table!$C$13:$C$20</xm:f>
          </x14:formula1>
          <xm:sqref>R89:R102 P89:P102 O103:P128 O130:P164 O3:P88</xm:sqref>
        </x14:dataValidation>
        <x14:dataValidation type="list" allowBlank="1" showInputMessage="1" showErrorMessage="1" xr:uid="{00000000-0002-0000-0000-000003000000}">
          <x14:formula1>
            <xm:f>Table!$C$24:$C$30</xm:f>
          </x14:formula1>
          <xm:sqref>W130:W164 W3:W128</xm:sqref>
        </x14:dataValidation>
        <x14:dataValidation type="list" allowBlank="1" showInputMessage="1" showErrorMessage="1" xr:uid="{00000000-0002-0000-0000-000004000000}">
          <x14:formula1>
            <xm:f>Table!$C$8:$C$9</xm:f>
          </x14:formula1>
          <xm:sqref>D3:D164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G45"/>
  <sheetViews>
    <sheetView tabSelected="1" workbookViewId="0">
      <selection activeCell="J13" sqref="J13"/>
    </sheetView>
  </sheetViews>
  <sheetFormatPr defaultRowHeight="14.5" x14ac:dyDescent="0.35"/>
  <cols>
    <col min="1" max="1" width="10" bestFit="1" customWidth="1"/>
    <col min="2" max="2" width="9.7265625" bestFit="1" customWidth="1"/>
    <col min="3" max="3" width="2" bestFit="1" customWidth="1"/>
    <col min="4" max="4" width="18.7265625" bestFit="1" customWidth="1"/>
    <col min="5" max="5" width="16.7265625" bestFit="1" customWidth="1"/>
    <col min="6" max="6" width="18.453125" bestFit="1" customWidth="1"/>
    <col min="7" max="7" width="30.54296875" customWidth="1"/>
    <col min="10" max="10" width="17.54296875" bestFit="1" customWidth="1"/>
    <col min="11" max="11" width="13" customWidth="1"/>
    <col min="12" max="12" width="18.453125" bestFit="1" customWidth="1"/>
  </cols>
  <sheetData>
    <row r="1" spans="1:7" x14ac:dyDescent="0.35">
      <c r="A1" s="1" t="s">
        <v>48</v>
      </c>
      <c r="B1" s="11">
        <v>43910</v>
      </c>
    </row>
    <row r="2" spans="1:7" x14ac:dyDescent="0.35">
      <c r="A2" s="1" t="s">
        <v>36</v>
      </c>
      <c r="B2" s="12">
        <v>21</v>
      </c>
    </row>
    <row r="3" spans="1:7" x14ac:dyDescent="0.35">
      <c r="A3" s="1" t="s">
        <v>354</v>
      </c>
      <c r="B3" s="12">
        <v>14.25</v>
      </c>
    </row>
    <row r="5" spans="1:7" x14ac:dyDescent="0.35">
      <c r="B5" s="1" t="s">
        <v>40</v>
      </c>
    </row>
    <row r="6" spans="1:7" ht="29" x14ac:dyDescent="0.35">
      <c r="C6" s="15" t="s">
        <v>31</v>
      </c>
      <c r="D6" s="15" t="s">
        <v>32</v>
      </c>
      <c r="E6" s="15" t="s">
        <v>33</v>
      </c>
      <c r="F6" s="15" t="s">
        <v>34</v>
      </c>
      <c r="G6" s="16" t="s">
        <v>35</v>
      </c>
    </row>
    <row r="7" spans="1:7" x14ac:dyDescent="0.35">
      <c r="C7" s="13">
        <v>1</v>
      </c>
      <c r="D7" s="14" t="s">
        <v>3</v>
      </c>
      <c r="E7" s="14">
        <f>COEM_Package_20200302!D181</f>
        <v>28776</v>
      </c>
      <c r="F7" s="14">
        <f>COEM_Package_20200302!E181</f>
        <v>27600</v>
      </c>
      <c r="G7" s="80">
        <f>F7/E7</f>
        <v>0.95913261050875731</v>
      </c>
    </row>
    <row r="8" spans="1:7" x14ac:dyDescent="0.35">
      <c r="C8" s="13">
        <v>2</v>
      </c>
      <c r="D8" s="14" t="s">
        <v>2</v>
      </c>
      <c r="E8" s="14">
        <f>COEM_Package_20200302!D172</f>
        <v>641</v>
      </c>
      <c r="F8" s="14">
        <f>COEM_Package_20200302!E172</f>
        <v>229</v>
      </c>
      <c r="G8" s="80">
        <f>F8/E8</f>
        <v>0.35725429017160687</v>
      </c>
    </row>
    <row r="10" spans="1:7" x14ac:dyDescent="0.35">
      <c r="B10" s="1" t="s">
        <v>41</v>
      </c>
    </row>
    <row r="11" spans="1:7" ht="29" x14ac:dyDescent="0.35">
      <c r="C11" s="8" t="s">
        <v>31</v>
      </c>
      <c r="D11" s="8" t="s">
        <v>37</v>
      </c>
      <c r="E11" s="9" t="s">
        <v>38</v>
      </c>
      <c r="F11" s="9" t="s">
        <v>39</v>
      </c>
    </row>
    <row r="12" spans="1:7" x14ac:dyDescent="0.35">
      <c r="C12" s="10">
        <v>1</v>
      </c>
      <c r="D12" s="10" t="str">
        <f>COEM_Package_20200302!C186</f>
        <v>duong.nguyen</v>
      </c>
      <c r="E12" s="14">
        <f>COEM_Package_20200302!E177</f>
        <v>4282</v>
      </c>
      <c r="F12" s="14">
        <f>COEM_Package_20200302!E168</f>
        <v>187</v>
      </c>
    </row>
    <row r="13" spans="1:7" x14ac:dyDescent="0.35">
      <c r="C13" s="10">
        <v>2</v>
      </c>
      <c r="D13" s="75" t="str">
        <f>COEM_Package_20200302!C187</f>
        <v>loc.do-phu</v>
      </c>
      <c r="E13" s="14">
        <f>COEM_Package_20200302!E178</f>
        <v>7880</v>
      </c>
      <c r="F13" s="14">
        <f>COEM_Package_20200302!E169</f>
        <v>23</v>
      </c>
    </row>
    <row r="14" spans="1:7" x14ac:dyDescent="0.35">
      <c r="C14" s="75">
        <v>3</v>
      </c>
      <c r="D14" s="75" t="str">
        <f>COEM_Package_20200302!C188</f>
        <v>thanh.nguyen-kim</v>
      </c>
      <c r="E14" s="14">
        <f>COEM_Package_20200302!E179</f>
        <v>6687</v>
      </c>
      <c r="F14" s="14">
        <f>COEM_Package_20200302!E170</f>
        <v>19</v>
      </c>
    </row>
    <row r="15" spans="1:7" x14ac:dyDescent="0.35">
      <c r="C15" s="75">
        <v>4</v>
      </c>
      <c r="D15" s="75" t="str">
        <f>COEM_Package_20200302!C189</f>
        <v>chung.ly</v>
      </c>
      <c r="E15" s="14">
        <f>COEM_Package_20200302!E180</f>
        <v>8751</v>
      </c>
      <c r="F15" s="14">
        <f>COEM_Package_20200302!D171</f>
        <v>0</v>
      </c>
    </row>
    <row r="16" spans="1:7" x14ac:dyDescent="0.35">
      <c r="C16" s="81"/>
      <c r="D16" s="81"/>
      <c r="E16" s="82"/>
      <c r="F16" s="82"/>
    </row>
    <row r="18" spans="2:7" x14ac:dyDescent="0.35">
      <c r="B18" s="1" t="s">
        <v>42</v>
      </c>
    </row>
    <row r="19" spans="2:7" ht="30" customHeight="1" x14ac:dyDescent="0.35">
      <c r="C19" s="15" t="s">
        <v>31</v>
      </c>
      <c r="D19" s="145" t="s">
        <v>43</v>
      </c>
      <c r="E19" s="145"/>
      <c r="F19" s="145"/>
      <c r="G19" s="145"/>
    </row>
    <row r="20" spans="2:7" x14ac:dyDescent="0.35">
      <c r="C20" s="10">
        <v>1</v>
      </c>
      <c r="D20" s="146"/>
      <c r="E20" s="146"/>
      <c r="F20" s="146"/>
      <c r="G20" s="146"/>
    </row>
    <row r="21" spans="2:7" x14ac:dyDescent="0.35">
      <c r="C21" s="10">
        <v>2</v>
      </c>
      <c r="D21" s="146"/>
      <c r="E21" s="146"/>
      <c r="F21" s="146"/>
      <c r="G21" s="146"/>
    </row>
    <row r="23" spans="2:7" x14ac:dyDescent="0.35">
      <c r="B23" s="1" t="s">
        <v>44</v>
      </c>
    </row>
    <row r="24" spans="2:7" ht="30" customHeight="1" x14ac:dyDescent="0.35">
      <c r="C24" s="124" t="s">
        <v>31</v>
      </c>
      <c r="D24" s="124" t="s">
        <v>37</v>
      </c>
      <c r="E24" s="16" t="s">
        <v>507</v>
      </c>
      <c r="F24" s="16" t="s">
        <v>508</v>
      </c>
    </row>
    <row r="25" spans="2:7" x14ac:dyDescent="0.35">
      <c r="C25" s="125">
        <v>1</v>
      </c>
      <c r="D25" s="125" t="s">
        <v>101</v>
      </c>
      <c r="E25" s="83">
        <v>6</v>
      </c>
      <c r="F25" s="14">
        <v>0</v>
      </c>
    </row>
    <row r="26" spans="2:7" x14ac:dyDescent="0.35">
      <c r="C26" s="125">
        <v>2</v>
      </c>
      <c r="D26" s="125" t="s">
        <v>102</v>
      </c>
      <c r="E26" s="83">
        <v>4</v>
      </c>
      <c r="F26" s="14">
        <v>0</v>
      </c>
    </row>
    <row r="27" spans="2:7" x14ac:dyDescent="0.35">
      <c r="C27" s="125">
        <v>3</v>
      </c>
      <c r="D27" s="125" t="s">
        <v>103</v>
      </c>
      <c r="E27" s="14">
        <v>5</v>
      </c>
      <c r="F27" s="83">
        <v>0</v>
      </c>
    </row>
    <row r="28" spans="2:7" x14ac:dyDescent="0.35">
      <c r="C28" s="125">
        <v>4</v>
      </c>
      <c r="D28" s="125" t="s">
        <v>104</v>
      </c>
      <c r="E28" s="14">
        <v>7</v>
      </c>
      <c r="F28" s="14">
        <v>0</v>
      </c>
    </row>
    <row r="29" spans="2:7" x14ac:dyDescent="0.35">
      <c r="C29" s="81"/>
      <c r="D29" s="81"/>
      <c r="E29" s="81"/>
      <c r="F29" s="81"/>
      <c r="G29" s="81"/>
    </row>
    <row r="31" spans="2:7" x14ac:dyDescent="0.35">
      <c r="B31" s="1" t="s">
        <v>45</v>
      </c>
    </row>
    <row r="32" spans="2:7" x14ac:dyDescent="0.35">
      <c r="C32" s="15" t="s">
        <v>31</v>
      </c>
      <c r="D32" s="15" t="s">
        <v>37</v>
      </c>
      <c r="E32" s="16" t="s">
        <v>46</v>
      </c>
      <c r="F32" s="16" t="s">
        <v>47</v>
      </c>
    </row>
    <row r="33" spans="2:6" x14ac:dyDescent="0.35">
      <c r="C33" s="10">
        <v>1</v>
      </c>
      <c r="D33" s="75" t="str">
        <f>COEM_Package_20200302!C186</f>
        <v>duong.nguyen</v>
      </c>
      <c r="E33" s="83" t="s">
        <v>88</v>
      </c>
      <c r="F33" s="10" t="s">
        <v>88</v>
      </c>
    </row>
    <row r="34" spans="2:6" x14ac:dyDescent="0.35">
      <c r="C34" s="75">
        <v>2</v>
      </c>
      <c r="D34" s="75" t="str">
        <f>COEM_Package_20200302!C187</f>
        <v>loc.do-phu</v>
      </c>
      <c r="E34" s="83">
        <v>1</v>
      </c>
      <c r="F34" s="75" t="s">
        <v>88</v>
      </c>
    </row>
    <row r="35" spans="2:6" x14ac:dyDescent="0.35">
      <c r="C35" s="75">
        <v>3</v>
      </c>
      <c r="D35" s="75" t="str">
        <f>COEM_Package_20200302!C188</f>
        <v>thanh.nguyen-kim</v>
      </c>
      <c r="E35" s="14">
        <v>1</v>
      </c>
      <c r="F35" s="143" t="s">
        <v>506</v>
      </c>
    </row>
    <row r="36" spans="2:6" x14ac:dyDescent="0.35">
      <c r="C36" s="75">
        <v>4</v>
      </c>
      <c r="D36" s="75" t="str">
        <f>COEM_Package_20200302!C189</f>
        <v>chung.ly</v>
      </c>
      <c r="E36" s="14" t="s">
        <v>88</v>
      </c>
      <c r="F36" s="75" t="s">
        <v>88</v>
      </c>
    </row>
    <row r="37" spans="2:6" x14ac:dyDescent="0.35">
      <c r="C37" s="81"/>
      <c r="D37" s="81"/>
      <c r="E37" s="82"/>
      <c r="F37" s="81"/>
    </row>
    <row r="39" spans="2:6" x14ac:dyDescent="0.35">
      <c r="B39" s="1" t="s">
        <v>49</v>
      </c>
    </row>
    <row r="40" spans="2:6" x14ac:dyDescent="0.35">
      <c r="C40" s="1" t="s">
        <v>52</v>
      </c>
    </row>
    <row r="41" spans="2:6" x14ac:dyDescent="0.35">
      <c r="D41" t="s">
        <v>50</v>
      </c>
    </row>
    <row r="42" spans="2:6" x14ac:dyDescent="0.35">
      <c r="D42" t="s">
        <v>51</v>
      </c>
    </row>
    <row r="43" spans="2:6" x14ac:dyDescent="0.35">
      <c r="C43" s="1" t="s">
        <v>53</v>
      </c>
    </row>
    <row r="44" spans="2:6" x14ac:dyDescent="0.35">
      <c r="D44" t="s">
        <v>54</v>
      </c>
    </row>
    <row r="45" spans="2:6" x14ac:dyDescent="0.35">
      <c r="D45" t="s">
        <v>55</v>
      </c>
    </row>
  </sheetData>
  <customSheetViews>
    <customSheetView guid="{D1CE1C7B-C5EA-487A-B174-370E881055E2}">
      <selection activeCell="J13" sqref="J13"/>
      <pageMargins left="0.7" right="0.7" top="0.75" bottom="0.75" header="0.3" footer="0.3"/>
    </customSheetView>
    <customSheetView guid="{4E06BDBF-2CED-473B-850B-2A6C7311FF41}" topLeftCell="A16">
      <selection activeCell="D6" sqref="D6"/>
      <pageMargins left="0.7" right="0.7" top="0.75" bottom="0.75" header="0.3" footer="0.3"/>
    </customSheetView>
    <customSheetView guid="{7ECC2B8E-6A82-42F5-8AB0-4A51C54EA5EC}">
      <selection activeCell="H33" sqref="H33"/>
      <pageMargins left="0.7" right="0.7" top="0.75" bottom="0.75" header="0.3" footer="0.3"/>
    </customSheetView>
    <customSheetView guid="{250915DF-0B97-45D7-B29D-7EED4C89C1C1}">
      <selection activeCell="D49" sqref="D49"/>
      <pageMargins left="0.7" right="0.7" top="0.75" bottom="0.75" header="0.3" footer="0.3"/>
    </customSheetView>
    <customSheetView guid="{60D2C030-4E31-4E07-8E1C-44D2EE84B177}" topLeftCell="A16">
      <selection activeCell="D6" sqref="D6"/>
      <pageMargins left="0.7" right="0.7" top="0.75" bottom="0.75" header="0.3" footer="0.3"/>
    </customSheetView>
    <customSheetView guid="{72A6EB0A-84D5-4B8A-AC51-54CCD061630B}">
      <selection activeCell="B4" sqref="B4"/>
      <pageMargins left="0.7" right="0.7" top="0.75" bottom="0.75" header="0.3" footer="0.3"/>
    </customSheetView>
    <customSheetView guid="{7E0EA425-A420-4443-B9E0-CDF0AA9E5D09}">
      <selection activeCell="F25" sqref="F25:F28"/>
      <pageMargins left="0.7" right="0.7" top="0.75" bottom="0.75" header="0.3" footer="0.3"/>
    </customSheetView>
  </customSheetViews>
  <mergeCells count="3">
    <mergeCell ref="D19:G19"/>
    <mergeCell ref="D20:G20"/>
    <mergeCell ref="D21:G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7"/>
  <sheetViews>
    <sheetView topLeftCell="A25" workbookViewId="0">
      <selection activeCell="B4" sqref="B4"/>
    </sheetView>
  </sheetViews>
  <sheetFormatPr defaultRowHeight="14.5" x14ac:dyDescent="0.35"/>
  <sheetData>
    <row r="2" spans="1:2" x14ac:dyDescent="0.35">
      <c r="A2" s="59" t="s">
        <v>70</v>
      </c>
      <c r="B2" s="59" t="s">
        <v>72</v>
      </c>
    </row>
    <row r="3" spans="1:2" x14ac:dyDescent="0.35">
      <c r="A3" s="48" t="s">
        <v>171</v>
      </c>
      <c r="B3" s="48" t="s">
        <v>81</v>
      </c>
    </row>
    <row r="4" spans="1:2" x14ac:dyDescent="0.35">
      <c r="A4" s="60" t="s">
        <v>172</v>
      </c>
      <c r="B4" s="60" t="s">
        <v>82</v>
      </c>
    </row>
    <row r="5" spans="1:2" x14ac:dyDescent="0.35">
      <c r="A5" s="48" t="s">
        <v>173</v>
      </c>
      <c r="B5" s="48" t="s">
        <v>83</v>
      </c>
    </row>
    <row r="6" spans="1:2" x14ac:dyDescent="0.35">
      <c r="A6" s="48" t="s">
        <v>174</v>
      </c>
      <c r="B6" s="48" t="s">
        <v>84</v>
      </c>
    </row>
    <row r="7" spans="1:2" x14ac:dyDescent="0.35">
      <c r="A7" s="49" t="s">
        <v>88</v>
      </c>
      <c r="B7" s="48" t="s">
        <v>68</v>
      </c>
    </row>
    <row r="8" spans="1:2" x14ac:dyDescent="0.35">
      <c r="A8" s="49" t="s">
        <v>215</v>
      </c>
      <c r="B8" s="48" t="s">
        <v>93</v>
      </c>
    </row>
    <row r="9" spans="1:2" x14ac:dyDescent="0.35">
      <c r="A9" s="49" t="s">
        <v>209</v>
      </c>
      <c r="B9" s="60" t="s">
        <v>94</v>
      </c>
    </row>
    <row r="10" spans="1:2" x14ac:dyDescent="0.35">
      <c r="A10" s="49" t="s">
        <v>209</v>
      </c>
      <c r="B10" s="60" t="s">
        <v>96</v>
      </c>
    </row>
    <row r="11" spans="1:2" x14ac:dyDescent="0.35">
      <c r="A11" s="61" t="s">
        <v>210</v>
      </c>
      <c r="B11" s="48" t="s">
        <v>206</v>
      </c>
    </row>
    <row r="12" spans="1:2" x14ac:dyDescent="0.35">
      <c r="A12" s="49" t="s">
        <v>210</v>
      </c>
      <c r="B12" s="48" t="s">
        <v>207</v>
      </c>
    </row>
    <row r="13" spans="1:2" x14ac:dyDescent="0.35">
      <c r="A13" s="49" t="s">
        <v>211</v>
      </c>
      <c r="B13" s="60" t="s">
        <v>208</v>
      </c>
    </row>
    <row r="14" spans="1:2" x14ac:dyDescent="0.35">
      <c r="A14" s="49" t="s">
        <v>175</v>
      </c>
      <c r="B14" s="48" t="s">
        <v>106</v>
      </c>
    </row>
    <row r="15" spans="1:2" x14ac:dyDescent="0.35">
      <c r="A15" s="49" t="s">
        <v>233</v>
      </c>
      <c r="B15" s="48" t="s">
        <v>119</v>
      </c>
    </row>
    <row r="16" spans="1:2" x14ac:dyDescent="0.35">
      <c r="A16" s="49" t="s">
        <v>203</v>
      </c>
      <c r="B16" s="48" t="s">
        <v>121</v>
      </c>
    </row>
    <row r="17" spans="1:2" x14ac:dyDescent="0.35">
      <c r="A17" s="49" t="s">
        <v>203</v>
      </c>
      <c r="B17" s="48" t="s">
        <v>122</v>
      </c>
    </row>
    <row r="18" spans="1:2" x14ac:dyDescent="0.35">
      <c r="A18" s="49" t="s">
        <v>204</v>
      </c>
      <c r="B18" s="48" t="s">
        <v>123</v>
      </c>
    </row>
    <row r="19" spans="1:2" x14ac:dyDescent="0.35">
      <c r="A19" s="49" t="s">
        <v>205</v>
      </c>
      <c r="B19" s="48" t="s">
        <v>123</v>
      </c>
    </row>
    <row r="20" spans="1:2" x14ac:dyDescent="0.35">
      <c r="A20" s="49" t="s">
        <v>224</v>
      </c>
      <c r="B20" s="48" t="s">
        <v>225</v>
      </c>
    </row>
    <row r="21" spans="1:2" x14ac:dyDescent="0.35">
      <c r="A21" s="49" t="s">
        <v>224</v>
      </c>
      <c r="B21" s="48" t="s">
        <v>226</v>
      </c>
    </row>
    <row r="22" spans="1:2" x14ac:dyDescent="0.35">
      <c r="A22" s="49" t="s">
        <v>224</v>
      </c>
      <c r="B22" s="48" t="s">
        <v>227</v>
      </c>
    </row>
    <row r="23" spans="1:2" x14ac:dyDescent="0.35">
      <c r="A23" s="49" t="s">
        <v>224</v>
      </c>
      <c r="B23" s="48" t="s">
        <v>228</v>
      </c>
    </row>
    <row r="24" spans="1:2" x14ac:dyDescent="0.35">
      <c r="A24" s="49" t="s">
        <v>224</v>
      </c>
      <c r="B24" s="48" t="s">
        <v>229</v>
      </c>
    </row>
    <row r="25" spans="1:2" x14ac:dyDescent="0.35">
      <c r="A25" s="49" t="s">
        <v>224</v>
      </c>
      <c r="B25" s="48" t="s">
        <v>230</v>
      </c>
    </row>
    <row r="26" spans="1:2" x14ac:dyDescent="0.35">
      <c r="A26" s="49" t="s">
        <v>88</v>
      </c>
      <c r="B26" s="48" t="s">
        <v>220</v>
      </c>
    </row>
    <row r="27" spans="1:2" x14ac:dyDescent="0.35">
      <c r="A27" s="48"/>
      <c r="B27" s="48"/>
    </row>
    <row r="28" spans="1:2" x14ac:dyDescent="0.35">
      <c r="A28" s="48"/>
      <c r="B28" s="48"/>
    </row>
    <row r="29" spans="1:2" x14ac:dyDescent="0.35">
      <c r="A29" s="49" t="s">
        <v>221</v>
      </c>
      <c r="B29" s="48" t="s">
        <v>134</v>
      </c>
    </row>
    <row r="30" spans="1:2" x14ac:dyDescent="0.35">
      <c r="A30" s="49" t="s">
        <v>221</v>
      </c>
      <c r="B30" s="48" t="s">
        <v>135</v>
      </c>
    </row>
    <row r="31" spans="1:2" x14ac:dyDescent="0.35">
      <c r="A31" s="49" t="s">
        <v>221</v>
      </c>
      <c r="B31" s="48" t="s">
        <v>136</v>
      </c>
    </row>
    <row r="32" spans="1:2" x14ac:dyDescent="0.35">
      <c r="A32" s="49" t="s">
        <v>219</v>
      </c>
      <c r="B32" s="64" t="s">
        <v>137</v>
      </c>
    </row>
    <row r="33" spans="1:2" x14ac:dyDescent="0.35">
      <c r="A33" s="49" t="s">
        <v>219</v>
      </c>
      <c r="B33" s="64" t="s">
        <v>138</v>
      </c>
    </row>
    <row r="34" spans="1:2" x14ac:dyDescent="0.35">
      <c r="A34" s="49" t="s">
        <v>219</v>
      </c>
      <c r="B34" s="64" t="s">
        <v>139</v>
      </c>
    </row>
    <row r="35" spans="1:2" x14ac:dyDescent="0.35">
      <c r="A35" s="49" t="s">
        <v>219</v>
      </c>
      <c r="B35" s="65" t="s">
        <v>140</v>
      </c>
    </row>
    <row r="36" spans="1:2" x14ac:dyDescent="0.35">
      <c r="A36" s="49" t="s">
        <v>219</v>
      </c>
      <c r="B36" s="64" t="s">
        <v>141</v>
      </c>
    </row>
    <row r="37" spans="1:2" x14ac:dyDescent="0.35">
      <c r="A37" s="49" t="s">
        <v>219</v>
      </c>
      <c r="B37" s="48" t="s">
        <v>142</v>
      </c>
    </row>
    <row r="38" spans="1:2" x14ac:dyDescent="0.35">
      <c r="A38" s="49" t="s">
        <v>219</v>
      </c>
      <c r="B38" s="48" t="s">
        <v>143</v>
      </c>
    </row>
    <row r="39" spans="1:2" x14ac:dyDescent="0.35">
      <c r="A39" s="49" t="s">
        <v>219</v>
      </c>
      <c r="B39" s="64" t="s">
        <v>144</v>
      </c>
    </row>
    <row r="40" spans="1:2" x14ac:dyDescent="0.35">
      <c r="A40" s="49" t="s">
        <v>219</v>
      </c>
      <c r="B40" s="64" t="s">
        <v>145</v>
      </c>
    </row>
    <row r="41" spans="1:2" x14ac:dyDescent="0.35">
      <c r="A41" s="49" t="s">
        <v>219</v>
      </c>
      <c r="B41" s="64" t="s">
        <v>146</v>
      </c>
    </row>
    <row r="42" spans="1:2" x14ac:dyDescent="0.35">
      <c r="A42" s="49" t="s">
        <v>219</v>
      </c>
      <c r="B42" s="48" t="s">
        <v>147</v>
      </c>
    </row>
    <row r="43" spans="1:2" x14ac:dyDescent="0.35">
      <c r="A43" s="49" t="s">
        <v>219</v>
      </c>
      <c r="B43" s="48" t="s">
        <v>148</v>
      </c>
    </row>
    <row r="44" spans="1:2" x14ac:dyDescent="0.35">
      <c r="A44" s="49" t="s">
        <v>219</v>
      </c>
      <c r="B44" s="48" t="s">
        <v>149</v>
      </c>
    </row>
    <row r="45" spans="1:2" x14ac:dyDescent="0.35">
      <c r="A45" s="49" t="s">
        <v>219</v>
      </c>
      <c r="B45" s="48" t="s">
        <v>150</v>
      </c>
    </row>
    <row r="46" spans="1:2" x14ac:dyDescent="0.35">
      <c r="A46" s="49" t="s">
        <v>219</v>
      </c>
      <c r="B46" s="64" t="s">
        <v>151</v>
      </c>
    </row>
    <row r="47" spans="1:2" x14ac:dyDescent="0.35">
      <c r="A47" s="49" t="s">
        <v>219</v>
      </c>
      <c r="B47" s="48" t="s">
        <v>152</v>
      </c>
    </row>
    <row r="48" spans="1:2" x14ac:dyDescent="0.35">
      <c r="A48" s="49" t="s">
        <v>219</v>
      </c>
      <c r="B48" s="48" t="s">
        <v>153</v>
      </c>
    </row>
    <row r="49" spans="1:2" x14ac:dyDescent="0.35">
      <c r="A49" s="49" t="s">
        <v>219</v>
      </c>
      <c r="B49" s="48" t="s">
        <v>154</v>
      </c>
    </row>
    <row r="50" spans="1:2" x14ac:dyDescent="0.35">
      <c r="A50" s="49" t="s">
        <v>219</v>
      </c>
      <c r="B50" s="64" t="s">
        <v>155</v>
      </c>
    </row>
    <row r="51" spans="1:2" x14ac:dyDescent="0.35">
      <c r="A51" s="49" t="s">
        <v>219</v>
      </c>
      <c r="B51" s="64" t="s">
        <v>156</v>
      </c>
    </row>
    <row r="52" spans="1:2" x14ac:dyDescent="0.35">
      <c r="A52" s="49" t="s">
        <v>219</v>
      </c>
      <c r="B52" s="64" t="s">
        <v>157</v>
      </c>
    </row>
    <row r="53" spans="1:2" x14ac:dyDescent="0.35">
      <c r="A53" s="49" t="s">
        <v>219</v>
      </c>
      <c r="B53" s="48" t="s">
        <v>158</v>
      </c>
    </row>
    <row r="54" spans="1:2" x14ac:dyDescent="0.35">
      <c r="A54" s="49" t="s">
        <v>222</v>
      </c>
      <c r="B54" s="48" t="s">
        <v>159</v>
      </c>
    </row>
    <row r="55" spans="1:2" x14ac:dyDescent="0.35">
      <c r="A55" s="49" t="s">
        <v>222</v>
      </c>
      <c r="B55" s="48" t="s">
        <v>160</v>
      </c>
    </row>
    <row r="56" spans="1:2" x14ac:dyDescent="0.35">
      <c r="A56" s="49" t="s">
        <v>222</v>
      </c>
      <c r="B56" s="48" t="s">
        <v>161</v>
      </c>
    </row>
    <row r="57" spans="1:2" x14ac:dyDescent="0.35">
      <c r="A57" s="49" t="s">
        <v>222</v>
      </c>
      <c r="B57" s="48" t="s">
        <v>162</v>
      </c>
    </row>
    <row r="58" spans="1:2" x14ac:dyDescent="0.35">
      <c r="A58" s="49" t="s">
        <v>222</v>
      </c>
      <c r="B58" s="48" t="s">
        <v>163</v>
      </c>
    </row>
    <row r="59" spans="1:2" x14ac:dyDescent="0.35">
      <c r="A59" s="49" t="s">
        <v>215</v>
      </c>
      <c r="B59" s="48" t="s">
        <v>93</v>
      </c>
    </row>
    <row r="60" spans="1:2" x14ac:dyDescent="0.35">
      <c r="A60" s="49" t="s">
        <v>215</v>
      </c>
      <c r="B60" s="48" t="s">
        <v>164</v>
      </c>
    </row>
    <row r="61" spans="1:2" x14ac:dyDescent="0.35">
      <c r="A61" s="49" t="s">
        <v>215</v>
      </c>
      <c r="B61" s="48" t="s">
        <v>165</v>
      </c>
    </row>
    <row r="62" spans="1:2" x14ac:dyDescent="0.35">
      <c r="A62" s="49" t="s">
        <v>215</v>
      </c>
      <c r="B62" s="48" t="s">
        <v>166</v>
      </c>
    </row>
    <row r="63" spans="1:2" x14ac:dyDescent="0.35">
      <c r="A63" s="49" t="s">
        <v>215</v>
      </c>
      <c r="B63" s="48" t="s">
        <v>167</v>
      </c>
    </row>
    <row r="64" spans="1:2" x14ac:dyDescent="0.35">
      <c r="A64" s="63" t="s">
        <v>170</v>
      </c>
      <c r="B64" s="62" t="s">
        <v>168</v>
      </c>
    </row>
    <row r="65" spans="1:2" x14ac:dyDescent="0.35">
      <c r="A65" s="49" t="s">
        <v>170</v>
      </c>
      <c r="B65" s="48" t="s">
        <v>169</v>
      </c>
    </row>
    <row r="66" spans="1:2" x14ac:dyDescent="0.35">
      <c r="A66" s="49" t="s">
        <v>170</v>
      </c>
      <c r="B66" s="48" t="s">
        <v>164</v>
      </c>
    </row>
    <row r="67" spans="1:2" x14ac:dyDescent="0.35">
      <c r="A67" s="49" t="s">
        <v>170</v>
      </c>
      <c r="B67" s="48" t="s">
        <v>166</v>
      </c>
    </row>
    <row r="68" spans="1:2" x14ac:dyDescent="0.35">
      <c r="A68" s="49" t="s">
        <v>170</v>
      </c>
      <c r="B68" s="48" t="s">
        <v>168</v>
      </c>
    </row>
    <row r="69" spans="1:2" x14ac:dyDescent="0.35">
      <c r="A69" s="49" t="s">
        <v>238</v>
      </c>
      <c r="B69" s="48" t="s">
        <v>243</v>
      </c>
    </row>
    <row r="70" spans="1:2" x14ac:dyDescent="0.35">
      <c r="A70" s="49" t="s">
        <v>239</v>
      </c>
      <c r="B70" s="48" t="s">
        <v>244</v>
      </c>
    </row>
    <row r="71" spans="1:2" x14ac:dyDescent="0.35">
      <c r="A71" s="49" t="s">
        <v>240</v>
      </c>
      <c r="B71" s="48" t="s">
        <v>245</v>
      </c>
    </row>
    <row r="72" spans="1:2" x14ac:dyDescent="0.35">
      <c r="A72" s="49" t="s">
        <v>240</v>
      </c>
      <c r="B72" s="48" t="s">
        <v>246</v>
      </c>
    </row>
    <row r="73" spans="1:2" x14ac:dyDescent="0.35">
      <c r="A73" s="49" t="s">
        <v>240</v>
      </c>
      <c r="B73" s="48" t="s">
        <v>247</v>
      </c>
    </row>
    <row r="74" spans="1:2" x14ac:dyDescent="0.35">
      <c r="A74" s="49" t="s">
        <v>240</v>
      </c>
      <c r="B74" s="48" t="s">
        <v>82</v>
      </c>
    </row>
    <row r="75" spans="1:2" x14ac:dyDescent="0.35">
      <c r="A75" s="49" t="s">
        <v>241</v>
      </c>
      <c r="B75" s="48" t="s">
        <v>248</v>
      </c>
    </row>
    <row r="76" spans="1:2" x14ac:dyDescent="0.35">
      <c r="A76" s="49" t="s">
        <v>265</v>
      </c>
      <c r="B76" s="60" t="s">
        <v>250</v>
      </c>
    </row>
    <row r="77" spans="1:2" x14ac:dyDescent="0.35">
      <c r="A77" s="49" t="s">
        <v>265</v>
      </c>
      <c r="B77" s="60" t="s">
        <v>251</v>
      </c>
    </row>
    <row r="78" spans="1:2" x14ac:dyDescent="0.35">
      <c r="A78" s="49" t="s">
        <v>265</v>
      </c>
      <c r="B78" s="60" t="s">
        <v>252</v>
      </c>
    </row>
    <row r="79" spans="1:2" x14ac:dyDescent="0.35">
      <c r="A79" s="49" t="s">
        <v>266</v>
      </c>
      <c r="B79" s="60" t="s">
        <v>253</v>
      </c>
    </row>
    <row r="80" spans="1:2" x14ac:dyDescent="0.35">
      <c r="A80" s="49" t="s">
        <v>267</v>
      </c>
      <c r="B80" s="60" t="s">
        <v>254</v>
      </c>
    </row>
    <row r="81" spans="1:2" x14ac:dyDescent="0.35">
      <c r="A81" s="49" t="s">
        <v>268</v>
      </c>
      <c r="B81" s="60" t="s">
        <v>255</v>
      </c>
    </row>
    <row r="82" spans="1:2" x14ac:dyDescent="0.35">
      <c r="A82" s="49" t="s">
        <v>268</v>
      </c>
      <c r="B82" s="60" t="s">
        <v>244</v>
      </c>
    </row>
    <row r="83" spans="1:2" x14ac:dyDescent="0.35">
      <c r="A83" s="49" t="s">
        <v>268</v>
      </c>
      <c r="B83" s="60" t="s">
        <v>256</v>
      </c>
    </row>
    <row r="84" spans="1:2" x14ac:dyDescent="0.35">
      <c r="A84" s="49" t="s">
        <v>268</v>
      </c>
      <c r="B84" s="60" t="s">
        <v>257</v>
      </c>
    </row>
    <row r="85" spans="1:2" x14ac:dyDescent="0.35">
      <c r="A85" s="49" t="s">
        <v>269</v>
      </c>
      <c r="B85" s="60" t="s">
        <v>258</v>
      </c>
    </row>
    <row r="86" spans="1:2" x14ac:dyDescent="0.35">
      <c r="A86" s="49" t="s">
        <v>270</v>
      </c>
      <c r="B86" s="60" t="s">
        <v>259</v>
      </c>
    </row>
    <row r="87" spans="1:2" x14ac:dyDescent="0.35">
      <c r="A87" s="49" t="s">
        <v>271</v>
      </c>
      <c r="B87" s="48" t="s">
        <v>260</v>
      </c>
    </row>
    <row r="88" spans="1:2" x14ac:dyDescent="0.35">
      <c r="A88" s="49" t="s">
        <v>272</v>
      </c>
      <c r="B88" s="48" t="s">
        <v>261</v>
      </c>
    </row>
    <row r="89" spans="1:2" x14ac:dyDescent="0.35">
      <c r="A89" s="49" t="s">
        <v>273</v>
      </c>
      <c r="B89" s="48" t="s">
        <v>262</v>
      </c>
    </row>
    <row r="90" spans="1:2" x14ac:dyDescent="0.35">
      <c r="A90" s="49" t="s">
        <v>273</v>
      </c>
      <c r="B90" s="48" t="s">
        <v>263</v>
      </c>
    </row>
    <row r="91" spans="1:2" x14ac:dyDescent="0.35">
      <c r="A91" s="49" t="s">
        <v>279</v>
      </c>
      <c r="B91" s="48" t="s">
        <v>291</v>
      </c>
    </row>
    <row r="92" spans="1:2" x14ac:dyDescent="0.35">
      <c r="A92" s="49" t="s">
        <v>280</v>
      </c>
      <c r="B92" s="48" t="s">
        <v>292</v>
      </c>
    </row>
    <row r="93" spans="1:2" x14ac:dyDescent="0.35">
      <c r="A93" s="49" t="s">
        <v>287</v>
      </c>
      <c r="B93" s="48" t="s">
        <v>293</v>
      </c>
    </row>
    <row r="94" spans="1:2" x14ac:dyDescent="0.35">
      <c r="A94" s="49" t="s">
        <v>288</v>
      </c>
      <c r="B94" s="48" t="s">
        <v>141</v>
      </c>
    </row>
    <row r="95" spans="1:2" x14ac:dyDescent="0.35">
      <c r="A95" s="49" t="s">
        <v>289</v>
      </c>
      <c r="B95" s="48" t="s">
        <v>294</v>
      </c>
    </row>
    <row r="96" spans="1:2" x14ac:dyDescent="0.35">
      <c r="A96" s="49" t="s">
        <v>290</v>
      </c>
      <c r="B96" s="48" t="s">
        <v>295</v>
      </c>
    </row>
    <row r="97" spans="1:2" x14ac:dyDescent="0.35">
      <c r="A97" s="49" t="s">
        <v>289</v>
      </c>
      <c r="B97" s="48" t="s">
        <v>296</v>
      </c>
    </row>
    <row r="98" spans="1:2" x14ac:dyDescent="0.35">
      <c r="A98" s="49" t="s">
        <v>281</v>
      </c>
      <c r="B98" s="48" t="s">
        <v>297</v>
      </c>
    </row>
    <row r="99" spans="1:2" x14ac:dyDescent="0.35">
      <c r="A99" s="49" t="s">
        <v>282</v>
      </c>
      <c r="B99" s="48" t="s">
        <v>298</v>
      </c>
    </row>
    <row r="100" spans="1:2" x14ac:dyDescent="0.35">
      <c r="A100" s="49" t="s">
        <v>283</v>
      </c>
      <c r="B100" s="48" t="s">
        <v>299</v>
      </c>
    </row>
    <row r="101" spans="1:2" x14ac:dyDescent="0.35">
      <c r="A101" s="49" t="s">
        <v>286</v>
      </c>
      <c r="B101" s="48" t="s">
        <v>300</v>
      </c>
    </row>
    <row r="102" spans="1:2" x14ac:dyDescent="0.35">
      <c r="A102" s="49" t="s">
        <v>284</v>
      </c>
      <c r="B102" s="48" t="s">
        <v>301</v>
      </c>
    </row>
    <row r="103" spans="1:2" x14ac:dyDescent="0.35">
      <c r="A103" s="49" t="s">
        <v>289</v>
      </c>
      <c r="B103" s="48" t="s">
        <v>302</v>
      </c>
    </row>
    <row r="104" spans="1:2" x14ac:dyDescent="0.35">
      <c r="A104" s="49" t="s">
        <v>285</v>
      </c>
      <c r="B104" s="48" t="s">
        <v>303</v>
      </c>
    </row>
    <row r="105" spans="1:2" x14ac:dyDescent="0.35">
      <c r="A105" s="48"/>
      <c r="B105" s="48"/>
    </row>
    <row r="106" spans="1:2" x14ac:dyDescent="0.35">
      <c r="A106" s="48"/>
      <c r="B106" s="48"/>
    </row>
    <row r="107" spans="1:2" x14ac:dyDescent="0.35">
      <c r="A107" s="48"/>
      <c r="B107" s="48"/>
    </row>
    <row r="108" spans="1:2" x14ac:dyDescent="0.35">
      <c r="A108" s="48"/>
      <c r="B108" s="48"/>
    </row>
    <row r="109" spans="1:2" x14ac:dyDescent="0.35">
      <c r="A109" s="48"/>
      <c r="B109" s="48"/>
    </row>
    <row r="110" spans="1:2" x14ac:dyDescent="0.35">
      <c r="A110" s="48"/>
      <c r="B110" s="48"/>
    </row>
    <row r="111" spans="1:2" x14ac:dyDescent="0.35">
      <c r="A111" s="48"/>
      <c r="B111" s="48"/>
    </row>
    <row r="112" spans="1:2" x14ac:dyDescent="0.35">
      <c r="A112" s="48"/>
      <c r="B112" s="48"/>
    </row>
    <row r="113" spans="1:2" x14ac:dyDescent="0.35">
      <c r="A113" s="48"/>
      <c r="B113" s="48"/>
    </row>
    <row r="114" spans="1:2" x14ac:dyDescent="0.35">
      <c r="A114" s="48"/>
      <c r="B114" s="48"/>
    </row>
    <row r="115" spans="1:2" x14ac:dyDescent="0.35">
      <c r="A115" s="48"/>
      <c r="B115" s="48"/>
    </row>
    <row r="116" spans="1:2" x14ac:dyDescent="0.35">
      <c r="A116" s="48"/>
      <c r="B116" s="48"/>
    </row>
    <row r="117" spans="1:2" x14ac:dyDescent="0.35">
      <c r="A117" s="48"/>
      <c r="B117" s="48"/>
    </row>
    <row r="118" spans="1:2" x14ac:dyDescent="0.35">
      <c r="A118" s="48"/>
      <c r="B118" s="48"/>
    </row>
    <row r="119" spans="1:2" x14ac:dyDescent="0.35">
      <c r="A119" s="48"/>
      <c r="B119" s="48"/>
    </row>
    <row r="120" spans="1:2" x14ac:dyDescent="0.35">
      <c r="A120" s="48"/>
      <c r="B120" s="48"/>
    </row>
    <row r="121" spans="1:2" x14ac:dyDescent="0.35">
      <c r="A121" s="48"/>
      <c r="B121" s="48"/>
    </row>
    <row r="122" spans="1:2" x14ac:dyDescent="0.35">
      <c r="A122" s="48"/>
      <c r="B122" s="48"/>
    </row>
    <row r="123" spans="1:2" x14ac:dyDescent="0.35">
      <c r="A123" s="48"/>
      <c r="B123" s="48"/>
    </row>
    <row r="124" spans="1:2" x14ac:dyDescent="0.35">
      <c r="A124" s="48"/>
      <c r="B124" s="48"/>
    </row>
    <row r="125" spans="1:2" x14ac:dyDescent="0.35">
      <c r="A125" s="48"/>
      <c r="B125" s="48"/>
    </row>
    <row r="126" spans="1:2" x14ac:dyDescent="0.35">
      <c r="A126" s="48"/>
      <c r="B126" s="48"/>
    </row>
    <row r="127" spans="1:2" x14ac:dyDescent="0.35">
      <c r="A127" s="48"/>
      <c r="B127" s="48"/>
    </row>
    <row r="128" spans="1:2" x14ac:dyDescent="0.35">
      <c r="A128" s="48"/>
      <c r="B128" s="48"/>
    </row>
    <row r="129" spans="1:2" x14ac:dyDescent="0.35">
      <c r="A129" s="48"/>
      <c r="B129" s="48"/>
    </row>
    <row r="130" spans="1:2" x14ac:dyDescent="0.35">
      <c r="A130" s="48"/>
      <c r="B130" s="48"/>
    </row>
    <row r="131" spans="1:2" x14ac:dyDescent="0.35">
      <c r="A131" s="48"/>
      <c r="B131" s="48"/>
    </row>
    <row r="132" spans="1:2" x14ac:dyDescent="0.35">
      <c r="A132" s="48"/>
      <c r="B132" s="48"/>
    </row>
    <row r="133" spans="1:2" x14ac:dyDescent="0.35">
      <c r="A133" s="48"/>
      <c r="B133" s="48"/>
    </row>
    <row r="134" spans="1:2" x14ac:dyDescent="0.35">
      <c r="A134" s="48"/>
      <c r="B134" s="48"/>
    </row>
    <row r="135" spans="1:2" x14ac:dyDescent="0.35">
      <c r="A135" s="48"/>
      <c r="B135" s="48"/>
    </row>
    <row r="136" spans="1:2" x14ac:dyDescent="0.35">
      <c r="A136" s="48"/>
      <c r="B136" s="48"/>
    </row>
    <row r="137" spans="1:2" x14ac:dyDescent="0.35">
      <c r="A137" s="48"/>
      <c r="B137" s="48"/>
    </row>
    <row r="138" spans="1:2" x14ac:dyDescent="0.35">
      <c r="A138" s="48"/>
      <c r="B138" s="48"/>
    </row>
    <row r="139" spans="1:2" x14ac:dyDescent="0.35">
      <c r="A139" s="48"/>
      <c r="B139" s="48"/>
    </row>
    <row r="140" spans="1:2" x14ac:dyDescent="0.35">
      <c r="A140" s="48"/>
      <c r="B140" s="48"/>
    </row>
    <row r="141" spans="1:2" x14ac:dyDescent="0.35">
      <c r="A141" s="48"/>
      <c r="B141" s="48"/>
    </row>
    <row r="142" spans="1:2" x14ac:dyDescent="0.35">
      <c r="A142" s="48"/>
      <c r="B142" s="48"/>
    </row>
    <row r="143" spans="1:2" x14ac:dyDescent="0.35">
      <c r="A143" s="48"/>
      <c r="B143" s="48"/>
    </row>
    <row r="144" spans="1:2" x14ac:dyDescent="0.35">
      <c r="A144" s="48"/>
      <c r="B144" s="48"/>
    </row>
    <row r="147" spans="1:2" x14ac:dyDescent="0.35">
      <c r="A147" s="59" t="s">
        <v>26</v>
      </c>
      <c r="B147" s="59" t="s">
        <v>30</v>
      </c>
    </row>
    <row r="148" spans="1:2" x14ac:dyDescent="0.35">
      <c r="A148" s="3">
        <f ca="1">1/8*(SUMIFS($W$3:$W$144,$D$3:$D$144,Table!$C$3,$P$3:$P$144,#REF!)-SUM(SUMIFS($W$3:$W$144,$D$3:$D$144,Table!$C$3,$P$3:$P$144,#REF!,$X$3:$X$144,{"Ongoing","N/A"})))</f>
        <v>0</v>
      </c>
      <c r="B148" s="7" t="str">
        <f>IF(ISERROR(#REF!/#REF!),"N/A",#REF!/#REF!)</f>
        <v>N/A</v>
      </c>
    </row>
    <row r="149" spans="1:2" x14ac:dyDescent="0.35">
      <c r="A149" s="3">
        <f ca="1">1/8*(SUMIFS($W$3:$W$144,$D$3:$D$144,Table!$C$3,$P$3:$P$144,#REF!)-SUM(SUMIFS($W$3:$W$144,$D$3:$D$144,Table!$C$3,$P$3:$P$144,#REF!,$X$3:$X$144,{"Ongoing","N/A"})))</f>
        <v>0</v>
      </c>
      <c r="B149" s="7" t="str">
        <f>IF(ISERROR(#REF!/#REF!),"N/A",#REF!/#REF!)</f>
        <v>N/A</v>
      </c>
    </row>
    <row r="150" spans="1:2" x14ac:dyDescent="0.35">
      <c r="A150" s="3">
        <f ca="1">1/8*(SUMIFS($W$3:$W$144,$D$3:$D$144,Table!$C$3,$P$3:$P$144,#REF!)-SUM(SUMIFS($W$3:$W$144,$D$3:$D$144,Table!$C$3,$P$3:$P$144,#REF!,$X$3:$X$144,{"Ongoing","N/A"})))</f>
        <v>0</v>
      </c>
      <c r="B150" s="7" t="str">
        <f>IF(ISERROR(#REF!/#REF!),"N/A",#REF!/#REF!)</f>
        <v>N/A</v>
      </c>
    </row>
    <row r="151" spans="1:2" x14ac:dyDescent="0.35">
      <c r="A151" s="3">
        <f ca="1">1/8*(SUMIFS($W$3:$W$144,$D$3:$D$144,Table!$C$3,$P$3:$P$144,#REF!)-SUM(SUMIFS($W$3:$W$144,$D$3:$D$144,Table!$C$3,$P$3:$P$144,#REF!,$X$3:$X$144,{"Ongoing","N/A"})))</f>
        <v>0</v>
      </c>
      <c r="B151" s="7" t="str">
        <f>IF(ISERROR(#REF!/#REF!),"N/A",#REF!/#REF!)</f>
        <v>N/A</v>
      </c>
    </row>
    <row r="152" spans="1:2" x14ac:dyDescent="0.35">
      <c r="A152" s="3">
        <f ca="1">1/8*(SUMIFS($W$3:$W$144,$D$3:$D$144,Table!$C$3,$P$3:$P$144,#REF!)-SUM(SUMIFS($W$3:$W$144,$D$3:$D$144,Table!$C$3,$P$3:$P$144,#REF!,$X$3:$X$144,{"Ongoing","N/A"})))</f>
        <v>0</v>
      </c>
      <c r="B152" s="7" t="str">
        <f>IF(ISERROR(#REF!/#REF!),"N/A",#REF!/#REF!)</f>
        <v>N/A</v>
      </c>
    </row>
    <row r="153" spans="1:2" x14ac:dyDescent="0.35">
      <c r="A153" s="3">
        <f ca="1">1/8*(SUMIFS($W$3:$W$144,$D$3:$D$144,Table!$C$3,$P$3:$P$144,#REF!)-SUM(SUMIFS($W$3:$W$144,$D$3:$D$144,Table!$C$3,$P$3:$P$144,#REF!,$X$3:$X$144,{"Ongoing","N/A"})))</f>
        <v>0</v>
      </c>
      <c r="B153" s="7" t="str">
        <f>IF(ISERROR(#REF!/#REF!),"N/A",#REF!/#REF!)</f>
        <v>N/A</v>
      </c>
    </row>
    <row r="154" spans="1:2" x14ac:dyDescent="0.35">
      <c r="A154" s="3">
        <f ca="1">1/8*(SUMIFS($W$3:$W$144,$D$3:$D$144,Table!$C$3,$P$3:$P$144,#REF!)-SUM(SUMIFS($W$3:$W$144,$D$3:$D$144,Table!$C$3,$P$3:$P$144,#REF!,$X$3:$X$144,{"Ongoing","N/A"})))</f>
        <v>0</v>
      </c>
      <c r="B154" s="7" t="str">
        <f>IF(ISERROR(#REF!/#REF!),"N/A",#REF!/#REF!)</f>
        <v>N/A</v>
      </c>
    </row>
    <row r="155" spans="1:2" x14ac:dyDescent="0.35">
      <c r="A155" s="3">
        <f ca="1">1/8*(SUMIFS($W$3:$W$144,$D$3:$D$144,Table!$C$3,$P$3:$P$144,#REF!)-SUM(SUMIFS($W$3:$W$144,$D$3:$D$144,Table!$C$3,$P$3:$P$144,#REF!,$X$3:$X$144,{"Ongoing","N/A"})))</f>
        <v>0</v>
      </c>
      <c r="B155" s="7" t="str">
        <f>IF(ISERROR(#REF!/#REF!),"N/A",#REF!/#REF!)</f>
        <v>N/A</v>
      </c>
    </row>
    <row r="159" spans="1:2" x14ac:dyDescent="0.35">
      <c r="A159" s="59" t="s">
        <v>26</v>
      </c>
      <c r="B159" s="59" t="s">
        <v>30</v>
      </c>
    </row>
    <row r="160" spans="1:2" x14ac:dyDescent="0.35">
      <c r="A160" s="3">
        <f ca="1">1/8*(SUMIFS($W$3:$W$144,$D$3:$D$144,Table!$D$3,$P$3:$P$144,#REF!)-SUM(SUMIFS($W$3:$W$144,$D$3:$D$144,Table!$D$3,$P$3:$P$144,#REF!,$X$3:$X$144,{"Ongoing","N/A"})))</f>
        <v>0</v>
      </c>
      <c r="B160" s="7" t="str">
        <f>IF(ISERROR(#REF!/#REF!),"N/A",#REF!/#REF!)</f>
        <v>N/A</v>
      </c>
    </row>
    <row r="161" spans="1:2" x14ac:dyDescent="0.35">
      <c r="A161" s="3">
        <f ca="1">1/8*(SUMIFS($W$3:$W$144,$D$3:$D$144,Table!$D$3,$P$3:$P$144,#REF!)-SUM(SUMIFS($W$3:$W$144,$D$3:$D$144,Table!$D$3,$P$3:$P$144,#REF!,$X$3:$X$144,{"Ongoing","N/A"})))</f>
        <v>0</v>
      </c>
      <c r="B161" s="7" t="str">
        <f>IF(ISERROR(#REF!/#REF!),"N/A",#REF!/#REF!)</f>
        <v>N/A</v>
      </c>
    </row>
    <row r="162" spans="1:2" x14ac:dyDescent="0.35">
      <c r="A162" s="3">
        <f ca="1">1/8*(SUMIFS($W$3:$W$144,$D$3:$D$144,Table!$D$3,$P$3:$P$144,#REF!)-SUM(SUMIFS($W$3:$W$144,$D$3:$D$144,Table!$D$3,$P$3:$P$144,#REF!,$X$3:$X$144,{"Ongoing","N/A"})))</f>
        <v>0</v>
      </c>
      <c r="B162" s="7" t="str">
        <f>IF(ISERROR(#REF!/#REF!),"N/A",#REF!/#REF!)</f>
        <v>N/A</v>
      </c>
    </row>
    <row r="163" spans="1:2" x14ac:dyDescent="0.35">
      <c r="A163" s="3">
        <f ca="1">1/8*(SUMIFS($W$3:$W$144,$D$3:$D$144,Table!$D$3,$P$3:$P$144,#REF!)-SUM(SUMIFS($W$3:$W$144,$D$3:$D$144,Table!$D$3,$P$3:$P$144,#REF!,$X$3:$X$144,{"Ongoing","N/A"})))</f>
        <v>0</v>
      </c>
      <c r="B163" s="7" t="str">
        <f>IF(ISERROR(#REF!/#REF!),"N/A",#REF!/#REF!)</f>
        <v>N/A</v>
      </c>
    </row>
    <row r="164" spans="1:2" x14ac:dyDescent="0.35">
      <c r="A164" s="3">
        <f ca="1">1/8*(SUMIFS($W$3:$W$144,$D$3:$D$144,Table!$D$3,$P$3:$P$144,#REF!)-SUM(SUMIFS($W$3:$W$144,$D$3:$D$144,Table!$D$3,$P$3:$P$144,#REF!,$X$3:$X$144,{"Ongoing","N/A"})))</f>
        <v>0</v>
      </c>
      <c r="B164" s="7" t="str">
        <f>IF(ISERROR(#REF!/#REF!),"N/A",#REF!/#REF!)</f>
        <v>N/A</v>
      </c>
    </row>
    <row r="165" spans="1:2" x14ac:dyDescent="0.35">
      <c r="A165" s="3">
        <f ca="1">1/8*(SUMIFS($W$3:$W$144,$D$3:$D$144,Table!$D$3,$P$3:$P$144,#REF!)-SUM(SUMIFS($W$3:$W$144,$D$3:$D$144,Table!$D$3,$P$3:$P$144,#REF!,$X$3:$X$144,{"Ongoing","N/A"})))</f>
        <v>0</v>
      </c>
      <c r="B165" s="7" t="str">
        <f>IF(ISERROR(#REF!/#REF!),"N/A",#REF!/#REF!)</f>
        <v>N/A</v>
      </c>
    </row>
    <row r="166" spans="1:2" x14ac:dyDescent="0.35">
      <c r="A166" s="3">
        <f ca="1">1/8*(SUMIFS($W$3:$W$144,$D$3:$D$144,Table!$D$3,$P$3:$P$144,#REF!)-SUM(SUMIFS($W$3:$W$144,$D$3:$D$144,Table!$D$3,$P$3:$P$144,#REF!,$X$3:$X$144,{"Ongoing","N/A"})))</f>
        <v>0</v>
      </c>
      <c r="B166" s="7" t="str">
        <f>IF(ISERROR(#REF!/#REF!),"N/A",#REF!/#REF!)</f>
        <v>N/A</v>
      </c>
    </row>
    <row r="167" spans="1:2" x14ac:dyDescent="0.35">
      <c r="A167" s="3">
        <f ca="1">1/8*(SUMIFS($W$3:$W$144,$D$3:$D$144,Table!$D$3,$P$3:$P$144,#REF!)-SUM(SUMIFS($W$3:$W$144,$D$3:$D$144,Table!$D$3,$P$3:$P$144,#REF!,$X$3:$X$144,{"Ongoing","N/A"})))</f>
        <v>0</v>
      </c>
      <c r="B167" s="7" t="str">
        <f>IF(ISERROR(#REF!/#REF!),"N/A",#REF!/#REF!)</f>
        <v>N/A</v>
      </c>
    </row>
  </sheetData>
  <customSheetViews>
    <customSheetView guid="{D1CE1C7B-C5EA-487A-B174-370E881055E2}" topLeftCell="A25">
      <selection activeCell="B4" sqref="B4"/>
      <pageMargins left="0.7" right="0.7" top="0.75" bottom="0.75" header="0.3" footer="0.3"/>
    </customSheetView>
    <customSheetView guid="{4E06BDBF-2CED-473B-850B-2A6C7311FF41}">
      <selection activeCell="B1" sqref="B1:B1048576"/>
      <pageMargins left="0.7" right="0.7" top="0.75" bottom="0.75" header="0.3" footer="0.3"/>
    </customSheetView>
    <customSheetView guid="{250915DF-0B97-45D7-B29D-7EED4C89C1C1}" topLeftCell="A16">
      <selection activeCell="B1" sqref="B1:B1048576"/>
      <pageMargins left="0.7" right="0.7" top="0.75" bottom="0.75" header="0.3" footer="0.3"/>
    </customSheetView>
    <customSheetView guid="{60D2C030-4E31-4E07-8E1C-44D2EE84B177}">
      <selection activeCell="B1" sqref="B1:B1048576"/>
      <pageMargins left="0.7" right="0.7" top="0.75" bottom="0.75" header="0.3" footer="0.3"/>
    </customSheetView>
    <customSheetView guid="{72A6EB0A-84D5-4B8A-AC51-54CCD061630B}">
      <selection activeCell="B1" sqref="B1:B1048576"/>
      <pageMargins left="0.7" right="0.7" top="0.75" bottom="0.75" header="0.3" footer="0.3"/>
    </customSheetView>
    <customSheetView guid="{7E0EA425-A420-4443-B9E0-CDF0AA9E5D09}" topLeftCell="A25">
      <selection activeCell="B4" sqref="B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"/>
  <sheetViews>
    <sheetView workbookViewId="0">
      <selection activeCell="C39" sqref="C39"/>
    </sheetView>
  </sheetViews>
  <sheetFormatPr defaultRowHeight="14.5" x14ac:dyDescent="0.35"/>
  <sheetData/>
  <customSheetViews>
    <customSheetView guid="{D1CE1C7B-C5EA-487A-B174-370E881055E2}">
      <selection activeCell="C39" sqref="C39"/>
      <pageMargins left="0.7" right="0.7" top="0.75" bottom="0.75" header="0.3" footer="0.3"/>
    </customSheetView>
    <customSheetView guid="{4E06BDBF-2CED-473B-850B-2A6C7311FF41}">
      <selection activeCell="C39" sqref="C39"/>
      <pageMargins left="0.7" right="0.7" top="0.75" bottom="0.75" header="0.3" footer="0.3"/>
    </customSheetView>
    <customSheetView guid="{7ECC2B8E-6A82-42F5-8AB0-4A51C54EA5EC}">
      <selection activeCell="C39" sqref="C39"/>
      <pageMargins left="0.7" right="0.7" top="0.75" bottom="0.75" header="0.3" footer="0.3"/>
    </customSheetView>
    <customSheetView guid="{250915DF-0B97-45D7-B29D-7EED4C89C1C1}">
      <selection activeCell="I43" sqref="I43:J43"/>
      <pageMargins left="0.7" right="0.7" top="0.75" bottom="0.75" header="0.3" footer="0.3"/>
    </customSheetView>
    <customSheetView guid="{60D2C030-4E31-4E07-8E1C-44D2EE84B177}">
      <selection activeCell="C39" sqref="C39"/>
      <pageMargins left="0.7" right="0.7" top="0.75" bottom="0.75" header="0.3" footer="0.3"/>
    </customSheetView>
    <customSheetView guid="{72A6EB0A-84D5-4B8A-AC51-54CCD061630B}">
      <selection activeCell="C39" sqref="C39"/>
      <pageMargins left="0.7" right="0.7" top="0.75" bottom="0.75" header="0.3" footer="0.3"/>
    </customSheetView>
    <customSheetView guid="{7E0EA425-A420-4443-B9E0-CDF0AA9E5D09}">
      <selection activeCell="C39" sqref="C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Y38"/>
  <sheetViews>
    <sheetView zoomScale="85" zoomScaleNormal="85" workbookViewId="0">
      <selection activeCell="M23" sqref="M23"/>
    </sheetView>
  </sheetViews>
  <sheetFormatPr defaultRowHeight="14.5" x14ac:dyDescent="0.35"/>
  <cols>
    <col min="3" max="3" width="19.1796875" bestFit="1" customWidth="1"/>
    <col min="4" max="4" width="17" customWidth="1"/>
    <col min="5" max="6" width="50.54296875" bestFit="1" customWidth="1"/>
    <col min="7" max="7" width="8.7265625" bestFit="1" customWidth="1"/>
    <col min="8" max="8" width="38.81640625" bestFit="1" customWidth="1"/>
    <col min="9" max="9" width="10.453125" bestFit="1" customWidth="1"/>
    <col min="10" max="10" width="8.453125" bestFit="1" customWidth="1"/>
    <col min="11" max="11" width="10.453125" bestFit="1" customWidth="1"/>
    <col min="12" max="12" width="19.1796875" bestFit="1" customWidth="1"/>
    <col min="14" max="14" width="11.1796875" bestFit="1" customWidth="1"/>
    <col min="16" max="17" width="12.81640625" bestFit="1" customWidth="1"/>
    <col min="18" max="18" width="12" bestFit="1" customWidth="1"/>
    <col min="19" max="19" width="8.7265625" bestFit="1" customWidth="1"/>
  </cols>
  <sheetData>
    <row r="2" spans="2:25" x14ac:dyDescent="0.35">
      <c r="B2" s="2" t="s">
        <v>0</v>
      </c>
      <c r="C2" s="2" t="s">
        <v>97</v>
      </c>
      <c r="D2" s="2" t="s">
        <v>1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89</v>
      </c>
      <c r="J2" s="22" t="s">
        <v>67</v>
      </c>
      <c r="K2" s="22" t="s">
        <v>8</v>
      </c>
      <c r="L2" s="4" t="s">
        <v>9</v>
      </c>
      <c r="M2" s="4" t="s">
        <v>15</v>
      </c>
      <c r="N2" s="4" t="s">
        <v>64</v>
      </c>
      <c r="O2" s="4" t="s">
        <v>66</v>
      </c>
      <c r="P2" s="4" t="s">
        <v>65</v>
      </c>
      <c r="Q2" s="4" t="s">
        <v>20</v>
      </c>
      <c r="R2" s="4" t="s">
        <v>86</v>
      </c>
      <c r="S2" s="4" t="s">
        <v>87</v>
      </c>
      <c r="T2" s="2" t="s">
        <v>13</v>
      </c>
      <c r="U2" s="2" t="s">
        <v>14</v>
      </c>
      <c r="V2" s="2" t="s">
        <v>16</v>
      </c>
      <c r="W2" s="2" t="s">
        <v>17</v>
      </c>
      <c r="X2" s="4" t="s">
        <v>18</v>
      </c>
      <c r="Y2" s="4" t="s">
        <v>19</v>
      </c>
    </row>
    <row r="3" spans="2:25" x14ac:dyDescent="0.35">
      <c r="B3" s="3">
        <v>1</v>
      </c>
      <c r="C3" s="3">
        <v>1</v>
      </c>
      <c r="D3" s="3" t="s">
        <v>3</v>
      </c>
      <c r="E3" s="3" t="s">
        <v>73</v>
      </c>
      <c r="F3" s="3" t="s">
        <v>77</v>
      </c>
      <c r="G3" s="3">
        <v>1348323</v>
      </c>
      <c r="H3" s="3" t="s">
        <v>81</v>
      </c>
      <c r="I3" s="24" t="s">
        <v>88</v>
      </c>
      <c r="J3" s="23" t="s">
        <v>23</v>
      </c>
      <c r="K3" s="23"/>
      <c r="L3" s="3"/>
      <c r="M3" s="3">
        <v>113</v>
      </c>
      <c r="N3" s="3"/>
      <c r="O3" s="3">
        <f>ROUNDDOWN(M3/HLOOKUP(Template!D3,Table!$C$3:$D$4,2,0)*8,2)</f>
        <v>2</v>
      </c>
      <c r="P3" s="3"/>
      <c r="Q3" s="3" t="s">
        <v>27</v>
      </c>
      <c r="R3" s="5">
        <v>43892</v>
      </c>
      <c r="S3" s="5">
        <v>43924</v>
      </c>
      <c r="T3" s="5">
        <v>43892</v>
      </c>
      <c r="U3" s="5"/>
      <c r="V3" s="3"/>
      <c r="W3" s="3"/>
      <c r="X3" s="3"/>
      <c r="Y3" s="3"/>
    </row>
    <row r="4" spans="2:25" x14ac:dyDescent="0.35">
      <c r="B4" s="3">
        <v>2</v>
      </c>
      <c r="C4" s="3">
        <v>1</v>
      </c>
      <c r="D4" s="3" t="s">
        <v>3</v>
      </c>
      <c r="E4" s="3" t="s">
        <v>74</v>
      </c>
      <c r="F4" s="3" t="s">
        <v>78</v>
      </c>
      <c r="G4" s="3">
        <v>1345876</v>
      </c>
      <c r="H4" s="3" t="s">
        <v>82</v>
      </c>
      <c r="I4" s="24" t="s">
        <v>88</v>
      </c>
      <c r="J4" s="23" t="s">
        <v>23</v>
      </c>
      <c r="K4" s="23"/>
      <c r="L4" s="3"/>
      <c r="M4" s="3">
        <v>148</v>
      </c>
      <c r="N4" s="3"/>
      <c r="O4" s="3">
        <f>ROUNDDOWN(M4/HLOOKUP(Template!D4,Table!$C$3:$D$4,2,0)*8,2)</f>
        <v>2.63</v>
      </c>
      <c r="P4" s="3"/>
      <c r="Q4" s="3" t="s">
        <v>27</v>
      </c>
      <c r="R4" s="5">
        <v>43892</v>
      </c>
      <c r="S4" s="5">
        <v>43924</v>
      </c>
      <c r="T4" s="5">
        <v>43892</v>
      </c>
      <c r="U4" s="5"/>
      <c r="V4" s="3"/>
      <c r="W4" s="3"/>
      <c r="X4" s="3"/>
      <c r="Y4" s="3"/>
    </row>
    <row r="5" spans="2:25" x14ac:dyDescent="0.35">
      <c r="B5" s="3">
        <v>3</v>
      </c>
      <c r="C5" s="3">
        <v>1</v>
      </c>
      <c r="D5" s="3" t="s">
        <v>3</v>
      </c>
      <c r="E5" s="3" t="s">
        <v>75</v>
      </c>
      <c r="F5" s="3" t="s">
        <v>79</v>
      </c>
      <c r="G5" s="3">
        <v>1350941</v>
      </c>
      <c r="H5" s="3" t="s">
        <v>83</v>
      </c>
      <c r="I5" s="24" t="s">
        <v>88</v>
      </c>
      <c r="J5" s="23" t="s">
        <v>23</v>
      </c>
      <c r="K5" s="23"/>
      <c r="L5" s="3"/>
      <c r="M5" s="3">
        <v>291</v>
      </c>
      <c r="N5" s="3"/>
      <c r="O5" s="3">
        <f>ROUNDDOWN(M5/HLOOKUP(Template!D5,Table!$C$3:$D$4,2,0)*8,2)</f>
        <v>5.17</v>
      </c>
      <c r="P5" s="3"/>
      <c r="Q5" s="3" t="s">
        <v>27</v>
      </c>
      <c r="R5" s="5">
        <v>43892</v>
      </c>
      <c r="S5" s="5">
        <v>43924</v>
      </c>
      <c r="T5" s="5">
        <v>43892</v>
      </c>
      <c r="U5" s="5"/>
      <c r="V5" s="3"/>
      <c r="W5" s="3"/>
      <c r="X5" s="3"/>
      <c r="Y5" s="3"/>
    </row>
    <row r="6" spans="2:25" x14ac:dyDescent="0.35">
      <c r="B6" s="3">
        <v>4</v>
      </c>
      <c r="C6" s="3">
        <v>1</v>
      </c>
      <c r="D6" s="3" t="s">
        <v>3</v>
      </c>
      <c r="E6" s="3" t="s">
        <v>76</v>
      </c>
      <c r="F6" s="3" t="s">
        <v>80</v>
      </c>
      <c r="G6" s="3">
        <v>1351929</v>
      </c>
      <c r="H6" s="3" t="s">
        <v>84</v>
      </c>
      <c r="I6" s="24" t="s">
        <v>88</v>
      </c>
      <c r="J6" s="23" t="s">
        <v>23</v>
      </c>
      <c r="K6" s="23"/>
      <c r="L6" s="3"/>
      <c r="M6" s="3">
        <v>254</v>
      </c>
      <c r="N6" s="3"/>
      <c r="O6" s="3">
        <f>ROUNDDOWN(M6/HLOOKUP(Template!D6,Table!$C$3:$D$4,2,0)*8,2)</f>
        <v>4.51</v>
      </c>
      <c r="P6" s="3"/>
      <c r="Q6" s="3" t="s">
        <v>27</v>
      </c>
      <c r="R6" s="5">
        <v>43892</v>
      </c>
      <c r="S6" s="5">
        <v>43924</v>
      </c>
      <c r="T6" s="5">
        <v>43892</v>
      </c>
      <c r="U6" s="5"/>
      <c r="V6" s="3"/>
      <c r="W6" s="3"/>
      <c r="X6" s="3"/>
      <c r="Y6" s="3"/>
    </row>
    <row r="7" spans="2:25" x14ac:dyDescent="0.35">
      <c r="B7" s="3">
        <v>5</v>
      </c>
      <c r="C7" s="3">
        <v>1</v>
      </c>
      <c r="D7" s="3" t="s">
        <v>2</v>
      </c>
      <c r="E7" s="3" t="s">
        <v>85</v>
      </c>
      <c r="F7" s="24" t="s">
        <v>88</v>
      </c>
      <c r="G7" s="3">
        <v>1351929</v>
      </c>
      <c r="H7" s="3" t="s">
        <v>68</v>
      </c>
      <c r="I7" s="3" t="s">
        <v>90</v>
      </c>
      <c r="J7" s="23" t="s">
        <v>23</v>
      </c>
      <c r="K7" s="23"/>
      <c r="L7" s="3"/>
      <c r="M7" s="3">
        <v>19</v>
      </c>
      <c r="N7" s="3"/>
      <c r="O7" s="3">
        <f>ROUNDDOWN(M7/HLOOKUP(Template!D7,Table!$C$3:$D$4,2,0)*8,2)</f>
        <v>1.1599999999999999</v>
      </c>
      <c r="P7" s="3"/>
      <c r="Q7" s="3" t="s">
        <v>27</v>
      </c>
      <c r="R7" s="5">
        <v>43892</v>
      </c>
      <c r="S7" s="5">
        <v>43924</v>
      </c>
      <c r="T7" s="5">
        <v>43892</v>
      </c>
      <c r="U7" s="5"/>
      <c r="V7" s="3"/>
      <c r="W7" s="3"/>
      <c r="X7" s="3"/>
      <c r="Y7" s="3"/>
    </row>
    <row r="8" spans="2:25" x14ac:dyDescent="0.35">
      <c r="B8" s="3">
        <v>6</v>
      </c>
      <c r="C8" s="3">
        <v>2</v>
      </c>
      <c r="D8" s="3" t="s">
        <v>3</v>
      </c>
      <c r="E8" s="3" t="s">
        <v>91</v>
      </c>
      <c r="F8" s="24" t="s">
        <v>92</v>
      </c>
      <c r="G8" s="3">
        <v>1351848</v>
      </c>
      <c r="H8" s="3" t="s">
        <v>93</v>
      </c>
      <c r="I8" s="3" t="s">
        <v>88</v>
      </c>
      <c r="J8" s="23" t="s">
        <v>23</v>
      </c>
      <c r="K8" s="23"/>
      <c r="L8" s="3"/>
      <c r="M8" s="3">
        <v>478</v>
      </c>
      <c r="N8" s="3"/>
      <c r="O8" s="3">
        <f>ROUNDDOWN(M8/HLOOKUP(Template!D8,Table!$C$3:$D$4,2,0)*8,2)</f>
        <v>8.49</v>
      </c>
      <c r="P8" s="3"/>
      <c r="Q8" s="3" t="s">
        <v>27</v>
      </c>
      <c r="R8" s="5">
        <v>43892</v>
      </c>
      <c r="S8" s="5">
        <v>43924</v>
      </c>
      <c r="T8" s="5">
        <v>43892</v>
      </c>
      <c r="U8" s="5"/>
      <c r="V8" s="3"/>
      <c r="W8" s="3"/>
      <c r="X8" s="3"/>
      <c r="Y8" s="3"/>
    </row>
    <row r="9" spans="2:25" x14ac:dyDescent="0.35">
      <c r="B9" s="3">
        <v>7</v>
      </c>
      <c r="C9" s="3">
        <v>2</v>
      </c>
      <c r="D9" s="3" t="s">
        <v>3</v>
      </c>
      <c r="E9" s="3" t="s">
        <v>91</v>
      </c>
      <c r="F9" s="24" t="s">
        <v>92</v>
      </c>
      <c r="G9" s="3">
        <v>1351848</v>
      </c>
      <c r="H9" s="3" t="s">
        <v>94</v>
      </c>
      <c r="I9" s="3" t="s">
        <v>88</v>
      </c>
      <c r="J9" s="23" t="s">
        <v>23</v>
      </c>
      <c r="K9" s="23"/>
      <c r="L9" s="3"/>
      <c r="M9" s="3">
        <v>286</v>
      </c>
      <c r="N9" s="3"/>
      <c r="O9" s="3">
        <f>ROUNDDOWN(M9/HLOOKUP(Template!D9,Table!$C$3:$D$4,2,0)*8,2)</f>
        <v>5.08</v>
      </c>
      <c r="P9" s="3"/>
      <c r="Q9" s="3" t="s">
        <v>27</v>
      </c>
      <c r="R9" s="5">
        <v>43892</v>
      </c>
      <c r="S9" s="5">
        <v>43924</v>
      </c>
      <c r="T9" s="5">
        <v>43892</v>
      </c>
      <c r="U9" s="5"/>
      <c r="V9" s="3"/>
      <c r="W9" s="3"/>
      <c r="X9" s="3"/>
      <c r="Y9" s="3"/>
    </row>
    <row r="10" spans="2:25" x14ac:dyDescent="0.35">
      <c r="B10" s="3">
        <v>8</v>
      </c>
      <c r="C10" s="3">
        <v>2</v>
      </c>
      <c r="D10" s="3" t="s">
        <v>3</v>
      </c>
      <c r="E10" s="3" t="s">
        <v>91</v>
      </c>
      <c r="F10" s="24" t="s">
        <v>95</v>
      </c>
      <c r="G10" s="3">
        <v>1351848</v>
      </c>
      <c r="H10" s="3" t="s">
        <v>96</v>
      </c>
      <c r="I10" s="3" t="s">
        <v>88</v>
      </c>
      <c r="J10" s="23" t="s">
        <v>23</v>
      </c>
      <c r="K10" s="23"/>
      <c r="L10" s="3"/>
      <c r="M10" s="3">
        <v>110</v>
      </c>
      <c r="N10" s="3"/>
      <c r="O10" s="3">
        <f>ROUNDDOWN(M10/HLOOKUP(Template!D10,Table!$C$3:$D$4,2,0)*8,2)</f>
        <v>1.95</v>
      </c>
      <c r="P10" s="3"/>
      <c r="Q10" s="3" t="s">
        <v>27</v>
      </c>
      <c r="R10" s="5">
        <v>43892</v>
      </c>
      <c r="S10" s="5">
        <v>43924</v>
      </c>
      <c r="T10" s="5">
        <v>43892</v>
      </c>
      <c r="U10" s="5"/>
      <c r="V10" s="3"/>
      <c r="W10" s="3"/>
      <c r="X10" s="3"/>
      <c r="Y10" s="3"/>
    </row>
    <row r="11" spans="2:25" x14ac:dyDescent="0.35">
      <c r="B11" s="3"/>
      <c r="C11" s="3"/>
      <c r="D11" s="3"/>
      <c r="E11" s="3"/>
      <c r="F11" s="24"/>
      <c r="G11" s="3"/>
      <c r="H11" s="3"/>
      <c r="I11" s="3"/>
      <c r="J11" s="23"/>
      <c r="K11" s="23"/>
      <c r="L11" s="3"/>
      <c r="M11" s="3"/>
      <c r="N11" s="3"/>
      <c r="O11" s="3"/>
      <c r="P11" s="3"/>
      <c r="Q11" s="3"/>
      <c r="R11" s="5"/>
      <c r="S11" s="5"/>
      <c r="T11" s="5"/>
      <c r="U11" s="5"/>
      <c r="V11" s="3"/>
      <c r="W11" s="3"/>
      <c r="X11" s="3"/>
      <c r="Y11" s="3"/>
    </row>
    <row r="12" spans="2:25" x14ac:dyDescent="0.35">
      <c r="B12" s="3"/>
      <c r="C12" s="3"/>
      <c r="D12" s="3"/>
      <c r="E12" s="3"/>
      <c r="F12" s="24"/>
      <c r="G12" s="3"/>
      <c r="H12" s="3"/>
      <c r="I12" s="3"/>
      <c r="J12" s="23"/>
      <c r="K12" s="23"/>
      <c r="L12" s="3"/>
      <c r="M12" s="3"/>
      <c r="N12" s="3"/>
      <c r="O12" s="3"/>
      <c r="P12" s="3"/>
      <c r="Q12" s="3"/>
      <c r="R12" s="5"/>
      <c r="S12" s="5"/>
      <c r="T12" s="5"/>
      <c r="U12" s="5"/>
      <c r="V12" s="3"/>
      <c r="W12" s="3"/>
      <c r="X12" s="3"/>
      <c r="Y12" s="3"/>
    </row>
    <row r="13" spans="2:25" x14ac:dyDescent="0.35">
      <c r="B13" s="3"/>
      <c r="C13" s="3"/>
      <c r="D13" s="3"/>
      <c r="E13" s="3"/>
      <c r="F13" s="24"/>
      <c r="G13" s="3"/>
      <c r="H13" s="3"/>
      <c r="I13" s="3"/>
      <c r="J13" s="23"/>
      <c r="K13" s="23"/>
      <c r="L13" s="3"/>
      <c r="M13" s="3"/>
      <c r="N13" s="3"/>
      <c r="O13" s="3"/>
      <c r="P13" s="3"/>
      <c r="Q13" s="3"/>
      <c r="R13" s="5"/>
      <c r="S13" s="5"/>
      <c r="T13" s="5"/>
      <c r="U13" s="5"/>
      <c r="V13" s="3"/>
      <c r="W13" s="3"/>
      <c r="X13" s="3"/>
      <c r="Y13" s="3"/>
    </row>
    <row r="14" spans="2:25" x14ac:dyDescent="0.35">
      <c r="B14" s="3"/>
      <c r="C14" s="3"/>
      <c r="D14" s="3"/>
      <c r="E14" s="3"/>
      <c r="F14" s="24"/>
      <c r="G14" s="3"/>
      <c r="H14" s="3"/>
      <c r="I14" s="3"/>
      <c r="J14" s="23"/>
      <c r="K14" s="23"/>
      <c r="L14" s="3"/>
      <c r="M14" s="3"/>
      <c r="N14" s="3"/>
      <c r="O14" s="3"/>
      <c r="P14" s="3"/>
      <c r="Q14" s="3"/>
      <c r="R14" s="5"/>
      <c r="S14" s="5"/>
      <c r="T14" s="5"/>
      <c r="U14" s="5"/>
      <c r="V14" s="3"/>
      <c r="W14" s="3"/>
      <c r="X14" s="3"/>
      <c r="Y14" s="3"/>
    </row>
    <row r="15" spans="2:25" x14ac:dyDescent="0.35">
      <c r="B15" s="3"/>
      <c r="C15" s="3"/>
      <c r="D15" s="3"/>
      <c r="E15" s="3"/>
      <c r="F15" s="24"/>
      <c r="G15" s="3"/>
      <c r="H15" s="3"/>
      <c r="I15" s="3"/>
      <c r="J15" s="23"/>
      <c r="K15" s="23"/>
      <c r="L15" s="3"/>
      <c r="M15" s="3"/>
      <c r="N15" s="3"/>
      <c r="O15" s="3"/>
      <c r="P15" s="3"/>
      <c r="Q15" s="3"/>
      <c r="R15" s="5"/>
      <c r="S15" s="5"/>
      <c r="T15" s="5"/>
      <c r="U15" s="5"/>
      <c r="V15" s="3"/>
      <c r="W15" s="3"/>
      <c r="X15" s="3"/>
      <c r="Y15" s="3"/>
    </row>
    <row r="16" spans="2:25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2:8" x14ac:dyDescent="0.35">
      <c r="B17" s="1" t="s">
        <v>62</v>
      </c>
    </row>
    <row r="18" spans="2:8" x14ac:dyDescent="0.35">
      <c r="B18" s="2" t="s">
        <v>0</v>
      </c>
      <c r="C18" s="2" t="s">
        <v>9</v>
      </c>
      <c r="D18" s="2" t="s">
        <v>28</v>
      </c>
      <c r="E18" s="2" t="s">
        <v>29</v>
      </c>
      <c r="F18" s="2" t="s">
        <v>26</v>
      </c>
      <c r="G18" s="2" t="s">
        <v>25</v>
      </c>
      <c r="H18" s="4" t="s">
        <v>30</v>
      </c>
    </row>
    <row r="19" spans="2:8" x14ac:dyDescent="0.35">
      <c r="B19" s="3">
        <v>1</v>
      </c>
      <c r="C19" s="3" t="s">
        <v>6</v>
      </c>
      <c r="D19" s="3">
        <f>SUMIFS($M$3:$M$6,$D$3:$D$6,Table!$C$3,$L$3:$L$6,Table!C13)</f>
        <v>0</v>
      </c>
      <c r="E19" s="3">
        <f>SUMIFS($N$3:$N$6,$D$3:$D$6,Table!$C$3,$L$3:$L$6,Table!C13)-SUM(SUMIFS($N$3:$N$6,$D$3:$D$6,Table!$C$3,$L$3:$L$6,Table!C13,$Q$3:$Q$6,{"Ongoing","N/A"}))</f>
        <v>0</v>
      </c>
      <c r="F19" s="3">
        <f>1/8*(SUMIFS($P$3:$P$6,$D$3:$D$6,Table!$C$3,$L$3:$L$6,Table!C13)-SUM(SUMIFS($P$3:$P$6,$D$3:$D$6,Table!$C$3,$L$3:$L$6,Table!C13,$Q$3:$Q$6,{"Ongoing","N/A"})))</f>
        <v>0</v>
      </c>
      <c r="G19" s="3" t="e">
        <f>E19/(F19)</f>
        <v>#DIV/0!</v>
      </c>
      <c r="H19" s="7" t="e">
        <f>E19/D19</f>
        <v>#DIV/0!</v>
      </c>
    </row>
    <row r="20" spans="2:8" x14ac:dyDescent="0.35">
      <c r="B20" s="3">
        <v>2</v>
      </c>
      <c r="C20" s="3" t="s">
        <v>7</v>
      </c>
      <c r="D20" s="3">
        <f>SUMIFS($M$3:$M$6,$D$3:$D$6,Table!$C$3,$L$3:$L$6,Table!#REF!)</f>
        <v>0</v>
      </c>
      <c r="E20" s="3">
        <f>SUMIFS($N$3:$N$6,$D$3:$D$6,Table!$C$3,$L$3:$L$6,Table!#REF!)-SUM(SUMIFS($N$3:$N$6,$D$3:$D$6,Table!$C$3,$L$3:$L$6,Table!#REF!,$Q$3:$Q$6,{"Ongoing","N/A"}))</f>
        <v>0</v>
      </c>
      <c r="F20" s="3">
        <f>1/8*(SUMIFS($P$3:$P$6,$D$3:$D$6,Table!$C$3,$L$3:$L$6,Table!#REF!)-SUM(SUMIFS($P$3:$P$6,$D$3:$D$6,Table!$C$3,$L$3:$L$6,Table!#REF!,$Q$3:$Q$6,{"Ongoing","N/A"})))</f>
        <v>0</v>
      </c>
      <c r="G20" s="3" t="e">
        <f>E20/(F20)</f>
        <v>#DIV/0!</v>
      </c>
      <c r="H20" s="7" t="e">
        <f>E20/D20</f>
        <v>#DIV/0!</v>
      </c>
    </row>
    <row r="21" spans="2:8" x14ac:dyDescent="0.35">
      <c r="B21" s="3">
        <v>3</v>
      </c>
      <c r="C21" s="3" t="s">
        <v>7</v>
      </c>
      <c r="D21" s="3">
        <f>SUMIFS($M$3:$M$6,$D$3:$D$6,Table!$C$3,$L$3:$L$6,Table!C21)</f>
        <v>0</v>
      </c>
      <c r="E21" s="3">
        <f>SUMIFS($N$3:$N$6,$D$3:$D$6,Table!$C$3,$L$3:$L$6,Table!C21)-SUM(SUMIFS($N$3:$N$6,$D$3:$D$6,Table!$C$3,$L$3:$L$6,Table!C21,$Q$3:$Q$6,{"Ongoing","N/A"}))</f>
        <v>0</v>
      </c>
      <c r="F21" s="3">
        <f>1/8*(SUMIFS($P$3:$P$6,$D$3:$D$6,Table!$C$3,$L$3:$L$6,Table!C21)-SUM(SUMIFS($P$3:$P$6,$D$3:$D$6,Table!$C$3,$L$3:$L$6,Table!C21,$Q$3:$Q$6,{"Ongoing","N/A"})))</f>
        <v>0</v>
      </c>
      <c r="G21" s="3" t="e">
        <f t="shared" ref="G21:G30" si="0">E21/(F21)</f>
        <v>#DIV/0!</v>
      </c>
      <c r="H21" s="7" t="e">
        <f t="shared" ref="H21:H30" si="1">E21/D21</f>
        <v>#DIV/0!</v>
      </c>
    </row>
    <row r="22" spans="2:8" x14ac:dyDescent="0.35">
      <c r="B22" s="3">
        <v>4</v>
      </c>
      <c r="C22" s="3" t="s">
        <v>7</v>
      </c>
      <c r="D22" s="3">
        <f>SUMIFS($M$3:$M$6,$D$3:$D$6,Table!$C$3,$L$3:$L$6,Table!C22)</f>
        <v>0</v>
      </c>
      <c r="E22" s="3">
        <f>SUMIFS($N$3:$N$6,$D$3:$D$6,Table!$C$3,$L$3:$L$6,Table!C22)-SUM(SUMIFS($N$3:$N$6,$D$3:$D$6,Table!$C$3,$L$3:$L$6,Table!C22,$Q$3:$Q$6,{"Ongoing","N/A"}))</f>
        <v>0</v>
      </c>
      <c r="F22" s="3">
        <f>1/8*(SUMIFS($P$3:$P$6,$D$3:$D$6,Table!$C$3,$L$3:$L$6,Table!C22)-SUM(SUMIFS($P$3:$P$6,$D$3:$D$6,Table!$C$3,$L$3:$L$6,Table!C22,$Q$3:$Q$6,{"Ongoing","N/A"})))</f>
        <v>0</v>
      </c>
      <c r="G22" s="3" t="e">
        <f t="shared" si="0"/>
        <v>#DIV/0!</v>
      </c>
      <c r="H22" s="7" t="e">
        <f t="shared" si="1"/>
        <v>#DIV/0!</v>
      </c>
    </row>
    <row r="23" spans="2:8" x14ac:dyDescent="0.35">
      <c r="B23" s="3">
        <v>5</v>
      </c>
      <c r="C23" s="3" t="s">
        <v>7</v>
      </c>
      <c r="D23" s="3">
        <f>SUMIFS($M$3:$M$6,$D$3:$D$6,Table!$C$3,$L$3:$L$6,Table!C23)</f>
        <v>0</v>
      </c>
      <c r="E23" s="3">
        <f>SUMIFS($N$3:$N$6,$D$3:$D$6,Table!$C$3,$L$3:$L$6,Table!C23)-SUM(SUMIFS($N$3:$N$6,$D$3:$D$6,Table!$C$3,$L$3:$L$6,Table!C23,$Q$3:$Q$6,{"Ongoing","N/A"}))</f>
        <v>0</v>
      </c>
      <c r="F23" s="3">
        <f>1/8*(SUMIFS($P$3:$P$6,$D$3:$D$6,Table!$C$3,$L$3:$L$6,Table!C23)-SUM(SUMIFS($P$3:$P$6,$D$3:$D$6,Table!$C$3,$L$3:$L$6,Table!C23,$Q$3:$Q$6,{"Ongoing","N/A"})))</f>
        <v>0</v>
      </c>
      <c r="G23" s="3" t="e">
        <f t="shared" si="0"/>
        <v>#DIV/0!</v>
      </c>
      <c r="H23" s="7" t="e">
        <f t="shared" si="1"/>
        <v>#DIV/0!</v>
      </c>
    </row>
    <row r="24" spans="2:8" x14ac:dyDescent="0.35">
      <c r="B24" s="3">
        <v>6</v>
      </c>
      <c r="C24" s="3" t="s">
        <v>7</v>
      </c>
      <c r="D24" s="3">
        <f>SUMIFS($M$3:$M$6,$D$3:$D$6,Table!$C$3,$L$3:$L$6,Table!C24)</f>
        <v>0</v>
      </c>
      <c r="E24" s="3">
        <f>SUMIFS($N$3:$N$6,$D$3:$D$6,Table!$C$3,$L$3:$L$6,Table!C24)-SUM(SUMIFS($N$3:$N$6,$D$3:$D$6,Table!$C$3,$L$3:$L$6,Table!C24,$Q$3:$Q$6,{"Ongoing","N/A"}))</f>
        <v>0</v>
      </c>
      <c r="F24" s="3">
        <f>1/8*(SUMIFS($P$3:$P$6,$D$3:$D$6,Table!$C$3,$L$3:$L$6,Table!C24)-SUM(SUMIFS($P$3:$P$6,$D$3:$D$6,Table!$C$3,$L$3:$L$6,Table!C24,$Q$3:$Q$6,{"Ongoing","N/A"})))</f>
        <v>0</v>
      </c>
      <c r="G24" s="3" t="e">
        <f t="shared" si="0"/>
        <v>#DIV/0!</v>
      </c>
      <c r="H24" s="7" t="e">
        <f t="shared" si="1"/>
        <v>#DIV/0!</v>
      </c>
    </row>
    <row r="25" spans="2:8" x14ac:dyDescent="0.35">
      <c r="B25" s="3">
        <v>7</v>
      </c>
      <c r="C25" s="3" t="s">
        <v>7</v>
      </c>
      <c r="D25" s="3">
        <f>SUMIFS($M$3:$M$6,$D$3:$D$6,Table!$C$3,$L$3:$L$6,Table!C25)</f>
        <v>0</v>
      </c>
      <c r="E25" s="3">
        <f>SUMIFS($N$3:$N$6,$D$3:$D$6,Table!$C$3,$L$3:$L$6,Table!C25)-SUM(SUMIFS($N$3:$N$6,$D$3:$D$6,Table!$C$3,$L$3:$L$6,Table!C25,$Q$3:$Q$6,{"Ongoing","N/A"}))</f>
        <v>0</v>
      </c>
      <c r="F25" s="3">
        <f>1/8*(SUMIFS($P$3:$P$6,$D$3:$D$6,Table!$C$3,$L$3:$L$6,Table!C25)-SUM(SUMIFS($P$3:$P$6,$D$3:$D$6,Table!$C$3,$L$3:$L$6,Table!C25,$Q$3:$Q$6,{"Ongoing","N/A"})))</f>
        <v>0</v>
      </c>
      <c r="G25" s="3" t="e">
        <f t="shared" si="0"/>
        <v>#DIV/0!</v>
      </c>
      <c r="H25" s="7" t="e">
        <f t="shared" si="1"/>
        <v>#DIV/0!</v>
      </c>
    </row>
    <row r="26" spans="2:8" x14ac:dyDescent="0.35">
      <c r="B26" s="3">
        <v>8</v>
      </c>
      <c r="C26" s="3" t="s">
        <v>7</v>
      </c>
      <c r="D26" s="3">
        <f>SUMIFS($M$3:$M$6,$D$3:$D$6,Table!$C$3,$L$3:$L$6,Table!C26)</f>
        <v>0</v>
      </c>
      <c r="E26" s="3">
        <f>SUMIFS($N$3:$N$6,$D$3:$D$6,Table!$C$3,$L$3:$L$6,Table!C26)-SUM(SUMIFS($N$3:$N$6,$D$3:$D$6,Table!$C$3,$L$3:$L$6,Table!C26,$Q$3:$Q$6,{"Ongoing","N/A"}))</f>
        <v>0</v>
      </c>
      <c r="F26" s="3">
        <f>1/8*(SUMIFS($P$3:$P$6,$D$3:$D$6,Table!$C$3,$L$3:$L$6,Table!C26)-SUM(SUMIFS($P$3:$P$6,$D$3:$D$6,Table!$C$3,$L$3:$L$6,Table!C26,$Q$3:$Q$6,{"Ongoing","N/A"})))</f>
        <v>0</v>
      </c>
      <c r="G26" s="3" t="e">
        <f t="shared" si="0"/>
        <v>#DIV/0!</v>
      </c>
      <c r="H26" s="7" t="e">
        <f t="shared" si="1"/>
        <v>#DIV/0!</v>
      </c>
    </row>
    <row r="27" spans="2:8" x14ac:dyDescent="0.35">
      <c r="B27" s="3">
        <v>9</v>
      </c>
      <c r="C27" s="3" t="s">
        <v>7</v>
      </c>
      <c r="D27" s="3">
        <f>SUMIFS($M$3:$M$6,$D$3:$D$6,Table!$C$3,$L$3:$L$6,Table!C30)</f>
        <v>0</v>
      </c>
      <c r="E27" s="3">
        <f>SUMIFS($N$3:$N$6,$D$3:$D$6,Table!$C$3,$L$3:$L$6,Table!C30)-SUM(SUMIFS($N$3:$N$6,$D$3:$D$6,Table!$C$3,$L$3:$L$6,Table!C30,$Q$3:$Q$6,{"Ongoing","N/A"}))</f>
        <v>0</v>
      </c>
      <c r="F27" s="3">
        <f>1/8*(SUMIFS($P$3:$P$6,$D$3:$D$6,Table!$C$3,$L$3:$L$6,Table!C30)-SUM(SUMIFS($P$3:$P$6,$D$3:$D$6,Table!$C$3,$L$3:$L$6,Table!C30,$Q$3:$Q$6,{"Ongoing","N/A"})))</f>
        <v>0</v>
      </c>
      <c r="G27" s="3" t="e">
        <f t="shared" si="0"/>
        <v>#DIV/0!</v>
      </c>
      <c r="H27" s="7" t="e">
        <f t="shared" si="1"/>
        <v>#DIV/0!</v>
      </c>
    </row>
    <row r="28" spans="2:8" x14ac:dyDescent="0.35">
      <c r="B28" s="3">
        <v>10</v>
      </c>
      <c r="C28" s="3" t="s">
        <v>7</v>
      </c>
      <c r="D28" s="3">
        <f>SUMIFS($M$3:$M$6,$D$3:$D$6,Table!$C$3,$L$3:$L$6,Table!C31)</f>
        <v>0</v>
      </c>
      <c r="E28" s="3">
        <f>SUMIFS($N$3:$N$6,$D$3:$D$6,Table!$C$3,$L$3:$L$6,Table!C31)-SUM(SUMIFS($N$3:$N$6,$D$3:$D$6,Table!$C$3,$L$3:$L$6,Table!C31,$Q$3:$Q$6,{"Ongoing","N/A"}))</f>
        <v>0</v>
      </c>
      <c r="F28" s="3">
        <f>1/8*(SUMIFS($P$3:$P$6,$D$3:$D$6,Table!$C$3,$L$3:$L$6,Table!C31)-SUM(SUMIFS($P$3:$P$6,$D$3:$D$6,Table!$C$3,$L$3:$L$6,Table!C31,$Q$3:$Q$6,{"Ongoing","N/A"})))</f>
        <v>0</v>
      </c>
      <c r="G28" s="3" t="e">
        <f t="shared" si="0"/>
        <v>#DIV/0!</v>
      </c>
      <c r="H28" s="7" t="e">
        <f t="shared" si="1"/>
        <v>#DIV/0!</v>
      </c>
    </row>
    <row r="29" spans="2:8" x14ac:dyDescent="0.35">
      <c r="B29" s="3">
        <v>2</v>
      </c>
      <c r="C29" s="3" t="s">
        <v>7</v>
      </c>
      <c r="D29" s="3">
        <f>SUMIFS($M$3:$M$6,$D$3:$D$6,Table!$C$3,$L$3:$L$6,Table!C32)</f>
        <v>0</v>
      </c>
      <c r="E29" s="3">
        <f>SUMIFS($N$3:$N$6,$D$3:$D$6,Table!$C$3,$L$3:$L$6,Table!C32)-SUM(SUMIFS($N$3:$N$6,$D$3:$D$6,Table!$C$3,$L$3:$L$6,Table!C32,$Q$3:$Q$6,{"Ongoing","N/A"}))</f>
        <v>0</v>
      </c>
      <c r="F29" s="3">
        <f>1/8*(SUMIFS($P$3:$P$6,$D$3:$D$6,Table!$C$3,$L$3:$L$6,Table!C32)-SUM(SUMIFS($P$3:$P$6,$D$3:$D$6,Table!$C$3,$L$3:$L$6,Table!C32,$Q$3:$Q$6,{"Ongoing","N/A"})))</f>
        <v>0</v>
      </c>
      <c r="G29" s="3" t="e">
        <f t="shared" si="0"/>
        <v>#DIV/0!</v>
      </c>
      <c r="H29" s="7" t="e">
        <f t="shared" si="1"/>
        <v>#DIV/0!</v>
      </c>
    </row>
    <row r="30" spans="2:8" x14ac:dyDescent="0.35">
      <c r="B30" s="3">
        <v>2</v>
      </c>
      <c r="C30" s="3" t="s">
        <v>7</v>
      </c>
      <c r="D30" s="3">
        <f>SUMIFS($M$3:$M$6,$D$3:$D$6,Table!$C$3,$L$3:$L$6,Table!C33)</f>
        <v>0</v>
      </c>
      <c r="E30" s="3">
        <f>SUMIFS($N$3:$N$6,$D$3:$D$6,Table!$C$3,$L$3:$L$6,Table!C33)-SUM(SUMIFS($N$3:$N$6,$D$3:$D$6,Table!$C$3,$L$3:$L$6,Table!C33,$Q$3:$Q$6,{"Ongoing","N/A"}))</f>
        <v>0</v>
      </c>
      <c r="F30" s="3">
        <f>1/8*(SUMIFS($P$3:$P$6,$D$3:$D$6,Table!$C$3,$L$3:$L$6,Table!C33)-SUM(SUMIFS($P$3:$P$6,$D$3:$D$6,Table!$C$3,$L$3:$L$6,Table!C33,$Q$3:$Q$6,{"Ongoing","N/A"})))</f>
        <v>0</v>
      </c>
      <c r="G30" s="3" t="e">
        <f t="shared" si="0"/>
        <v>#DIV/0!</v>
      </c>
      <c r="H30" s="7" t="e">
        <f t="shared" si="1"/>
        <v>#DIV/0!</v>
      </c>
    </row>
    <row r="31" spans="2:8" x14ac:dyDescent="0.35">
      <c r="B31" s="3">
        <v>3</v>
      </c>
      <c r="C31" s="3"/>
      <c r="D31" s="3"/>
      <c r="E31" s="3"/>
      <c r="F31" s="3"/>
      <c r="G31" s="3"/>
      <c r="H31" s="3"/>
    </row>
    <row r="34" spans="2:8" x14ac:dyDescent="0.35">
      <c r="B34" s="1" t="s">
        <v>63</v>
      </c>
    </row>
    <row r="35" spans="2:8" x14ac:dyDescent="0.35">
      <c r="B35" s="2" t="s">
        <v>0</v>
      </c>
      <c r="C35" s="2" t="s">
        <v>9</v>
      </c>
      <c r="D35" s="2" t="s">
        <v>28</v>
      </c>
      <c r="E35" s="2" t="s">
        <v>29</v>
      </c>
      <c r="F35" s="2" t="s">
        <v>26</v>
      </c>
      <c r="G35" s="2" t="s">
        <v>25</v>
      </c>
      <c r="H35" s="4" t="s">
        <v>30</v>
      </c>
    </row>
    <row r="36" spans="2:8" x14ac:dyDescent="0.35">
      <c r="B36" s="3">
        <v>1</v>
      </c>
      <c r="C36" s="3" t="s">
        <v>6</v>
      </c>
      <c r="D36" s="3">
        <f>SUMIFS($M$3:$M$6,$D$3:$D$6,Table!$D$3,$L$3:$L$6,Table!C13)</f>
        <v>0</v>
      </c>
      <c r="E36" s="3">
        <f>SUMIFS($M$3:$M$6,$D$3:$D$6,Table!$D$3,$L$3:$L$6,Table!C13)-SUM(SUMIFS($M$3:$M$6,$D$3:$D$6,Table!$D$3,$L$3:$L$6,Table!C13,$Q$3:$Q$6,{"Ongoing","N/A"}))</f>
        <v>0</v>
      </c>
      <c r="F36" s="3">
        <f>1/8*(SUMIFS($P$3:$P$6,$D$3:$D$6,Table!$D$3,$L$3:$L$6,Table!C13)-SUM(SUMIFS($P$3:$P$6,$D$3:$D$6,Table!$D$3,$L$3:$L$6,Table!C13,$Q$3:$Q$6,{"Ongoing","N/A"})))</f>
        <v>0</v>
      </c>
      <c r="G36" s="3" t="e">
        <f>E36/(F36)</f>
        <v>#DIV/0!</v>
      </c>
      <c r="H36" s="7" t="e">
        <f>E36/D36</f>
        <v>#DIV/0!</v>
      </c>
    </row>
    <row r="37" spans="2:8" x14ac:dyDescent="0.35">
      <c r="B37" s="3">
        <v>2</v>
      </c>
      <c r="C37" s="3" t="s">
        <v>7</v>
      </c>
      <c r="D37">
        <f>SUMIFS($M$3:$M$6,$D$3:$D$6,Table!$D$3,$L$3:$L$6,Table!#REF!)</f>
        <v>0</v>
      </c>
      <c r="E37" s="3">
        <f>SUMIFS($M$3:$M$6,$D$3:$D$6,Table!$D$3,$L$3:$L$6,Table!#REF!)-SUM(SUMIFS($M$3:$M$6,$D$3:$D$6,Table!$D$3,$L$3:$L$6,Table!#REF!,$Q$3:$Q$6,{"Ongoing","N/A"}))</f>
        <v>0</v>
      </c>
      <c r="F37" s="3">
        <f>1/8*(SUMIFS($P$3:$P$6,$D$3:$D$6,Table!$D$3,$L$3:$L$6,Table!#REF!)-SUM(SUMIFS($P$3:$P$6,$D$3:$D$6,Table!$D$3,$L$3:$L$6,Table!#REF!,$Q$3:$Q$6,{"Ongoing","N/A"})))</f>
        <v>0</v>
      </c>
      <c r="G37" s="3" t="e">
        <f>E37/(F37)</f>
        <v>#DIV/0!</v>
      </c>
      <c r="H37" s="7" t="e">
        <f>E37/D37</f>
        <v>#DIV/0!</v>
      </c>
    </row>
    <row r="38" spans="2:8" x14ac:dyDescent="0.35">
      <c r="B38" s="3">
        <v>3</v>
      </c>
      <c r="C38" s="3"/>
      <c r="D38" s="3"/>
      <c r="E38" s="3"/>
      <c r="F38" s="3"/>
      <c r="G38" s="3"/>
      <c r="H38" s="3"/>
    </row>
  </sheetData>
  <customSheetViews>
    <customSheetView guid="{D1CE1C7B-C5EA-487A-B174-370E881055E2}" scale="85">
      <selection activeCell="M23" sqref="M23"/>
      <pageMargins left="0.7" right="0.7" top="0.75" bottom="0.75" header="0.3" footer="0.3"/>
      <pageSetup orientation="portrait" r:id="rId1"/>
    </customSheetView>
    <customSheetView guid="{4E06BDBF-2CED-473B-850B-2A6C7311FF41}" scale="85">
      <selection activeCell="G9" sqref="G9"/>
      <pageMargins left="0.7" right="0.7" top="0.75" bottom="0.75" header="0.3" footer="0.3"/>
      <pageSetup orientation="portrait" r:id="rId2"/>
    </customSheetView>
    <customSheetView guid="{7ECC2B8E-6A82-42F5-8AB0-4A51C54EA5EC}" scale="85">
      <selection activeCell="G9" sqref="G9"/>
      <pageMargins left="0.7" right="0.7" top="0.75" bottom="0.75" header="0.3" footer="0.3"/>
      <pageSetup orientation="portrait" r:id="rId3"/>
    </customSheetView>
    <customSheetView guid="{250915DF-0B97-45D7-B29D-7EED4C89C1C1}" scale="85">
      <selection activeCell="F23" sqref="F23"/>
      <pageMargins left="0.7" right="0.7" top="0.75" bottom="0.75" header="0.3" footer="0.3"/>
      <pageSetup orientation="portrait" r:id="rId4"/>
    </customSheetView>
    <customSheetView guid="{60D2C030-4E31-4E07-8E1C-44D2EE84B177}" scale="85">
      <selection activeCell="G9" sqref="G9"/>
      <pageMargins left="0.7" right="0.7" top="0.75" bottom="0.75" header="0.3" footer="0.3"/>
      <pageSetup orientation="portrait" r:id="rId5"/>
    </customSheetView>
    <customSheetView guid="{72A6EB0A-84D5-4B8A-AC51-54CCD061630B}" scale="85">
      <selection activeCell="G9" sqref="G9"/>
      <pageMargins left="0.7" right="0.7" top="0.75" bottom="0.75" header="0.3" footer="0.3"/>
      <pageSetup orientation="portrait" r:id="rId6"/>
    </customSheetView>
    <customSheetView guid="{7E0EA425-A420-4443-B9E0-CDF0AA9E5D09}" scale="85">
      <selection activeCell="M23" sqref="M23"/>
      <pageMargins left="0.7" right="0.7" top="0.75" bottom="0.75" header="0.3" footer="0.3"/>
      <pageSetup orientation="portrait" r:id="rId7"/>
    </customSheetView>
  </customSheetViews>
  <conditionalFormatting sqref="H19:H30">
    <cfRule type="cellIs" dxfId="7" priority="3" operator="equal">
      <formula>1</formula>
    </cfRule>
    <cfRule type="cellIs" dxfId="6" priority="4" operator="lessThan">
      <formula>1</formula>
    </cfRule>
  </conditionalFormatting>
  <conditionalFormatting sqref="H36:H37">
    <cfRule type="cellIs" dxfId="5" priority="1" operator="equal">
      <formula>1</formula>
    </cfRule>
    <cfRule type="cellIs" dxfId="4" priority="2" operator="lessThan">
      <formula>1</formula>
    </cfRule>
  </conditionalFormatting>
  <pageMargins left="0.7" right="0.7" top="0.75" bottom="0.75" header="0.3" footer="0.3"/>
  <pageSetup orientation="portrait" r:id="rId8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greaterThanOrEqual" id="{22A6488A-DB34-4E23-917E-3827E98F9C4C}">
            <xm:f>Table!$C$4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" operator="lessThan" id="{92F5054E-C63E-4551-9869-8FFDFA393297}">
            <xm:f>Table!$C$4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G19:G30</xm:sqref>
        </x14:conditionalFormatting>
        <x14:conditionalFormatting xmlns:xm="http://schemas.microsoft.com/office/excel/2006/main">
          <x14:cfRule type="cellIs" priority="7" operator="greaterThanOrEqual" id="{FBAAE262-F852-48AB-AAB1-F7B61DD39791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lessThan" id="{B50FB8E2-8A38-46D7-B9B1-CD0A46DEEACA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G36:G37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400-000000000000}">
          <x14:formula1>
            <xm:f>Table!$C$8:$C$9</xm:f>
          </x14:formula1>
          <xm:sqref>D3:D15</xm:sqref>
        </x14:dataValidation>
        <x14:dataValidation type="list" allowBlank="1" showInputMessage="1" showErrorMessage="1" xr:uid="{00000000-0002-0000-0400-000001000000}">
          <x14:formula1>
            <xm:f>Table!$C$24:$C$30</xm:f>
          </x14:formula1>
          <xm:sqref>Q3:Q15</xm:sqref>
        </x14:dataValidation>
        <x14:dataValidation type="list" allowBlank="1" showInputMessage="1" showErrorMessage="1" xr:uid="{00000000-0002-0000-0400-000002000000}">
          <x14:formula1>
            <xm:f>Table!$C$13:$C$20</xm:f>
          </x14:formula1>
          <xm:sqref>L3:L15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2:E30"/>
  <sheetViews>
    <sheetView workbookViewId="0">
      <selection activeCell="D20" sqref="D20"/>
    </sheetView>
  </sheetViews>
  <sheetFormatPr defaultRowHeight="14.5" x14ac:dyDescent="0.35"/>
  <cols>
    <col min="2" max="2" width="11.7265625" bestFit="1" customWidth="1"/>
    <col min="3" max="3" width="18.7265625" bestFit="1" customWidth="1"/>
    <col min="4" max="4" width="11.1796875" customWidth="1"/>
    <col min="5" max="5" width="33.81640625" customWidth="1"/>
  </cols>
  <sheetData>
    <row r="2" spans="2:5" x14ac:dyDescent="0.35">
      <c r="B2" s="17" t="s">
        <v>12</v>
      </c>
    </row>
    <row r="3" spans="2:5" x14ac:dyDescent="0.35">
      <c r="B3" s="2" t="s">
        <v>4</v>
      </c>
      <c r="C3" s="18" t="s">
        <v>2</v>
      </c>
      <c r="D3" s="18" t="s">
        <v>3</v>
      </c>
    </row>
    <row r="4" spans="2:5" x14ac:dyDescent="0.35">
      <c r="B4" s="18">
        <v>1</v>
      </c>
      <c r="C4" s="19">
        <v>130</v>
      </c>
      <c r="D4" s="19">
        <v>450</v>
      </c>
    </row>
    <row r="6" spans="2:5" x14ac:dyDescent="0.35">
      <c r="B6" s="1" t="s">
        <v>56</v>
      </c>
    </row>
    <row r="7" spans="2:5" x14ac:dyDescent="0.35">
      <c r="B7" s="2" t="s">
        <v>0</v>
      </c>
      <c r="C7" s="2" t="s">
        <v>1</v>
      </c>
      <c r="D7" s="2" t="s">
        <v>61</v>
      </c>
      <c r="E7" s="4" t="s">
        <v>58</v>
      </c>
    </row>
    <row r="8" spans="2:5" ht="58" x14ac:dyDescent="0.35">
      <c r="B8" s="20">
        <v>1</v>
      </c>
      <c r="C8" s="20" t="s">
        <v>2</v>
      </c>
      <c r="D8" s="20" t="s">
        <v>59</v>
      </c>
      <c r="E8" s="21" t="s">
        <v>10</v>
      </c>
    </row>
    <row r="9" spans="2:5" ht="72.5" x14ac:dyDescent="0.35">
      <c r="B9" s="20">
        <v>2</v>
      </c>
      <c r="C9" s="20" t="s">
        <v>3</v>
      </c>
      <c r="D9" s="20" t="s">
        <v>60</v>
      </c>
      <c r="E9" s="21" t="s">
        <v>11</v>
      </c>
    </row>
    <row r="11" spans="2:5" x14ac:dyDescent="0.35">
      <c r="B11" s="1" t="s">
        <v>57</v>
      </c>
    </row>
    <row r="12" spans="2:5" x14ac:dyDescent="0.35">
      <c r="B12" s="2" t="s">
        <v>0</v>
      </c>
      <c r="C12" s="2" t="s">
        <v>5</v>
      </c>
    </row>
    <row r="13" spans="2:5" x14ac:dyDescent="0.35">
      <c r="B13" s="3">
        <v>1</v>
      </c>
      <c r="C13" s="3" t="s">
        <v>6</v>
      </c>
    </row>
    <row r="14" spans="2:5" x14ac:dyDescent="0.35">
      <c r="B14" s="3">
        <v>2</v>
      </c>
      <c r="C14" s="3" t="s">
        <v>98</v>
      </c>
    </row>
    <row r="15" spans="2:5" x14ac:dyDescent="0.35">
      <c r="B15" s="3">
        <v>3</v>
      </c>
      <c r="C15" s="3" t="s">
        <v>99</v>
      </c>
    </row>
    <row r="16" spans="2:5" x14ac:dyDescent="0.35">
      <c r="B16" s="3">
        <v>4</v>
      </c>
      <c r="C16" s="3" t="s">
        <v>100</v>
      </c>
    </row>
    <row r="17" spans="2:5" x14ac:dyDescent="0.35">
      <c r="B17" s="3">
        <v>5</v>
      </c>
      <c r="C17" s="3" t="s">
        <v>101</v>
      </c>
    </row>
    <row r="18" spans="2:5" x14ac:dyDescent="0.35">
      <c r="B18" s="3">
        <v>6</v>
      </c>
      <c r="C18" s="3" t="s">
        <v>102</v>
      </c>
    </row>
    <row r="19" spans="2:5" x14ac:dyDescent="0.35">
      <c r="B19" s="3">
        <v>7</v>
      </c>
      <c r="C19" s="3" t="s">
        <v>103</v>
      </c>
    </row>
    <row r="20" spans="2:5" x14ac:dyDescent="0.35">
      <c r="B20" s="3">
        <v>8</v>
      </c>
      <c r="C20" s="3" t="s">
        <v>104</v>
      </c>
    </row>
    <row r="22" spans="2:5" x14ac:dyDescent="0.35">
      <c r="B22" s="17" t="s">
        <v>22</v>
      </c>
    </row>
    <row r="23" spans="2:5" x14ac:dyDescent="0.35">
      <c r="B23" s="2" t="s">
        <v>0</v>
      </c>
      <c r="C23" s="2" t="s">
        <v>20</v>
      </c>
    </row>
    <row r="24" spans="2:5" x14ac:dyDescent="0.35">
      <c r="B24" s="2">
        <v>1</v>
      </c>
      <c r="C24" s="3" t="s">
        <v>23</v>
      </c>
      <c r="E24" s="47" t="s">
        <v>213</v>
      </c>
    </row>
    <row r="25" spans="2:5" x14ac:dyDescent="0.35">
      <c r="B25" s="2">
        <v>2</v>
      </c>
      <c r="C25" s="3" t="s">
        <v>27</v>
      </c>
    </row>
    <row r="26" spans="2:5" x14ac:dyDescent="0.35">
      <c r="B26" s="2">
        <v>3</v>
      </c>
      <c r="C26" s="3" t="s">
        <v>21</v>
      </c>
    </row>
    <row r="27" spans="2:5" x14ac:dyDescent="0.35">
      <c r="B27" s="2">
        <v>4</v>
      </c>
      <c r="C27" s="3" t="s">
        <v>128</v>
      </c>
    </row>
    <row r="28" spans="2:5" x14ac:dyDescent="0.35">
      <c r="B28" s="2">
        <v>5</v>
      </c>
      <c r="C28" s="3" t="s">
        <v>24</v>
      </c>
    </row>
    <row r="29" spans="2:5" x14ac:dyDescent="0.35">
      <c r="B29" s="2">
        <v>6</v>
      </c>
      <c r="C29" s="3" t="s">
        <v>214</v>
      </c>
    </row>
    <row r="30" spans="2:5" x14ac:dyDescent="0.35">
      <c r="B30" s="2">
        <v>7</v>
      </c>
      <c r="C30" s="3" t="s">
        <v>129</v>
      </c>
    </row>
  </sheetData>
  <customSheetViews>
    <customSheetView guid="{D1CE1C7B-C5EA-487A-B174-370E881055E2}">
      <selection activeCell="D20" sqref="D20"/>
      <pageMargins left="0.7" right="0.7" top="0.75" bottom="0.75" header="0.3" footer="0.3"/>
    </customSheetView>
    <customSheetView guid="{4E06BDBF-2CED-473B-850B-2A6C7311FF41}" topLeftCell="A13">
      <selection activeCell="B24" sqref="B24:C29"/>
      <pageMargins left="0.7" right="0.7" top="0.75" bottom="0.75" header="0.3" footer="0.3"/>
    </customSheetView>
    <customSheetView guid="{7ECC2B8E-6A82-42F5-8AB0-4A51C54EA5EC}" topLeftCell="A13">
      <selection activeCell="B24" sqref="B24:C29"/>
      <pageMargins left="0.7" right="0.7" top="0.75" bottom="0.75" header="0.3" footer="0.3"/>
    </customSheetView>
    <customSheetView guid="{250915DF-0B97-45D7-B29D-7EED4C89C1C1}">
      <selection activeCell="C29" sqref="C29"/>
      <pageMargins left="0.7" right="0.7" top="0.75" bottom="0.75" header="0.3" footer="0.3"/>
    </customSheetView>
    <customSheetView guid="{60D2C030-4E31-4E07-8E1C-44D2EE84B177}">
      <selection activeCell="B24" sqref="B24:C29"/>
      <pageMargins left="0.7" right="0.7" top="0.75" bottom="0.75" header="0.3" footer="0.3"/>
    </customSheetView>
    <customSheetView guid="{72A6EB0A-84D5-4B8A-AC51-54CCD061630B}">
      <selection activeCell="B24" sqref="B24:C29"/>
      <pageMargins left="0.7" right="0.7" top="0.75" bottom="0.75" header="0.3" footer="0.3"/>
    </customSheetView>
    <customSheetView guid="{7E0EA425-A420-4443-B9E0-CDF0AA9E5D09}">
      <selection activeCell="D20" sqref="D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C8"/>
  <sheetViews>
    <sheetView workbookViewId="0">
      <selection activeCell="B6" sqref="B6:C6"/>
    </sheetView>
  </sheetViews>
  <sheetFormatPr defaultRowHeight="14.5" x14ac:dyDescent="0.35"/>
  <cols>
    <col min="2" max="2" width="85.7265625" bestFit="1" customWidth="1"/>
  </cols>
  <sheetData>
    <row r="1" spans="1:3" x14ac:dyDescent="0.35">
      <c r="A1" s="1" t="s">
        <v>192</v>
      </c>
    </row>
    <row r="2" spans="1:3" x14ac:dyDescent="0.35">
      <c r="B2" s="45" t="s">
        <v>194</v>
      </c>
      <c r="C2" t="s">
        <v>195</v>
      </c>
    </row>
    <row r="3" spans="1:3" x14ac:dyDescent="0.35">
      <c r="B3" s="45" t="s">
        <v>197</v>
      </c>
      <c r="C3" t="s">
        <v>196</v>
      </c>
    </row>
    <row r="4" spans="1:3" x14ac:dyDescent="0.35">
      <c r="B4" s="45"/>
    </row>
    <row r="5" spans="1:3" x14ac:dyDescent="0.35">
      <c r="B5" s="44" t="s">
        <v>190</v>
      </c>
    </row>
    <row r="6" spans="1:3" x14ac:dyDescent="0.35">
      <c r="B6" s="45" t="s">
        <v>198</v>
      </c>
      <c r="C6" t="s">
        <v>199</v>
      </c>
    </row>
    <row r="7" spans="1:3" x14ac:dyDescent="0.35">
      <c r="B7" s="45"/>
    </row>
    <row r="8" spans="1:3" x14ac:dyDescent="0.35">
      <c r="B8" s="44" t="s">
        <v>191</v>
      </c>
      <c r="C8" t="s">
        <v>193</v>
      </c>
    </row>
  </sheetData>
  <customSheetViews>
    <customSheetView guid="{D1CE1C7B-C5EA-487A-B174-370E881055E2}">
      <selection activeCell="B6" sqref="B6:C6"/>
      <pageMargins left="0.7" right="0.7" top="0.75" bottom="0.75" header="0.3" footer="0.3"/>
    </customSheetView>
    <customSheetView guid="{4E06BDBF-2CED-473B-850B-2A6C7311FF41}">
      <selection activeCell="B6" sqref="B6:C6"/>
      <pageMargins left="0.7" right="0.7" top="0.75" bottom="0.75" header="0.3" footer="0.3"/>
    </customSheetView>
    <customSheetView guid="{7ECC2B8E-6A82-42F5-8AB0-4A51C54EA5EC}">
      <selection activeCell="B6" sqref="B6:C6"/>
      <pageMargins left="0.7" right="0.7" top="0.75" bottom="0.75" header="0.3" footer="0.3"/>
    </customSheetView>
    <customSheetView guid="{250915DF-0B97-45D7-B29D-7EED4C89C1C1}">
      <selection activeCell="B6" sqref="B6:C6"/>
      <pageMargins left="0.7" right="0.7" top="0.75" bottom="0.75" header="0.3" footer="0.3"/>
    </customSheetView>
    <customSheetView guid="{60D2C030-4E31-4E07-8E1C-44D2EE84B177}">
      <selection activeCell="B6" sqref="B6:C6"/>
      <pageMargins left="0.7" right="0.7" top="0.75" bottom="0.75" header="0.3" footer="0.3"/>
    </customSheetView>
    <customSheetView guid="{72A6EB0A-84D5-4B8A-AC51-54CCD061630B}">
      <selection activeCell="B6" sqref="B6:C6"/>
      <pageMargins left="0.7" right="0.7" top="0.75" bottom="0.75" header="0.3" footer="0.3"/>
    </customSheetView>
    <customSheetView guid="{7E0EA425-A420-4443-B9E0-CDF0AA9E5D09}">
      <selection activeCell="B6" sqref="B6:C6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4:L34"/>
  <sheetViews>
    <sheetView topLeftCell="A5" workbookViewId="0">
      <selection activeCell="I19" sqref="I19"/>
    </sheetView>
  </sheetViews>
  <sheetFormatPr defaultRowHeight="14.5" x14ac:dyDescent="0.35"/>
  <cols>
    <col min="9" max="9" width="12.81640625" customWidth="1"/>
    <col min="10" max="10" width="11" customWidth="1"/>
    <col min="11" max="11" width="13.81640625" customWidth="1"/>
    <col min="12" max="12" width="21.81640625" customWidth="1"/>
  </cols>
  <sheetData>
    <row r="4" spans="4:12" x14ac:dyDescent="0.35">
      <c r="D4" s="1">
        <v>1</v>
      </c>
      <c r="E4" s="1" t="s">
        <v>97</v>
      </c>
      <c r="F4" s="1">
        <v>20200309</v>
      </c>
    </row>
    <row r="5" spans="4:12" x14ac:dyDescent="0.35">
      <c r="E5" s="1" t="s">
        <v>499</v>
      </c>
      <c r="F5" s="131">
        <f>SUM(J10:J11)</f>
        <v>7.9775</v>
      </c>
      <c r="G5" t="s">
        <v>500</v>
      </c>
    </row>
    <row r="6" spans="4:12" x14ac:dyDescent="0.35">
      <c r="E6" s="1" t="s">
        <v>354</v>
      </c>
      <c r="F6" s="12"/>
      <c r="G6" t="s">
        <v>500</v>
      </c>
      <c r="I6" s="11"/>
      <c r="J6" s="11"/>
      <c r="K6" s="11"/>
    </row>
    <row r="7" spans="4:12" x14ac:dyDescent="0.35">
      <c r="E7" s="1" t="s">
        <v>20</v>
      </c>
      <c r="F7" t="str">
        <f>IF(SUM(K10:K11)&gt;SUM(J10:J11),"Delayed",IF(SUM(K10:K11)&lt;SUM(J10:J11),"InAdvanced","Ontime"))</f>
        <v>InAdvanced</v>
      </c>
    </row>
    <row r="9" spans="4:12" ht="29" x14ac:dyDescent="0.35">
      <c r="F9" s="124" t="s">
        <v>31</v>
      </c>
      <c r="G9" s="124" t="s">
        <v>32</v>
      </c>
      <c r="H9" s="16" t="s">
        <v>501</v>
      </c>
      <c r="I9" s="16" t="s">
        <v>502</v>
      </c>
      <c r="J9" s="16" t="s">
        <v>503</v>
      </c>
      <c r="K9" s="16" t="s">
        <v>504</v>
      </c>
      <c r="L9" s="16" t="s">
        <v>35</v>
      </c>
    </row>
    <row r="10" spans="4:12" x14ac:dyDescent="0.35">
      <c r="F10" s="13">
        <v>1</v>
      </c>
      <c r="G10" s="14" t="s">
        <v>3</v>
      </c>
      <c r="H10" s="14">
        <v>3593</v>
      </c>
      <c r="I10" s="14">
        <v>3593</v>
      </c>
      <c r="J10" s="14">
        <f>63.82/8</f>
        <v>7.9775</v>
      </c>
      <c r="K10" s="14">
        <f>42.85/8</f>
        <v>5.3562500000000002</v>
      </c>
      <c r="L10" s="80">
        <f>IF(H10=0,"N/A",I10/H10)</f>
        <v>1</v>
      </c>
    </row>
    <row r="11" spans="4:12" x14ac:dyDescent="0.35">
      <c r="F11" s="13">
        <v>2</v>
      </c>
      <c r="G11" s="14" t="s">
        <v>2</v>
      </c>
      <c r="H11" s="14">
        <v>0</v>
      </c>
      <c r="I11" s="14">
        <v>0</v>
      </c>
      <c r="J11" s="14">
        <v>0</v>
      </c>
      <c r="K11" s="14">
        <v>0</v>
      </c>
      <c r="L11" s="80">
        <v>0</v>
      </c>
    </row>
    <row r="13" spans="4:12" x14ac:dyDescent="0.35">
      <c r="D13" s="1">
        <v>2</v>
      </c>
      <c r="E13" s="1" t="s">
        <v>97</v>
      </c>
      <c r="F13" s="1">
        <v>20200312</v>
      </c>
    </row>
    <row r="14" spans="4:12" x14ac:dyDescent="0.35">
      <c r="E14" s="1" t="s">
        <v>499</v>
      </c>
      <c r="F14" s="131">
        <f>SUM(J19:J20)</f>
        <v>13.5</v>
      </c>
      <c r="G14" t="s">
        <v>500</v>
      </c>
    </row>
    <row r="15" spans="4:12" x14ac:dyDescent="0.35">
      <c r="E15" s="1" t="s">
        <v>354</v>
      </c>
      <c r="F15" s="12"/>
      <c r="G15" t="s">
        <v>500</v>
      </c>
      <c r="I15" s="11"/>
      <c r="J15" s="11"/>
      <c r="K15" s="11"/>
    </row>
    <row r="16" spans="4:12" x14ac:dyDescent="0.35">
      <c r="E16" s="1" t="s">
        <v>20</v>
      </c>
      <c r="F16" t="str">
        <f>IF(SUM(K19:K20)&gt;SUM(J19:J20),"Delayed",IF(SUM(K19:K20)&lt;SUM(J19:J20),"InAdvanced","Ontime"))</f>
        <v>InAdvanced</v>
      </c>
    </row>
    <row r="18" spans="4:12" ht="29" x14ac:dyDescent="0.35">
      <c r="F18" s="124" t="s">
        <v>31</v>
      </c>
      <c r="G18" s="124" t="s">
        <v>32</v>
      </c>
      <c r="H18" s="16" t="s">
        <v>501</v>
      </c>
      <c r="I18" s="16" t="s">
        <v>502</v>
      </c>
      <c r="J18" s="16" t="s">
        <v>503</v>
      </c>
      <c r="K18" s="16" t="s">
        <v>504</v>
      </c>
      <c r="L18" s="16" t="s">
        <v>35</v>
      </c>
    </row>
    <row r="19" spans="4:12" x14ac:dyDescent="0.35">
      <c r="F19" s="13">
        <v>1</v>
      </c>
      <c r="G19" s="14" t="s">
        <v>3</v>
      </c>
      <c r="H19" s="14">
        <f>6094+111</f>
        <v>6205</v>
      </c>
      <c r="I19" s="14">
        <f>6094+41</f>
        <v>6135</v>
      </c>
      <c r="J19" s="14">
        <f>108/8</f>
        <v>13.5</v>
      </c>
      <c r="K19" s="14">
        <f>58.5/8</f>
        <v>7.3125</v>
      </c>
      <c r="L19" s="80">
        <f>IF(H19=0,"N/A",I19/H19)</f>
        <v>0.98871877518130535</v>
      </c>
    </row>
    <row r="20" spans="4:12" x14ac:dyDescent="0.35">
      <c r="F20" s="13">
        <v>2</v>
      </c>
      <c r="G20" s="14" t="s">
        <v>2</v>
      </c>
      <c r="H20" s="14">
        <v>0</v>
      </c>
      <c r="I20" s="14">
        <v>0</v>
      </c>
      <c r="J20" s="14">
        <v>0</v>
      </c>
      <c r="K20" s="14">
        <v>0</v>
      </c>
      <c r="L20" s="80">
        <v>0</v>
      </c>
    </row>
    <row r="22" spans="4:12" x14ac:dyDescent="0.35">
      <c r="D22" s="1">
        <v>3</v>
      </c>
      <c r="E22" s="1" t="s">
        <v>97</v>
      </c>
      <c r="F22" s="1">
        <v>20200313</v>
      </c>
    </row>
    <row r="23" spans="4:12" x14ac:dyDescent="0.35">
      <c r="E23" s="1" t="s">
        <v>499</v>
      </c>
      <c r="F23" s="131">
        <f>SUM(J28:J29)</f>
        <v>1.16625</v>
      </c>
      <c r="G23" t="s">
        <v>500</v>
      </c>
    </row>
    <row r="24" spans="4:12" x14ac:dyDescent="0.35">
      <c r="E24" s="1" t="s">
        <v>354</v>
      </c>
      <c r="F24" s="12"/>
      <c r="G24" t="s">
        <v>500</v>
      </c>
      <c r="I24" s="11"/>
      <c r="J24" s="11"/>
      <c r="K24" s="11"/>
    </row>
    <row r="25" spans="4:12" x14ac:dyDescent="0.35">
      <c r="E25" s="1" t="s">
        <v>20</v>
      </c>
      <c r="F25" t="str">
        <f>IF(SUM(K28:K29)&gt;SUM(J28:J29),"Delayed",IF(SUM(K28:K29)&lt;SUM(J28:J29),"InAdvanced","Ontime"))</f>
        <v>InAdvanced</v>
      </c>
    </row>
    <row r="27" spans="4:12" ht="29" x14ac:dyDescent="0.35">
      <c r="F27" s="124" t="s">
        <v>31</v>
      </c>
      <c r="G27" s="124" t="s">
        <v>32</v>
      </c>
      <c r="H27" s="16" t="s">
        <v>501</v>
      </c>
      <c r="I27" s="16" t="s">
        <v>502</v>
      </c>
      <c r="J27" s="16" t="s">
        <v>503</v>
      </c>
      <c r="K27" s="16" t="s">
        <v>504</v>
      </c>
      <c r="L27" s="16" t="s">
        <v>35</v>
      </c>
    </row>
    <row r="28" spans="4:12" x14ac:dyDescent="0.35">
      <c r="F28" s="13">
        <v>1</v>
      </c>
      <c r="G28" s="14" t="s">
        <v>3</v>
      </c>
      <c r="H28" s="14">
        <v>527</v>
      </c>
      <c r="I28" s="14">
        <v>527</v>
      </c>
      <c r="J28" s="14">
        <f>9.33/8</f>
        <v>1.16625</v>
      </c>
      <c r="K28" s="14">
        <f>7/8</f>
        <v>0.875</v>
      </c>
      <c r="L28" s="80">
        <f>IF(H28=0,"N/A",I28/H28)</f>
        <v>1</v>
      </c>
    </row>
    <row r="29" spans="4:12" x14ac:dyDescent="0.35">
      <c r="F29" s="13">
        <v>2</v>
      </c>
      <c r="G29" s="14" t="s">
        <v>2</v>
      </c>
      <c r="H29" s="14">
        <v>0</v>
      </c>
      <c r="I29" s="14">
        <v>0</v>
      </c>
      <c r="J29" s="14">
        <v>0</v>
      </c>
      <c r="K29" s="14">
        <v>0</v>
      </c>
      <c r="L29" s="80">
        <v>0</v>
      </c>
    </row>
    <row r="31" spans="4:12" x14ac:dyDescent="0.35">
      <c r="D31" s="1"/>
      <c r="E31" s="1"/>
      <c r="F31" s="1"/>
    </row>
    <row r="32" spans="4:12" x14ac:dyDescent="0.35">
      <c r="E32" s="1"/>
      <c r="F32" s="131"/>
    </row>
    <row r="33" spans="5:6" x14ac:dyDescent="0.35">
      <c r="E33" s="1"/>
      <c r="F33" s="12"/>
    </row>
    <row r="34" spans="5:6" x14ac:dyDescent="0.35">
      <c r="E34" s="1"/>
    </row>
  </sheetData>
  <customSheetViews>
    <customSheetView guid="{D1CE1C7B-C5EA-487A-B174-370E881055E2}" topLeftCell="A5">
      <selection activeCell="I19" sqref="I19"/>
      <pageMargins left="0.7" right="0.7" top="0.75" bottom="0.75" header="0.3" footer="0.3"/>
    </customSheetView>
    <customSheetView guid="{72A6EB0A-84D5-4B8A-AC51-54CCD061630B}">
      <selection activeCell="F6" sqref="F6"/>
      <pageMargins left="0.7" right="0.7" top="0.75" bottom="0.75" header="0.3" footer="0.3"/>
    </customSheetView>
    <customSheetView guid="{7E0EA425-A420-4443-B9E0-CDF0AA9E5D09}">
      <selection activeCell="D4" sqref="D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COEM_Package_20200302</vt:lpstr>
      <vt:lpstr>Template_Weekly_Report</vt:lpstr>
      <vt:lpstr>Sheet1</vt:lpstr>
      <vt:lpstr>|-&gt;</vt:lpstr>
      <vt:lpstr>Template</vt:lpstr>
      <vt:lpstr>Table</vt:lpstr>
      <vt:lpstr>Check_List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Trung Hieu</cp:lastModifiedBy>
  <dcterms:created xsi:type="dcterms:W3CDTF">2006-09-16T00:00:00Z</dcterms:created>
  <dcterms:modified xsi:type="dcterms:W3CDTF">2020-03-22T05:23:46Z</dcterms:modified>
</cp:coreProperties>
</file>