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fcdtkien\Desktop\"/>
    </mc:Choice>
  </mc:AlternateContent>
  <bookViews>
    <workbookView xWindow="0" yWindow="0" windowWidth="20490" windowHeight="7155" tabRatio="826" firstSheet="3" activeTab="5"/>
  </bookViews>
  <sheets>
    <sheet name="Requirement_on System" sheetId="9" r:id="rId1"/>
    <sheet name="Sun Interface template" sheetId="5" r:id="rId2"/>
    <sheet name="subvention+booking final" sheetId="4" r:id="rId3"/>
    <sheet name="Formular_Sub_amortization" sheetId="8" r:id="rId4"/>
    <sheet name="SAMPLE" sheetId="1" r:id="rId5"/>
    <sheet name="SUBVENTION ALLOCATION" sheetId="2" r:id="rId6"/>
    <sheet name="SUBVENTION BALANCE" sheetId="3" r:id="rId7"/>
    <sheet name="SUBVENTION REPORT" sheetId="7" r:id="rId8"/>
    <sheet name="DEALER REPORT" sheetId="6" r:id="rId9"/>
  </sheets>
  <externalReferences>
    <externalReference r:id="rId10"/>
    <externalReference r:id="rId11"/>
    <externalReference r:id="rId12"/>
  </externalReferences>
  <definedNames>
    <definedName name="_91TTL" localSheetId="3">#REF!</definedName>
    <definedName name="_91TTL">#REF!</definedName>
    <definedName name="_92TTL" localSheetId="3">#REF!</definedName>
    <definedName name="_92TTL">#REF!</definedName>
    <definedName name="_AMO_UniqueIdentifier" hidden="1">"'26a228e1-18f2-4ffb-984d-1e1ae658bfcf'"</definedName>
    <definedName name="_AMO_XmlVersion" hidden="1">"'1'"</definedName>
    <definedName name="_xlnm._FilterDatabase" localSheetId="5" hidden="1">'SUBVENTION ALLOCATION'!$A$7:$N$7</definedName>
    <definedName name="_xlnm._FilterDatabase" localSheetId="6" hidden="1">'SUBVENTION BALANCE'!$A$7:$Y$7</definedName>
    <definedName name="_op1" localSheetId="3">#REF!</definedName>
    <definedName name="_op1">#REF!</definedName>
    <definedName name="_op2" localSheetId="3">#REF!</definedName>
    <definedName name="_op2">#REF!</definedName>
    <definedName name="_prt1">'[1]Vol_Total&lt;15'!$N$1:$AK$54</definedName>
    <definedName name="_prt2">'[1]Vol_Total&lt;15'!$AL$1:$BI$54</definedName>
    <definedName name="_prt3" localSheetId="3">'[1]Vol_Total&lt;15'!#REF!</definedName>
    <definedName name="_prt3">'[1]Vol_Total&lt;15'!#REF!</definedName>
    <definedName name="_prt4" localSheetId="3">'[1]Vol_Total&lt;15'!#REF!</definedName>
    <definedName name="_prt4">'[1]Vol_Total&lt;15'!#REF!</definedName>
    <definedName name="_prt5" localSheetId="3">'[1]Vol_Total&lt;15'!#REF!</definedName>
    <definedName name="_prt5">'[1]Vol_Total&lt;15'!#REF!</definedName>
    <definedName name="abc" localSheetId="3">'[2]Combined Portfolio'!#REF!</definedName>
    <definedName name="abc">'[2]Combined Portfolio'!#REF!</definedName>
    <definedName name="Beg_Bal" localSheetId="3">#REF!</definedName>
    <definedName name="Beg_Bal">#REF!</definedName>
    <definedName name="BName" localSheetId="3">#REF!</definedName>
    <definedName name="BName">#REF!</definedName>
    <definedName name="CopyLex" localSheetId="3">#REF!</definedName>
    <definedName name="CopyLex">#REF!</definedName>
    <definedName name="Cum_Int" localSheetId="3">#REF!</definedName>
    <definedName name="Cum_Int">#REF!</definedName>
    <definedName name="Data" localSheetId="3">#REF!</definedName>
    <definedName name="Data">#REF!</definedName>
    <definedName name="End_Bal" localSheetId="3">#REF!</definedName>
    <definedName name="End_Bal">#REF!</definedName>
    <definedName name="Extra_Pay" localSheetId="3">#REF!</definedName>
    <definedName name="Extra_Pay">#REF!</definedName>
    <definedName name="Extra_Pay_Date" localSheetId="3">#REF!</definedName>
    <definedName name="Extra_Pay_Date">#REF!</definedName>
    <definedName name="Full_Print" localSheetId="3">#REF!</definedName>
    <definedName name="Full_Print">#REF!</definedName>
    <definedName name="FX">[3]RS_CD!$M$1</definedName>
    <definedName name="Grr_by_segment" localSheetId="3">#REF!</definedName>
    <definedName name="Grr_by_segment">#REF!</definedName>
    <definedName name="HC_Input" localSheetId="3">#REF!</definedName>
    <definedName name="HC_Input">#REF!</definedName>
    <definedName name="Header_Row" localSheetId="3">ROW(#REF!)</definedName>
    <definedName name="Header_Row">ROW(#REF!)</definedName>
    <definedName name="hjhhjjj" localSheetId="3">'[2]Combined Portfolio'!#REF!</definedName>
    <definedName name="hjhhjjj">'[2]Combined Portfolio'!#REF!</definedName>
    <definedName name="Int" localSheetId="3">#REF!</definedName>
    <definedName name="Int">#REF!</definedName>
    <definedName name="Interest_Rate" localSheetId="3">#REF!</definedName>
    <definedName name="Interest_Rate">#REF!</definedName>
    <definedName name="Key" localSheetId="3">#REF!</definedName>
    <definedName name="Key">#REF!</definedName>
    <definedName name="Last_Row" localSheetId="3">IF(Formular_Sub_amortization!Values_Entered,Formular_Sub_amortization!Header_Row+Formular_Sub_amortization!Number_of_Payments,Formular_Sub_amortization!Header_Row)</definedName>
    <definedName name="Last_Row">IF(Values_Entered,Header_Row+Number_of_Payments,Header_Row)</definedName>
    <definedName name="LexInput" localSheetId="3">#REF!</definedName>
    <definedName name="LexInput">#REF!</definedName>
    <definedName name="Loan_Amount" localSheetId="3">#REF!</definedName>
    <definedName name="Loan_Amount">#REF!</definedName>
    <definedName name="Loan_Years" localSheetId="3">#REF!</definedName>
    <definedName name="Loan_Years">#REF!</definedName>
    <definedName name="m" localSheetId="3">#REF!</definedName>
    <definedName name="m">#REF!</definedName>
    <definedName name="mio">1000000</definedName>
    <definedName name="ModelLex" localSheetId="3">#REF!</definedName>
    <definedName name="ModelLex">#REF!</definedName>
    <definedName name="New" localSheetId="3">'[1]Vol_Total&lt;15'!#REF!</definedName>
    <definedName name="New">'[1]Vol_Total&lt;15'!#REF!</definedName>
    <definedName name="NewScenario" localSheetId="3">#REF!</definedName>
    <definedName name="NewScenario">#REF!</definedName>
    <definedName name="Num_Pmt_Per_Year" localSheetId="3">#REF!</definedName>
    <definedName name="Num_Pmt_Per_Year">#REF!</definedName>
    <definedName name="Number_of_Payments" localSheetId="3">MATCH(0.01,Formular_Sub_amortization!End_Bal,-1)+1</definedName>
    <definedName name="Number_of_Payments">MATCH(0.01,End_Bal,-1)+1</definedName>
    <definedName name="Pay_Date" localSheetId="3">#REF!</definedName>
    <definedName name="Pay_Date">#REF!</definedName>
    <definedName name="Pay_Num" localSheetId="3">#REF!</definedName>
    <definedName name="Pay_Num">#REF!</definedName>
    <definedName name="Payment_Date" localSheetId="3">DATE(YEAR(Formular_Sub_amortization!Schedule_pay_date),MONTH(Formular_Sub_amortization!Schedule_pay_date)+Payment_Number,DAY(Formular_Sub_amortization!Schedule_pay_date))</definedName>
    <definedName name="Payment_Date">DATE(YEAR(Schedule_pay_date),MONTH(Schedule_pay_date)+Payment_Number,DAY(Schedule_pay_date))</definedName>
    <definedName name="Princ" localSheetId="3">#REF!</definedName>
    <definedName name="Princ">#REF!</definedName>
    <definedName name="Print_Area_Reset" localSheetId="3">OFFSET(Formular_Sub_amortization!Full_Print,0,0,Formular_Sub_amortization!Last_Row)</definedName>
    <definedName name="Print_Area_Reset">OFFSET(Full_Print,0,0,Last_Row)</definedName>
    <definedName name="Release_date" localSheetId="3">#REF!</definedName>
    <definedName name="Release_date">#REF!</definedName>
    <definedName name="Schedule_pay_date" localSheetId="3">#REF!</definedName>
    <definedName name="Schedule_pay_date">#REF!</definedName>
    <definedName name="Scheduled_Extra_Payments" localSheetId="3">#REF!</definedName>
    <definedName name="Scheduled_Extra_Payments">#REF!</definedName>
    <definedName name="Scheduled_Interest_Rate" localSheetId="3">#REF!</definedName>
    <definedName name="Scheduled_Interest_Rate">#REF!</definedName>
    <definedName name="Scheduled_Monthly_Payment" localSheetId="3">#REF!</definedName>
    <definedName name="Scheduled_Monthly_Payment">#REF!</definedName>
    <definedName name="Total_Interest" localSheetId="3">#REF!</definedName>
    <definedName name="Total_Interest">#REF!</definedName>
    <definedName name="Total_Pay" localSheetId="3">#REF!</definedName>
    <definedName name="Total_Pay">#REF!</definedName>
    <definedName name="Values_Entered" localSheetId="3">IF(Formular_Sub_amortization!Loan_Amount*Formular_Sub_amortization!Interest_Rate*Formular_Sub_amortization!Loan_Years*Formular_Sub_amortization!Schedule_pay_date&gt;0,1,0)</definedName>
    <definedName name="Values_Entered">IF(Loan_Amount*Interest_Rate*Loan_Years*Schedule_pay_date&gt;0,1,0)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2" l="1"/>
  <c r="N18" i="2" s="1"/>
  <c r="N8" i="2"/>
  <c r="C145" i="5" l="1"/>
  <c r="C144" i="5"/>
  <c r="B144" i="5"/>
  <c r="B115" i="5"/>
  <c r="B114" i="5"/>
  <c r="C115" i="5"/>
  <c r="C114" i="5"/>
  <c r="C105" i="5"/>
  <c r="C104" i="5"/>
  <c r="B105" i="5"/>
  <c r="B104" i="5"/>
  <c r="C67" i="5"/>
  <c r="C66" i="5"/>
  <c r="B67" i="5"/>
  <c r="B66" i="5"/>
  <c r="C31" i="5"/>
  <c r="C30" i="5"/>
  <c r="B31" i="5"/>
  <c r="B30" i="5"/>
  <c r="B145" i="5"/>
  <c r="U12" i="8"/>
  <c r="U13" i="8"/>
  <c r="U14" i="8"/>
  <c r="U15" i="8"/>
  <c r="U16" i="8"/>
  <c r="U17" i="8"/>
  <c r="U18" i="8"/>
  <c r="U19" i="8"/>
  <c r="U20" i="8"/>
  <c r="U21" i="8"/>
  <c r="U22" i="8"/>
  <c r="U11" i="8"/>
  <c r="E62" i="5" l="1"/>
  <c r="E61" i="5"/>
  <c r="E56" i="5"/>
  <c r="E55" i="5"/>
  <c r="E51" i="5"/>
  <c r="E50" i="5"/>
  <c r="E66" i="5"/>
  <c r="F66" i="5" s="1"/>
  <c r="E150" i="5"/>
  <c r="E149" i="5"/>
  <c r="C150" i="5"/>
  <c r="C149" i="5"/>
  <c r="B150" i="5"/>
  <c r="B149" i="5"/>
  <c r="A150" i="5"/>
  <c r="A149" i="5"/>
  <c r="B147" i="5"/>
  <c r="A147" i="5"/>
  <c r="E31" i="5"/>
  <c r="F31" i="5" s="1"/>
  <c r="E30" i="5"/>
  <c r="F30" i="5" s="1"/>
  <c r="E145" i="5"/>
  <c r="E144" i="5"/>
  <c r="F144" i="5" s="1"/>
  <c r="B142" i="5"/>
  <c r="A142" i="5"/>
  <c r="A145" i="5"/>
  <c r="A144" i="5"/>
  <c r="F150" i="5"/>
  <c r="F149" i="5"/>
  <c r="F145" i="5"/>
  <c r="E114" i="5"/>
  <c r="E110" i="5"/>
  <c r="F110" i="5" s="1"/>
  <c r="E109" i="5"/>
  <c r="F109" i="5" s="1"/>
  <c r="B107" i="5"/>
  <c r="A110" i="5"/>
  <c r="A109" i="5"/>
  <c r="A107" i="5"/>
  <c r="E105" i="5"/>
  <c r="F105" i="5" s="1"/>
  <c r="E104" i="5"/>
  <c r="F104" i="5" s="1"/>
  <c r="A105" i="5"/>
  <c r="A104" i="5"/>
  <c r="B102" i="5"/>
  <c r="A102" i="5"/>
  <c r="E72" i="5"/>
  <c r="F72" i="5" s="1"/>
  <c r="E71" i="5"/>
  <c r="F71" i="5" s="1"/>
  <c r="A72" i="5"/>
  <c r="A71" i="5"/>
  <c r="B69" i="5"/>
  <c r="A69" i="5"/>
  <c r="B71" i="5" s="1"/>
  <c r="E67" i="5"/>
  <c r="F67" i="5" s="1"/>
  <c r="A67" i="5"/>
  <c r="A66" i="5"/>
  <c r="B64" i="5"/>
  <c r="A64" i="5"/>
  <c r="I67" i="5" s="1"/>
  <c r="A36" i="5"/>
  <c r="A35" i="5"/>
  <c r="E36" i="5"/>
  <c r="F36" i="5" s="1"/>
  <c r="E35" i="5"/>
  <c r="F35" i="5" s="1"/>
  <c r="B33" i="5"/>
  <c r="A33" i="5"/>
  <c r="C35" i="5" s="1"/>
  <c r="I35" i="5" s="1"/>
  <c r="A31" i="5"/>
  <c r="A30" i="5"/>
  <c r="B28" i="5"/>
  <c r="A28" i="5"/>
  <c r="A23" i="5"/>
  <c r="P30" i="4"/>
  <c r="P31" i="4" s="1"/>
  <c r="M30" i="4"/>
  <c r="I30" i="4"/>
  <c r="F30" i="4"/>
  <c r="M31" i="4"/>
  <c r="I31" i="4"/>
  <c r="F31" i="4"/>
  <c r="P26" i="4"/>
  <c r="P27" i="4" s="1"/>
  <c r="M26" i="4"/>
  <c r="M27" i="4" s="1"/>
  <c r="I26" i="4"/>
  <c r="I27" i="4" s="1"/>
  <c r="F26" i="4"/>
  <c r="F27" i="4" s="1"/>
  <c r="I149" i="5" l="1"/>
  <c r="I150" i="5"/>
  <c r="I144" i="5"/>
  <c r="I145" i="5"/>
  <c r="C109" i="5"/>
  <c r="I109" i="5" s="1"/>
  <c r="I104" i="5"/>
  <c r="C110" i="5"/>
  <c r="I110" i="5" s="1"/>
  <c r="I105" i="5"/>
  <c r="B109" i="5"/>
  <c r="B110" i="5"/>
  <c r="B72" i="5"/>
  <c r="C71" i="5"/>
  <c r="I71" i="5" s="1"/>
  <c r="C72" i="5"/>
  <c r="I72" i="5" s="1"/>
  <c r="I66" i="5"/>
  <c r="C36" i="5"/>
  <c r="I36" i="5" s="1"/>
  <c r="B35" i="5"/>
  <c r="B36" i="5"/>
  <c r="I30" i="5"/>
  <c r="I31" i="5"/>
  <c r="U48" i="3"/>
  <c r="T48" i="3"/>
  <c r="S48" i="3"/>
  <c r="S38" i="3"/>
  <c r="R48" i="3"/>
  <c r="M48" i="3"/>
  <c r="M38" i="3"/>
  <c r="M28" i="3"/>
  <c r="M18" i="3"/>
  <c r="U38" i="3"/>
  <c r="T38" i="3"/>
  <c r="S28" i="3"/>
  <c r="R38" i="3"/>
  <c r="U28" i="3"/>
  <c r="T28" i="3"/>
  <c r="S18" i="3"/>
  <c r="R28" i="3"/>
  <c r="U18" i="3"/>
  <c r="T18" i="3"/>
  <c r="S8" i="3"/>
  <c r="U8" i="3"/>
  <c r="T8" i="3"/>
  <c r="R18" i="3" l="1"/>
  <c r="R8" i="3"/>
  <c r="M8" i="3"/>
  <c r="M58" i="2"/>
  <c r="K58" i="2"/>
  <c r="M48" i="2"/>
  <c r="M38" i="2"/>
  <c r="M28" i="2"/>
  <c r="M8" i="2"/>
  <c r="C140" i="5" l="1"/>
  <c r="B140" i="5"/>
  <c r="C139" i="5"/>
  <c r="B139" i="5"/>
  <c r="B99" i="5"/>
  <c r="C100" i="5"/>
  <c r="B100" i="5"/>
  <c r="C99" i="5"/>
  <c r="C62" i="5"/>
  <c r="B62" i="5"/>
  <c r="C61" i="5"/>
  <c r="B61" i="5"/>
  <c r="B48" i="5"/>
  <c r="C26" i="5"/>
  <c r="C25" i="5"/>
  <c r="B26" i="5"/>
  <c r="B25" i="5"/>
  <c r="B12" i="8"/>
  <c r="B11" i="8" l="1"/>
  <c r="A140" i="5" l="1"/>
  <c r="A139" i="5"/>
  <c r="A135" i="5"/>
  <c r="A134" i="5"/>
  <c r="A130" i="5"/>
  <c r="A129" i="5"/>
  <c r="A125" i="5"/>
  <c r="A124" i="5"/>
  <c r="A123" i="5"/>
  <c r="A122" i="5"/>
  <c r="A62" i="5"/>
  <c r="A61" i="5"/>
  <c r="A56" i="5"/>
  <c r="A55" i="5"/>
  <c r="A51" i="5"/>
  <c r="A50" i="5"/>
  <c r="A46" i="5"/>
  <c r="A45" i="5"/>
  <c r="A44" i="5"/>
  <c r="A43" i="5"/>
  <c r="A115" i="5" l="1"/>
  <c r="A114" i="5"/>
  <c r="A112" i="5"/>
  <c r="I115" i="5"/>
  <c r="I114" i="5"/>
  <c r="A155" i="5"/>
  <c r="A154" i="5"/>
  <c r="A152" i="5"/>
  <c r="I155" i="5"/>
  <c r="I154" i="5"/>
  <c r="A137" i="5"/>
  <c r="B132" i="5"/>
  <c r="A132" i="5"/>
  <c r="B127" i="5"/>
  <c r="A127" i="5"/>
  <c r="I140" i="5"/>
  <c r="I139" i="5"/>
  <c r="G123" i="5"/>
  <c r="A100" i="5"/>
  <c r="A99" i="5"/>
  <c r="A97" i="5"/>
  <c r="A94" i="5"/>
  <c r="A93" i="5"/>
  <c r="B91" i="5"/>
  <c r="A91" i="5"/>
  <c r="A89" i="5"/>
  <c r="A88" i="5"/>
  <c r="B86" i="5"/>
  <c r="A86" i="5"/>
  <c r="A84" i="5"/>
  <c r="A83" i="5"/>
  <c r="A82" i="5"/>
  <c r="A81" i="5"/>
  <c r="A80" i="5"/>
  <c r="I100" i="5"/>
  <c r="I99" i="5"/>
  <c r="G82" i="5"/>
  <c r="G81" i="5"/>
  <c r="A59" i="5"/>
  <c r="B53" i="5"/>
  <c r="A53" i="5"/>
  <c r="A48" i="5"/>
  <c r="I62" i="5"/>
  <c r="I61" i="5"/>
  <c r="G44" i="5"/>
  <c r="M8" i="4"/>
  <c r="E82" i="5" s="1"/>
  <c r="F82" i="5" s="1"/>
  <c r="A17" i="5"/>
  <c r="A12" i="5"/>
  <c r="F8" i="4"/>
  <c r="F7" i="4" s="1"/>
  <c r="F6" i="4" s="1"/>
  <c r="B20" i="5" l="1"/>
  <c r="C19" i="5"/>
  <c r="B19" i="5"/>
  <c r="C20" i="5"/>
  <c r="B51" i="5"/>
  <c r="C50" i="5"/>
  <c r="I50" i="5" s="1"/>
  <c r="B50" i="5"/>
  <c r="C51" i="5"/>
  <c r="I51" i="5" s="1"/>
  <c r="C130" i="5"/>
  <c r="I130" i="5" s="1"/>
  <c r="B130" i="5"/>
  <c r="C129" i="5"/>
  <c r="I129" i="5" s="1"/>
  <c r="B129" i="5"/>
  <c r="B56" i="5"/>
  <c r="C55" i="5"/>
  <c r="I55" i="5" s="1"/>
  <c r="B55" i="5"/>
  <c r="C56" i="5"/>
  <c r="I56" i="5" s="1"/>
  <c r="B15" i="5"/>
  <c r="C15" i="5"/>
  <c r="B14" i="5"/>
  <c r="C14" i="5"/>
  <c r="C88" i="5"/>
  <c r="I88" i="5" s="1"/>
  <c r="B88" i="5"/>
  <c r="C89" i="5"/>
  <c r="I89" i="5" s="1"/>
  <c r="B89" i="5"/>
  <c r="C93" i="5"/>
  <c r="I93" i="5" s="1"/>
  <c r="B93" i="5"/>
  <c r="C94" i="5"/>
  <c r="I94" i="5" s="1"/>
  <c r="B94" i="5"/>
  <c r="C135" i="5"/>
  <c r="I135" i="5" s="1"/>
  <c r="C134" i="5"/>
  <c r="I134" i="5" s="1"/>
  <c r="B134" i="5"/>
  <c r="B135" i="5"/>
  <c r="E7" i="5"/>
  <c r="M7" i="4"/>
  <c r="M6" i="4" s="1"/>
  <c r="M34" i="4" s="1"/>
  <c r="M35" i="4" s="1"/>
  <c r="E115" i="5" s="1"/>
  <c r="F115" i="5" s="1"/>
  <c r="E8" i="5"/>
  <c r="P8" i="4"/>
  <c r="M10" i="4"/>
  <c r="E83" i="5" s="1"/>
  <c r="F83" i="5" s="1"/>
  <c r="I8" i="4"/>
  <c r="F10" i="4"/>
  <c r="E9" i="5" s="1"/>
  <c r="E81" i="5" l="1"/>
  <c r="F81" i="5" s="1"/>
  <c r="F114" i="5"/>
  <c r="E80" i="5"/>
  <c r="F80" i="5" s="1"/>
  <c r="P6" i="4"/>
  <c r="E123" i="5"/>
  <c r="F123" i="5" s="1"/>
  <c r="I6" i="4"/>
  <c r="E43" i="5" s="1"/>
  <c r="F43" i="5" s="1"/>
  <c r="E44" i="5"/>
  <c r="F44" i="5" s="1"/>
  <c r="P10" i="4"/>
  <c r="E124" i="5" s="1"/>
  <c r="F124" i="5" s="1"/>
  <c r="M11" i="4"/>
  <c r="F11" i="4"/>
  <c r="I10" i="4"/>
  <c r="E45" i="5" s="1"/>
  <c r="F45" i="5" s="1"/>
  <c r="I11" i="4" l="1"/>
  <c r="E46" i="5" s="1"/>
  <c r="F46" i="5" s="1"/>
  <c r="E10" i="5"/>
  <c r="P11" i="4"/>
  <c r="E125" i="5" s="1"/>
  <c r="F125" i="5" s="1"/>
  <c r="E84" i="5"/>
  <c r="F84" i="5" s="1"/>
  <c r="P34" i="4"/>
  <c r="E122" i="5"/>
  <c r="F122" i="5" s="1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D3" i="8"/>
  <c r="Q11" i="8" s="1"/>
  <c r="D4" i="8"/>
  <c r="B4" i="8" s="1"/>
  <c r="B3" i="8"/>
  <c r="B2" i="8"/>
  <c r="C11" i="8" s="1"/>
  <c r="B1" i="8"/>
  <c r="J82" i="8" l="1"/>
  <c r="P35" i="4"/>
  <c r="E155" i="5" s="1"/>
  <c r="F155" i="5" s="1"/>
  <c r="E154" i="5"/>
  <c r="F154" i="5" s="1"/>
  <c r="H11" i="8"/>
  <c r="J38" i="8"/>
  <c r="E3" i="8"/>
  <c r="J72" i="8"/>
  <c r="L10" i="8"/>
  <c r="L11" i="8" s="1"/>
  <c r="J28" i="8"/>
  <c r="J51" i="8"/>
  <c r="Q10" i="8"/>
  <c r="J33" i="8"/>
  <c r="J59" i="8"/>
  <c r="P11" i="8"/>
  <c r="R11" i="8" s="1"/>
  <c r="J44" i="8"/>
  <c r="J80" i="8"/>
  <c r="J24" i="8"/>
  <c r="J34" i="8"/>
  <c r="J46" i="8"/>
  <c r="J62" i="8"/>
  <c r="J75" i="8"/>
  <c r="J81" i="8"/>
  <c r="B5" i="8"/>
  <c r="J25" i="8"/>
  <c r="J30" i="8"/>
  <c r="J36" i="8"/>
  <c r="J40" i="8"/>
  <c r="J48" i="8"/>
  <c r="J55" i="8"/>
  <c r="J67" i="8"/>
  <c r="J76" i="8"/>
  <c r="B35" i="8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J29" i="8"/>
  <c r="J39" i="8"/>
  <c r="J54" i="8"/>
  <c r="J26" i="8"/>
  <c r="J32" i="8"/>
  <c r="J37" i="8"/>
  <c r="J43" i="8"/>
  <c r="J50" i="8"/>
  <c r="J56" i="8"/>
  <c r="J71" i="8"/>
  <c r="J77" i="8"/>
  <c r="J10" i="8"/>
  <c r="F11" i="8"/>
  <c r="J23" i="8"/>
  <c r="J27" i="8"/>
  <c r="J31" i="8"/>
  <c r="J35" i="8"/>
  <c r="J42" i="8"/>
  <c r="J47" i="8"/>
  <c r="J52" i="8"/>
  <c r="J58" i="8"/>
  <c r="J64" i="8"/>
  <c r="J69" i="8"/>
  <c r="J78" i="8"/>
  <c r="J74" i="8"/>
  <c r="J70" i="8"/>
  <c r="J66" i="8"/>
  <c r="J79" i="8"/>
  <c r="J73" i="8"/>
  <c r="J68" i="8"/>
  <c r="J63" i="8"/>
  <c r="J61" i="8"/>
  <c r="J57" i="8"/>
  <c r="J53" i="8"/>
  <c r="J49" i="8"/>
  <c r="J45" i="8"/>
  <c r="J41" i="8"/>
  <c r="J60" i="8"/>
  <c r="J65" i="8"/>
  <c r="J14" i="8" l="1"/>
  <c r="J11" i="8"/>
  <c r="N11" i="8"/>
  <c r="M11" i="8" s="1"/>
  <c r="L12" i="8" s="1"/>
  <c r="K11" i="8"/>
  <c r="G4" i="8"/>
  <c r="J12" i="8"/>
  <c r="J17" i="8"/>
  <c r="J19" i="8"/>
  <c r="J16" i="8"/>
  <c r="J15" i="8"/>
  <c r="J18" i="8"/>
  <c r="J22" i="8"/>
  <c r="J13" i="8"/>
  <c r="J21" i="8"/>
  <c r="E11" i="8"/>
  <c r="D11" i="8" s="1"/>
  <c r="J20" i="8"/>
  <c r="O11" i="8" l="1"/>
  <c r="C12" i="8"/>
  <c r="F12" i="8" s="1"/>
  <c r="E12" i="8" s="1"/>
  <c r="D12" i="8" s="1"/>
  <c r="P12" i="8"/>
  <c r="R12" i="8" s="1"/>
  <c r="G5" i="8"/>
  <c r="N12" i="8"/>
  <c r="Q12" i="8" l="1"/>
  <c r="M15" i="4"/>
  <c r="F15" i="4"/>
  <c r="C13" i="8"/>
  <c r="F13" i="8" s="1"/>
  <c r="E13" i="8" s="1"/>
  <c r="M12" i="8"/>
  <c r="L13" i="8" s="1"/>
  <c r="K12" i="8"/>
  <c r="O12" i="8" s="1"/>
  <c r="P13" i="8" s="1"/>
  <c r="F14" i="4" l="1"/>
  <c r="E89" i="5"/>
  <c r="F89" i="5" s="1"/>
  <c r="E15" i="5"/>
  <c r="F51" i="5"/>
  <c r="I15" i="4"/>
  <c r="F19" i="4"/>
  <c r="M19" i="4"/>
  <c r="M14" i="4"/>
  <c r="P14" i="4" s="1"/>
  <c r="E129" i="5" s="1"/>
  <c r="F129" i="5" s="1"/>
  <c r="P15" i="4"/>
  <c r="E130" i="5" s="1"/>
  <c r="F130" i="5" s="1"/>
  <c r="D13" i="8"/>
  <c r="C14" i="8"/>
  <c r="F14" i="8" s="1"/>
  <c r="E14" i="8" s="1"/>
  <c r="D14" i="8" s="1"/>
  <c r="R13" i="8"/>
  <c r="Q13" i="8"/>
  <c r="K13" i="8" s="1"/>
  <c r="O13" i="8" s="1"/>
  <c r="N13" i="8"/>
  <c r="M18" i="4" l="1"/>
  <c r="P18" i="4" s="1"/>
  <c r="E134" i="5" s="1"/>
  <c r="F134" i="5" s="1"/>
  <c r="P19" i="4"/>
  <c r="E135" i="5" s="1"/>
  <c r="F135" i="5" s="1"/>
  <c r="F18" i="4"/>
  <c r="F56" i="5"/>
  <c r="E20" i="5"/>
  <c r="E94" i="5"/>
  <c r="F94" i="5" s="1"/>
  <c r="I19" i="4"/>
  <c r="I14" i="4"/>
  <c r="F50" i="5"/>
  <c r="E88" i="5"/>
  <c r="F88" i="5" s="1"/>
  <c r="C15" i="8"/>
  <c r="P14" i="8"/>
  <c r="M13" i="8"/>
  <c r="L14" i="8" s="1"/>
  <c r="I18" i="4" l="1"/>
  <c r="F55" i="5"/>
  <c r="E93" i="5"/>
  <c r="F93" i="5" s="1"/>
  <c r="R14" i="8"/>
  <c r="N14" i="8"/>
  <c r="Q14" i="8"/>
  <c r="K14" i="8" s="1"/>
  <c r="O14" i="8" s="1"/>
  <c r="F15" i="8"/>
  <c r="E15" i="8" s="1"/>
  <c r="D15" i="8" s="1"/>
  <c r="C16" i="8" l="1"/>
  <c r="P15" i="8"/>
  <c r="M14" i="8"/>
  <c r="L15" i="8" s="1"/>
  <c r="N15" i="8" l="1"/>
  <c r="R15" i="8"/>
  <c r="F16" i="8"/>
  <c r="E16" i="8" s="1"/>
  <c r="D16" i="8" s="1"/>
  <c r="Q15" i="8"/>
  <c r="K15" i="8" s="1"/>
  <c r="O15" i="8" s="1"/>
  <c r="C17" i="8" l="1"/>
  <c r="P16" i="8"/>
  <c r="M15" i="8"/>
  <c r="L16" i="8" s="1"/>
  <c r="N16" i="8" l="1"/>
  <c r="R16" i="8"/>
  <c r="Q16" i="8"/>
  <c r="F17" i="8"/>
  <c r="E17" i="8" s="1"/>
  <c r="D17" i="8" s="1"/>
  <c r="M16" i="8" l="1"/>
  <c r="L17" i="8" s="1"/>
  <c r="C18" i="8"/>
  <c r="K16" i="8"/>
  <c r="O16" i="8" s="1"/>
  <c r="P17" i="8" s="1"/>
  <c r="R17" i="8" l="1"/>
  <c r="Q17" i="8"/>
  <c r="K17" i="8" s="1"/>
  <c r="O17" i="8" s="1"/>
  <c r="F18" i="8"/>
  <c r="E18" i="8" s="1"/>
  <c r="D18" i="8" s="1"/>
  <c r="N17" i="8"/>
  <c r="P18" i="8" l="1"/>
  <c r="M17" i="8"/>
  <c r="L18" i="8" s="1"/>
  <c r="C19" i="8"/>
  <c r="F19" i="8" l="1"/>
  <c r="E19" i="8" s="1"/>
  <c r="D19" i="8" s="1"/>
  <c r="N18" i="8"/>
  <c r="R18" i="8"/>
  <c r="Q18" i="8"/>
  <c r="K18" i="8" s="1"/>
  <c r="O18" i="8" s="1"/>
  <c r="C20" i="8" l="1"/>
  <c r="F20" i="8" s="1"/>
  <c r="E20" i="8" s="1"/>
  <c r="D20" i="8" s="1"/>
  <c r="P19" i="8"/>
  <c r="R19" i="8" s="1"/>
  <c r="M18" i="8"/>
  <c r="L19" i="8" s="1"/>
  <c r="Q19" i="8" l="1"/>
  <c r="C21" i="8"/>
  <c r="N19" i="8"/>
  <c r="K19" i="8"/>
  <c r="O19" i="8" s="1"/>
  <c r="P20" i="8" l="1"/>
  <c r="R20" i="8" s="1"/>
  <c r="M19" i="8"/>
  <c r="L20" i="8" s="1"/>
  <c r="F21" i="8"/>
  <c r="E21" i="8" s="1"/>
  <c r="D21" i="8" s="1"/>
  <c r="Q20" i="8"/>
  <c r="C22" i="8" l="1"/>
  <c r="F22" i="8" s="1"/>
  <c r="E22" i="8" s="1"/>
  <c r="D22" i="8" s="1"/>
  <c r="K20" i="8"/>
  <c r="O20" i="8" s="1"/>
  <c r="N20" i="8"/>
  <c r="M20" i="8" l="1"/>
  <c r="L21" i="8" s="1"/>
  <c r="P21" i="8"/>
  <c r="C23" i="8"/>
  <c r="F23" i="8" l="1"/>
  <c r="E23" i="8" s="1"/>
  <c r="D23" i="8" s="1"/>
  <c r="R21" i="8"/>
  <c r="Q21" i="8"/>
  <c r="K21" i="8" s="1"/>
  <c r="O21" i="8" s="1"/>
  <c r="N21" i="8"/>
  <c r="C24" i="8" l="1"/>
  <c r="F24" i="8" s="1"/>
  <c r="E24" i="8" s="1"/>
  <c r="D24" i="8" s="1"/>
  <c r="P22" i="8"/>
  <c r="R22" i="8" s="1"/>
  <c r="M21" i="8"/>
  <c r="L22" i="8" s="1"/>
  <c r="C25" i="8" l="1"/>
  <c r="F25" i="8" s="1"/>
  <c r="E25" i="8" s="1"/>
  <c r="D25" i="8" s="1"/>
  <c r="N22" i="8"/>
  <c r="M22" i="8" s="1"/>
  <c r="L23" i="8" s="1"/>
  <c r="Q22" i="8"/>
  <c r="N23" i="8" l="1"/>
  <c r="M23" i="8" s="1"/>
  <c r="L24" i="8" s="1"/>
  <c r="P23" i="8"/>
  <c r="C26" i="8"/>
  <c r="K22" i="8"/>
  <c r="O22" i="8" s="1"/>
  <c r="R23" i="8" l="1"/>
  <c r="M23" i="4"/>
  <c r="F23" i="4"/>
  <c r="Q23" i="8"/>
  <c r="K23" i="8" s="1"/>
  <c r="O23" i="8" s="1"/>
  <c r="N24" i="8"/>
  <c r="M24" i="8" s="1"/>
  <c r="L25" i="8" s="1"/>
  <c r="F26" i="8"/>
  <c r="E26" i="8" s="1"/>
  <c r="D26" i="8" s="1"/>
  <c r="P24" i="8"/>
  <c r="R24" i="8" s="1"/>
  <c r="Q24" i="8" l="1"/>
  <c r="K24" i="8" s="1"/>
  <c r="O24" i="8" s="1"/>
  <c r="F22" i="4"/>
  <c r="E26" i="5"/>
  <c r="F62" i="5"/>
  <c r="E100" i="5"/>
  <c r="F100" i="5" s="1"/>
  <c r="I23" i="4"/>
  <c r="M22" i="4"/>
  <c r="P22" i="4" s="1"/>
  <c r="E139" i="5" s="1"/>
  <c r="F139" i="5" s="1"/>
  <c r="P23" i="4"/>
  <c r="E140" i="5" s="1"/>
  <c r="F140" i="5" s="1"/>
  <c r="N25" i="8"/>
  <c r="M25" i="8" s="1"/>
  <c r="L26" i="8" s="1"/>
  <c r="P25" i="8"/>
  <c r="R25" i="8" s="1"/>
  <c r="C27" i="8"/>
  <c r="I22" i="4" l="1"/>
  <c r="E99" i="5"/>
  <c r="F99" i="5" s="1"/>
  <c r="F61" i="5"/>
  <c r="Q25" i="8"/>
  <c r="P26" i="8" s="1"/>
  <c r="R26" i="8" s="1"/>
  <c r="N26" i="8"/>
  <c r="M26" i="8" s="1"/>
  <c r="L27" i="8" s="1"/>
  <c r="F27" i="8"/>
  <c r="E27" i="8" s="1"/>
  <c r="D27" i="8" s="1"/>
  <c r="K25" i="8" l="1"/>
  <c r="O25" i="8" s="1"/>
  <c r="C28" i="8"/>
  <c r="F28" i="8" s="1"/>
  <c r="E28" i="8" s="1"/>
  <c r="D28" i="8" s="1"/>
  <c r="Q26" i="8"/>
  <c r="P27" i="8" s="1"/>
  <c r="R27" i="8" s="1"/>
  <c r="N27" i="8"/>
  <c r="M27" i="8" s="1"/>
  <c r="L28" i="8" s="1"/>
  <c r="K26" i="8" l="1"/>
  <c r="O26" i="8" s="1"/>
  <c r="C29" i="8"/>
  <c r="F29" i="8" s="1"/>
  <c r="E29" i="8" s="1"/>
  <c r="D29" i="8" s="1"/>
  <c r="Q27" i="8"/>
  <c r="K27" i="8" s="1"/>
  <c r="O27" i="8" s="1"/>
  <c r="N28" i="8"/>
  <c r="M28" i="8" s="1"/>
  <c r="L29" i="8" s="1"/>
  <c r="P28" i="8" l="1"/>
  <c r="R28" i="8" s="1"/>
  <c r="Q28" i="8"/>
  <c r="K28" i="8" s="1"/>
  <c r="O28" i="8" s="1"/>
  <c r="N29" i="8"/>
  <c r="M29" i="8" s="1"/>
  <c r="L30" i="8" s="1"/>
  <c r="C30" i="8"/>
  <c r="P29" i="8" l="1"/>
  <c r="R29" i="8" s="1"/>
  <c r="F30" i="8"/>
  <c r="E30" i="8" s="1"/>
  <c r="D30" i="8" s="1"/>
  <c r="N30" i="8"/>
  <c r="M30" i="8" s="1"/>
  <c r="L31" i="8" s="1"/>
  <c r="Q29" i="8"/>
  <c r="N31" i="8" l="1"/>
  <c r="M31" i="8" s="1"/>
  <c r="L32" i="8" s="1"/>
  <c r="P30" i="8"/>
  <c r="R30" i="8" s="1"/>
  <c r="K29" i="8"/>
  <c r="O29" i="8" s="1"/>
  <c r="C31" i="8"/>
  <c r="Q30" i="8" l="1"/>
  <c r="P31" i="8" s="1"/>
  <c r="R31" i="8" s="1"/>
  <c r="F31" i="8"/>
  <c r="E31" i="8" s="1"/>
  <c r="D31" i="8" s="1"/>
  <c r="N32" i="8"/>
  <c r="M32" i="8" s="1"/>
  <c r="L33" i="8" s="1"/>
  <c r="K30" i="8" l="1"/>
  <c r="O30" i="8" s="1"/>
  <c r="N33" i="8"/>
  <c r="M33" i="8" s="1"/>
  <c r="L34" i="8" s="1"/>
  <c r="C32" i="8"/>
  <c r="Q31" i="8"/>
  <c r="F32" i="8" l="1"/>
  <c r="E32" i="8" s="1"/>
  <c r="D32" i="8" s="1"/>
  <c r="N34" i="8"/>
  <c r="M34" i="8"/>
  <c r="L35" i="8" s="1"/>
  <c r="P32" i="8"/>
  <c r="R32" i="8" s="1"/>
  <c r="K31" i="8"/>
  <c r="O31" i="8" s="1"/>
  <c r="C33" i="8" l="1"/>
  <c r="F33" i="8" s="1"/>
  <c r="E33" i="8" s="1"/>
  <c r="N35" i="8"/>
  <c r="M35" i="8" s="1"/>
  <c r="L36" i="8" s="1"/>
  <c r="Q32" i="8"/>
  <c r="P33" i="8" l="1"/>
  <c r="R33" i="8" s="1"/>
  <c r="K32" i="8"/>
  <c r="O32" i="8" s="1"/>
  <c r="N36" i="8"/>
  <c r="M36" i="8" s="1"/>
  <c r="L37" i="8" s="1"/>
  <c r="C34" i="8"/>
  <c r="D33" i="8"/>
  <c r="N37" i="8" l="1"/>
  <c r="M37" i="8" s="1"/>
  <c r="L38" i="8" s="1"/>
  <c r="F34" i="8"/>
  <c r="E34" i="8" s="1"/>
  <c r="D34" i="8" s="1"/>
  <c r="Q33" i="8"/>
  <c r="C35" i="8" l="1"/>
  <c r="N38" i="8"/>
  <c r="M38" i="8" s="1"/>
  <c r="L39" i="8" s="1"/>
  <c r="P34" i="8"/>
  <c r="R34" i="8" s="1"/>
  <c r="K33" i="8"/>
  <c r="O33" i="8" s="1"/>
  <c r="F35" i="8"/>
  <c r="E35" i="8" s="1"/>
  <c r="D35" i="8" s="1"/>
  <c r="N39" i="8" l="1"/>
  <c r="M39" i="8" s="1"/>
  <c r="L40" i="8" s="1"/>
  <c r="C36" i="8"/>
  <c r="Q34" i="8"/>
  <c r="N40" i="8" l="1"/>
  <c r="M40" i="8" s="1"/>
  <c r="L41" i="8" s="1"/>
  <c r="F36" i="8"/>
  <c r="E36" i="8" s="1"/>
  <c r="D36" i="8" s="1"/>
  <c r="P35" i="8"/>
  <c r="R35" i="8" s="1"/>
  <c r="K34" i="8"/>
  <c r="O34" i="8" s="1"/>
  <c r="C37" i="8" l="1"/>
  <c r="Q35" i="8"/>
  <c r="P36" i="8"/>
  <c r="R36" i="8" s="1"/>
  <c r="K35" i="8"/>
  <c r="O35" i="8" s="1"/>
  <c r="F37" i="8"/>
  <c r="E37" i="8" s="1"/>
  <c r="D37" i="8" s="1"/>
  <c r="N41" i="8"/>
  <c r="M41" i="8" s="1"/>
  <c r="L42" i="8" s="1"/>
  <c r="C38" i="8" l="1"/>
  <c r="F38" i="8" s="1"/>
  <c r="E38" i="8" s="1"/>
  <c r="D38" i="8" s="1"/>
  <c r="N42" i="8"/>
  <c r="M42" i="8" s="1"/>
  <c r="L43" i="8" s="1"/>
  <c r="Q36" i="8"/>
  <c r="N43" i="8" l="1"/>
  <c r="M43" i="8" s="1"/>
  <c r="L44" i="8" s="1"/>
  <c r="P37" i="8"/>
  <c r="R37" i="8" s="1"/>
  <c r="K36" i="8"/>
  <c r="O36" i="8" s="1"/>
  <c r="C39" i="8"/>
  <c r="Q37" i="8" l="1"/>
  <c r="K37" i="8" s="1"/>
  <c r="O37" i="8" s="1"/>
  <c r="N44" i="8"/>
  <c r="M44" i="8" s="1"/>
  <c r="L45" i="8" s="1"/>
  <c r="F39" i="8"/>
  <c r="E39" i="8" s="1"/>
  <c r="D39" i="8" s="1"/>
  <c r="P38" i="8" l="1"/>
  <c r="R38" i="8" s="1"/>
  <c r="C40" i="8"/>
  <c r="F40" i="8" s="1"/>
  <c r="E40" i="8" s="1"/>
  <c r="D40" i="8" s="1"/>
  <c r="N45" i="8"/>
  <c r="M45" i="8" s="1"/>
  <c r="L46" i="8" s="1"/>
  <c r="Q38" i="8" l="1"/>
  <c r="C41" i="8"/>
  <c r="N46" i="8"/>
  <c r="M46" i="8" s="1"/>
  <c r="L47" i="8" s="1"/>
  <c r="P39" i="8" l="1"/>
  <c r="K38" i="8"/>
  <c r="O38" i="8" s="1"/>
  <c r="N47" i="8"/>
  <c r="M47" i="8" s="1"/>
  <c r="L48" i="8" s="1"/>
  <c r="F41" i="8"/>
  <c r="E41" i="8" s="1"/>
  <c r="D41" i="8" s="1"/>
  <c r="L82" i="8"/>
  <c r="R39" i="8" l="1"/>
  <c r="Q39" i="8"/>
  <c r="N48" i="8"/>
  <c r="M48" i="8" s="1"/>
  <c r="L49" i="8" s="1"/>
  <c r="K82" i="8"/>
  <c r="O82" i="8" s="1"/>
  <c r="N82" i="8"/>
  <c r="M82" i="8" s="1"/>
  <c r="C42" i="8"/>
  <c r="P40" i="8" l="1"/>
  <c r="R40" i="8" s="1"/>
  <c r="K39" i="8"/>
  <c r="O39" i="8" s="1"/>
  <c r="N49" i="8"/>
  <c r="M49" i="8" s="1"/>
  <c r="L50" i="8" s="1"/>
  <c r="F42" i="8"/>
  <c r="E42" i="8" s="1"/>
  <c r="D42" i="8" s="1"/>
  <c r="Q40" i="8" l="1"/>
  <c r="N50" i="8"/>
  <c r="M50" i="8" s="1"/>
  <c r="L51" i="8" s="1"/>
  <c r="C43" i="8"/>
  <c r="K40" i="8" l="1"/>
  <c r="O40" i="8" s="1"/>
  <c r="P41" i="8"/>
  <c r="R41" i="8" s="1"/>
  <c r="N51" i="8"/>
  <c r="M51" i="8" s="1"/>
  <c r="L52" i="8" s="1"/>
  <c r="F43" i="8"/>
  <c r="E43" i="8" s="1"/>
  <c r="D43" i="8" s="1"/>
  <c r="Q41" i="8" l="1"/>
  <c r="P42" i="8"/>
  <c r="K41" i="8"/>
  <c r="O41" i="8" s="1"/>
  <c r="N52" i="8"/>
  <c r="M52" i="8" s="1"/>
  <c r="L53" i="8" s="1"/>
  <c r="C44" i="8"/>
  <c r="R42" i="8" l="1"/>
  <c r="Q42" i="8"/>
  <c r="N53" i="8"/>
  <c r="M53" i="8" s="1"/>
  <c r="L54" i="8" s="1"/>
  <c r="F44" i="8"/>
  <c r="E44" i="8" s="1"/>
  <c r="D44" i="8" s="1"/>
  <c r="K42" i="8" l="1"/>
  <c r="O42" i="8" s="1"/>
  <c r="P43" i="8"/>
  <c r="N54" i="8"/>
  <c r="M54" i="8" s="1"/>
  <c r="L55" i="8" s="1"/>
  <c r="C45" i="8"/>
  <c r="R43" i="8" l="1"/>
  <c r="Q43" i="8"/>
  <c r="N55" i="8"/>
  <c r="M55" i="8" s="1"/>
  <c r="L56" i="8" s="1"/>
  <c r="F45" i="8"/>
  <c r="E45" i="8" s="1"/>
  <c r="D45" i="8" s="1"/>
  <c r="P44" i="8" l="1"/>
  <c r="R44" i="8" s="1"/>
  <c r="K43" i="8"/>
  <c r="O43" i="8" s="1"/>
  <c r="N56" i="8"/>
  <c r="M56" i="8" s="1"/>
  <c r="L57" i="8" s="1"/>
  <c r="C46" i="8"/>
  <c r="Q44" i="8" l="1"/>
  <c r="P45" i="8"/>
  <c r="R45" i="8" s="1"/>
  <c r="K44" i="8"/>
  <c r="O44" i="8" s="1"/>
  <c r="Q45" i="8"/>
  <c r="P46" i="8" s="1"/>
  <c r="R46" i="8" s="1"/>
  <c r="N57" i="8"/>
  <c r="M57" i="8" s="1"/>
  <c r="L58" i="8" s="1"/>
  <c r="F46" i="8"/>
  <c r="E46" i="8" s="1"/>
  <c r="D46" i="8" s="1"/>
  <c r="K45" i="8" l="1"/>
  <c r="O45" i="8" s="1"/>
  <c r="C47" i="8"/>
  <c r="F47" i="8" s="1"/>
  <c r="E47" i="8" s="1"/>
  <c r="D47" i="8" s="1"/>
  <c r="Q46" i="8"/>
  <c r="P47" i="8" s="1"/>
  <c r="R47" i="8" s="1"/>
  <c r="N58" i="8"/>
  <c r="M58" i="8" s="1"/>
  <c r="L59" i="8" s="1"/>
  <c r="K46" i="8" l="1"/>
  <c r="O46" i="8" s="1"/>
  <c r="N59" i="8"/>
  <c r="M59" i="8" s="1"/>
  <c r="L60" i="8" s="1"/>
  <c r="C48" i="8"/>
  <c r="Q47" i="8"/>
  <c r="N60" i="8" l="1"/>
  <c r="M60" i="8" s="1"/>
  <c r="L61" i="8" s="1"/>
  <c r="F48" i="8"/>
  <c r="E48" i="8" s="1"/>
  <c r="D48" i="8" s="1"/>
  <c r="P48" i="8"/>
  <c r="R48" i="8" s="1"/>
  <c r="K47" i="8"/>
  <c r="O47" i="8" s="1"/>
  <c r="C49" i="8" l="1"/>
  <c r="F49" i="8" s="1"/>
  <c r="E49" i="8" s="1"/>
  <c r="D49" i="8" s="1"/>
  <c r="N61" i="8"/>
  <c r="M61" i="8" s="1"/>
  <c r="L62" i="8" s="1"/>
  <c r="Q48" i="8"/>
  <c r="P49" i="8" l="1"/>
  <c r="R49" i="8" s="1"/>
  <c r="K48" i="8"/>
  <c r="O48" i="8" s="1"/>
  <c r="C50" i="8"/>
  <c r="N62" i="8"/>
  <c r="M62" i="8" s="1"/>
  <c r="L63" i="8" s="1"/>
  <c r="F50" i="8" l="1"/>
  <c r="E50" i="8" s="1"/>
  <c r="D50" i="8" s="1"/>
  <c r="N63" i="8"/>
  <c r="M63" i="8" s="1"/>
  <c r="L64" i="8" s="1"/>
  <c r="Q49" i="8"/>
  <c r="N64" i="8" l="1"/>
  <c r="M64" i="8" s="1"/>
  <c r="L65" i="8" s="1"/>
  <c r="C51" i="8"/>
  <c r="P50" i="8"/>
  <c r="R50" i="8" s="1"/>
  <c r="K49" i="8"/>
  <c r="O49" i="8" s="1"/>
  <c r="F51" i="8" l="1"/>
  <c r="E51" i="8" s="1"/>
  <c r="D51" i="8" s="1"/>
  <c r="N65" i="8"/>
  <c r="M65" i="8" s="1"/>
  <c r="L66" i="8" s="1"/>
  <c r="Q50" i="8"/>
  <c r="N66" i="8" l="1"/>
  <c r="M66" i="8" s="1"/>
  <c r="L67" i="8" s="1"/>
  <c r="P51" i="8"/>
  <c r="R51" i="8" s="1"/>
  <c r="K50" i="8"/>
  <c r="O50" i="8" s="1"/>
  <c r="C52" i="8"/>
  <c r="Q51" i="8" l="1"/>
  <c r="P52" i="8" s="1"/>
  <c r="R52" i="8" s="1"/>
  <c r="F52" i="8"/>
  <c r="E52" i="8" s="1"/>
  <c r="D52" i="8" s="1"/>
  <c r="N67" i="8"/>
  <c r="M67" i="8" s="1"/>
  <c r="L68" i="8" s="1"/>
  <c r="K51" i="8" l="1"/>
  <c r="O51" i="8" s="1"/>
  <c r="N68" i="8"/>
  <c r="M68" i="8" s="1"/>
  <c r="L69" i="8" s="1"/>
  <c r="C53" i="8"/>
  <c r="Q52" i="8"/>
  <c r="N69" i="8" l="1"/>
  <c r="M69" i="8" s="1"/>
  <c r="L70" i="8" s="1"/>
  <c r="F53" i="8"/>
  <c r="E53" i="8" s="1"/>
  <c r="D53" i="8" s="1"/>
  <c r="P53" i="8"/>
  <c r="R53" i="8" s="1"/>
  <c r="K52" i="8"/>
  <c r="O52" i="8" s="1"/>
  <c r="N70" i="8" l="1"/>
  <c r="M70" i="8" s="1"/>
  <c r="L71" i="8" s="1"/>
  <c r="Q53" i="8"/>
  <c r="C54" i="8"/>
  <c r="P54" i="8" l="1"/>
  <c r="R54" i="8" s="1"/>
  <c r="K53" i="8"/>
  <c r="O53" i="8" s="1"/>
  <c r="N71" i="8"/>
  <c r="M71" i="8" s="1"/>
  <c r="L72" i="8" s="1"/>
  <c r="F54" i="8"/>
  <c r="E54" i="8" s="1"/>
  <c r="D54" i="8" s="1"/>
  <c r="N72" i="8" l="1"/>
  <c r="M72" i="8" s="1"/>
  <c r="L73" i="8" s="1"/>
  <c r="C55" i="8"/>
  <c r="Q54" i="8"/>
  <c r="N73" i="8" l="1"/>
  <c r="M73" i="8" s="1"/>
  <c r="L74" i="8" s="1"/>
  <c r="F55" i="8"/>
  <c r="E55" i="8" s="1"/>
  <c r="D55" i="8" s="1"/>
  <c r="P55" i="8"/>
  <c r="R55" i="8" s="1"/>
  <c r="K54" i="8"/>
  <c r="O54" i="8" s="1"/>
  <c r="N74" i="8" l="1"/>
  <c r="M74" i="8" s="1"/>
  <c r="L75" i="8" s="1"/>
  <c r="Q55" i="8"/>
  <c r="C56" i="8"/>
  <c r="P56" i="8" l="1"/>
  <c r="R56" i="8" s="1"/>
  <c r="K55" i="8"/>
  <c r="O55" i="8" s="1"/>
  <c r="N75" i="8"/>
  <c r="M75" i="8" s="1"/>
  <c r="L76" i="8" s="1"/>
  <c r="F56" i="8"/>
  <c r="E56" i="8" s="1"/>
  <c r="D56" i="8" s="1"/>
  <c r="C57" i="8" l="1"/>
  <c r="N76" i="8"/>
  <c r="M76" i="8" s="1"/>
  <c r="L77" i="8" s="1"/>
  <c r="Q56" i="8"/>
  <c r="N77" i="8" l="1"/>
  <c r="M77" i="8" s="1"/>
  <c r="L78" i="8" s="1"/>
  <c r="P57" i="8"/>
  <c r="R57" i="8" s="1"/>
  <c r="K56" i="8"/>
  <c r="O56" i="8" s="1"/>
  <c r="F57" i="8"/>
  <c r="E57" i="8" s="1"/>
  <c r="D57" i="8" s="1"/>
  <c r="Q57" i="8" l="1"/>
  <c r="P58" i="8" s="1"/>
  <c r="R58" i="8" s="1"/>
  <c r="N78" i="8"/>
  <c r="M78" i="8" s="1"/>
  <c r="L79" i="8" s="1"/>
  <c r="C58" i="8"/>
  <c r="K57" i="8" l="1"/>
  <c r="O57" i="8" s="1"/>
  <c r="Q58" i="8"/>
  <c r="P59" i="8" s="1"/>
  <c r="R59" i="8" s="1"/>
  <c r="N79" i="8"/>
  <c r="M79" i="8" s="1"/>
  <c r="L80" i="8" s="1"/>
  <c r="F58" i="8"/>
  <c r="E58" i="8" s="1"/>
  <c r="D58" i="8" s="1"/>
  <c r="K58" i="8" l="1"/>
  <c r="O58" i="8" s="1"/>
  <c r="Q59" i="8"/>
  <c r="P60" i="8" s="1"/>
  <c r="R60" i="8" s="1"/>
  <c r="C59" i="8"/>
  <c r="F59" i="8" s="1"/>
  <c r="E59" i="8" s="1"/>
  <c r="N80" i="8"/>
  <c r="M80" i="8" s="1"/>
  <c r="L81" i="8" s="1"/>
  <c r="K59" i="8" l="1"/>
  <c r="O59" i="8" s="1"/>
  <c r="D59" i="8"/>
  <c r="C60" i="8"/>
  <c r="F60" i="8" s="1"/>
  <c r="E60" i="8" s="1"/>
  <c r="Q60" i="8"/>
  <c r="K60" i="8" s="1"/>
  <c r="O60" i="8" s="1"/>
  <c r="N81" i="8"/>
  <c r="M81" i="8" s="1"/>
  <c r="D60" i="8" l="1"/>
  <c r="C61" i="8"/>
  <c r="F61" i="8" s="1"/>
  <c r="E61" i="8" s="1"/>
  <c r="D61" i="8" s="1"/>
  <c r="P61" i="8"/>
  <c r="R61" i="8" s="1"/>
  <c r="C62" i="8" l="1"/>
  <c r="F62" i="8" s="1"/>
  <c r="E62" i="8" s="1"/>
  <c r="D62" i="8" s="1"/>
  <c r="Q61" i="8"/>
  <c r="C63" i="8" l="1"/>
  <c r="F63" i="8" s="1"/>
  <c r="E63" i="8" s="1"/>
  <c r="D63" i="8" s="1"/>
  <c r="P62" i="8"/>
  <c r="R62" i="8" s="1"/>
  <c r="K61" i="8"/>
  <c r="O61" i="8" s="1"/>
  <c r="Q62" i="8" l="1"/>
  <c r="K62" i="8" s="1"/>
  <c r="O62" i="8" s="1"/>
  <c r="P63" i="8"/>
  <c r="R63" i="8" s="1"/>
  <c r="C64" i="8"/>
  <c r="Q63" i="8" l="1"/>
  <c r="F64" i="8"/>
  <c r="E64" i="8" s="1"/>
  <c r="D64" i="8" s="1"/>
  <c r="K63" i="8" l="1"/>
  <c r="O63" i="8" s="1"/>
  <c r="P64" i="8"/>
  <c r="C65" i="8"/>
  <c r="R64" i="8" l="1"/>
  <c r="Q64" i="8"/>
  <c r="F65" i="8"/>
  <c r="E65" i="8" s="1"/>
  <c r="D65" i="8" s="1"/>
  <c r="C66" i="8" l="1"/>
  <c r="P65" i="8"/>
  <c r="R65" i="8" s="1"/>
  <c r="K64" i="8"/>
  <c r="O64" i="8" s="1"/>
  <c r="F66" i="8"/>
  <c r="E66" i="8" s="1"/>
  <c r="D66" i="8" s="1"/>
  <c r="Q65" i="8" l="1"/>
  <c r="K65" i="8"/>
  <c r="O65" i="8" s="1"/>
  <c r="P66" i="8"/>
  <c r="R66" i="8" s="1"/>
  <c r="C67" i="8"/>
  <c r="F67" i="8" s="1"/>
  <c r="E67" i="8" s="1"/>
  <c r="D67" i="8" s="1"/>
  <c r="C68" i="8" l="1"/>
  <c r="F68" i="8" s="1"/>
  <c r="E68" i="8" s="1"/>
  <c r="D68" i="8" s="1"/>
  <c r="Q66" i="8"/>
  <c r="K66" i="8" l="1"/>
  <c r="O66" i="8" s="1"/>
  <c r="P67" i="8"/>
  <c r="C69" i="8"/>
  <c r="R67" i="8" l="1"/>
  <c r="Q67" i="8"/>
  <c r="F69" i="8"/>
  <c r="E69" i="8" s="1"/>
  <c r="D69" i="8" s="1"/>
  <c r="K67" i="8" l="1"/>
  <c r="O67" i="8" s="1"/>
  <c r="P68" i="8"/>
  <c r="C70" i="8"/>
  <c r="R68" i="8" l="1"/>
  <c r="Q68" i="8"/>
  <c r="F70" i="8"/>
  <c r="E70" i="8" s="1"/>
  <c r="D70" i="8" s="1"/>
  <c r="K68" i="8" l="1"/>
  <c r="O68" i="8" s="1"/>
  <c r="P69" i="8"/>
  <c r="C71" i="8"/>
  <c r="F71" i="8" s="1"/>
  <c r="E71" i="8" s="1"/>
  <c r="D71" i="8" s="1"/>
  <c r="R69" i="8" l="1"/>
  <c r="Q69" i="8"/>
  <c r="C72" i="8"/>
  <c r="P70" i="8" l="1"/>
  <c r="K69" i="8"/>
  <c r="O69" i="8" s="1"/>
  <c r="F72" i="8"/>
  <c r="E72" i="8" s="1"/>
  <c r="D72" i="8" s="1"/>
  <c r="R70" i="8" l="1"/>
  <c r="Q70" i="8"/>
  <c r="C73" i="8"/>
  <c r="P71" i="8" l="1"/>
  <c r="K70" i="8"/>
  <c r="O70" i="8" s="1"/>
  <c r="F73" i="8"/>
  <c r="E73" i="8" s="1"/>
  <c r="D73" i="8" s="1"/>
  <c r="R71" i="8" l="1"/>
  <c r="Q71" i="8"/>
  <c r="C74" i="8"/>
  <c r="P72" i="8" l="1"/>
  <c r="K71" i="8"/>
  <c r="O71" i="8" s="1"/>
  <c r="F74" i="8"/>
  <c r="E74" i="8" s="1"/>
  <c r="D74" i="8" s="1"/>
  <c r="R72" i="8" l="1"/>
  <c r="Q72" i="8"/>
  <c r="C75" i="8"/>
  <c r="P73" i="8" l="1"/>
  <c r="K72" i="8"/>
  <c r="O72" i="8" s="1"/>
  <c r="F75" i="8"/>
  <c r="E75" i="8" s="1"/>
  <c r="D75" i="8" s="1"/>
  <c r="R73" i="8" l="1"/>
  <c r="Q73" i="8"/>
  <c r="C76" i="8"/>
  <c r="P74" i="8" l="1"/>
  <c r="K73" i="8"/>
  <c r="O73" i="8" s="1"/>
  <c r="F76" i="8"/>
  <c r="E76" i="8" s="1"/>
  <c r="D76" i="8" s="1"/>
  <c r="R74" i="8" l="1"/>
  <c r="Q74" i="8"/>
  <c r="C77" i="8"/>
  <c r="P75" i="8" l="1"/>
  <c r="K74" i="8"/>
  <c r="O74" i="8" s="1"/>
  <c r="F77" i="8"/>
  <c r="E77" i="8" s="1"/>
  <c r="D77" i="8" s="1"/>
  <c r="R75" i="8" l="1"/>
  <c r="Q75" i="8"/>
  <c r="C78" i="8"/>
  <c r="P76" i="8" l="1"/>
  <c r="K75" i="8"/>
  <c r="O75" i="8" s="1"/>
  <c r="F78" i="8"/>
  <c r="E78" i="8" s="1"/>
  <c r="D78" i="8" s="1"/>
  <c r="R76" i="8" l="1"/>
  <c r="Q76" i="8"/>
  <c r="C79" i="8"/>
  <c r="P77" i="8" l="1"/>
  <c r="K76" i="8"/>
  <c r="O76" i="8" s="1"/>
  <c r="F79" i="8"/>
  <c r="E79" i="8" s="1"/>
  <c r="D79" i="8" s="1"/>
  <c r="R77" i="8" l="1"/>
  <c r="Q77" i="8"/>
  <c r="C80" i="8"/>
  <c r="F80" i="8" s="1"/>
  <c r="E80" i="8" s="1"/>
  <c r="D80" i="8" s="1"/>
  <c r="P78" i="8" l="1"/>
  <c r="R78" i="8" s="1"/>
  <c r="K77" i="8"/>
  <c r="O77" i="8" s="1"/>
  <c r="Q78" i="8"/>
  <c r="K78" i="8" s="1"/>
  <c r="O78" i="8" s="1"/>
  <c r="C81" i="8"/>
  <c r="P79" i="8" l="1"/>
  <c r="R79" i="8" s="1"/>
  <c r="F81" i="8"/>
  <c r="E81" i="8" s="1"/>
  <c r="D81" i="8" s="1"/>
  <c r="G12" i="8"/>
  <c r="Q79" i="8"/>
  <c r="C82" i="8" l="1"/>
  <c r="F82" i="8" s="1"/>
  <c r="E82" i="8" s="1"/>
  <c r="D82" i="8" s="1"/>
  <c r="I12" i="8"/>
  <c r="H12" i="8"/>
  <c r="P80" i="8"/>
  <c r="R80" i="8" s="1"/>
  <c r="K79" i="8"/>
  <c r="O79" i="8" s="1"/>
  <c r="Q80" i="8" l="1"/>
  <c r="P81" i="8" s="1"/>
  <c r="R81" i="8" s="1"/>
  <c r="G13" i="8"/>
  <c r="K80" i="8" l="1"/>
  <c r="O80" i="8" s="1"/>
  <c r="Q81" i="8"/>
  <c r="P82" i="8" s="1"/>
  <c r="I13" i="8"/>
  <c r="H13" i="8"/>
  <c r="K81" i="8" l="1"/>
  <c r="O81" i="8" s="1"/>
  <c r="G14" i="8"/>
  <c r="R82" i="8"/>
  <c r="R83" i="8" s="1"/>
  <c r="P83" i="8"/>
  <c r="I14" i="8" l="1"/>
  <c r="H14" i="8"/>
  <c r="G15" i="8" l="1"/>
  <c r="I15" i="8" l="1"/>
  <c r="H15" i="8"/>
  <c r="G16" i="8" l="1"/>
  <c r="I16" i="8" l="1"/>
  <c r="H16" i="8"/>
  <c r="G17" i="8" l="1"/>
  <c r="I17" i="8" s="1"/>
  <c r="H17" i="8" l="1"/>
  <c r="G18" i="8" l="1"/>
  <c r="I18" i="8" s="1"/>
  <c r="H18" i="8" l="1"/>
  <c r="G19" i="8" l="1"/>
  <c r="I19" i="8" s="1"/>
  <c r="H19" i="8" l="1"/>
  <c r="G20" i="8" l="1"/>
  <c r="I20" i="8" s="1"/>
  <c r="H20" i="8" l="1"/>
  <c r="G21" i="8" l="1"/>
  <c r="I21" i="8" s="1"/>
  <c r="H21" i="8" l="1"/>
  <c r="G22" i="8" l="1"/>
  <c r="I22" i="8" s="1"/>
  <c r="H22" i="8" l="1"/>
  <c r="G23" i="8" l="1"/>
  <c r="I23" i="8" s="1"/>
  <c r="H23" i="8" l="1"/>
  <c r="G24" i="8" l="1"/>
  <c r="I24" i="8" s="1"/>
  <c r="H24" i="8" l="1"/>
  <c r="G25" i="8" l="1"/>
  <c r="I25" i="8" s="1"/>
  <c r="H25" i="8" l="1"/>
  <c r="G26" i="8" l="1"/>
  <c r="I26" i="8" s="1"/>
  <c r="H26" i="8" l="1"/>
  <c r="G27" i="8" l="1"/>
  <c r="I27" i="8" s="1"/>
  <c r="H27" i="8" l="1"/>
  <c r="G28" i="8" l="1"/>
  <c r="I28" i="8" s="1"/>
  <c r="H28" i="8" l="1"/>
  <c r="G29" i="8" l="1"/>
  <c r="I29" i="8" s="1"/>
  <c r="H29" i="8" l="1"/>
  <c r="G30" i="8" l="1"/>
  <c r="I30" i="8" s="1"/>
  <c r="H30" i="8" l="1"/>
  <c r="G31" i="8" l="1"/>
  <c r="I31" i="8" s="1"/>
  <c r="H31" i="8" l="1"/>
  <c r="G32" i="8" l="1"/>
  <c r="I32" i="8" s="1"/>
  <c r="H32" i="8" l="1"/>
  <c r="G33" i="8" l="1"/>
  <c r="I33" i="8" s="1"/>
  <c r="H33" i="8" l="1"/>
  <c r="G34" i="8" l="1"/>
  <c r="I34" i="8" s="1"/>
  <c r="H34" i="8" l="1"/>
  <c r="G35" i="8" l="1"/>
  <c r="I35" i="8" s="1"/>
  <c r="H35" i="8" l="1"/>
  <c r="G36" i="8" l="1"/>
  <c r="I36" i="8" s="1"/>
  <c r="H36" i="8" l="1"/>
  <c r="G37" i="8" l="1"/>
  <c r="I37" i="8" s="1"/>
  <c r="H37" i="8" l="1"/>
  <c r="G38" i="8" l="1"/>
  <c r="I38" i="8" s="1"/>
  <c r="H38" i="8" l="1"/>
  <c r="G39" i="8" l="1"/>
  <c r="I39" i="8" s="1"/>
  <c r="H39" i="8" l="1"/>
  <c r="G40" i="8" l="1"/>
  <c r="I40" i="8" s="1"/>
  <c r="H40" i="8" l="1"/>
  <c r="G41" i="8" l="1"/>
  <c r="I41" i="8" s="1"/>
  <c r="H41" i="8" l="1"/>
  <c r="G42" i="8" l="1"/>
  <c r="I42" i="8" s="1"/>
  <c r="H42" i="8" l="1"/>
  <c r="G43" i="8" l="1"/>
  <c r="I43" i="8" s="1"/>
  <c r="H43" i="8" l="1"/>
  <c r="G44" i="8" l="1"/>
  <c r="I44" i="8" s="1"/>
  <c r="H44" i="8" l="1"/>
  <c r="G45" i="8" l="1"/>
  <c r="I45" i="8" s="1"/>
  <c r="H45" i="8" l="1"/>
  <c r="G46" i="8" l="1"/>
  <c r="I46" i="8" s="1"/>
  <c r="H46" i="8" l="1"/>
  <c r="G47" i="8" l="1"/>
  <c r="I47" i="8" s="1"/>
  <c r="H47" i="8" l="1"/>
  <c r="G48" i="8" l="1"/>
  <c r="I48" i="8" s="1"/>
  <c r="H48" i="8" l="1"/>
  <c r="G49" i="8" l="1"/>
  <c r="I49" i="8" s="1"/>
  <c r="H49" i="8" l="1"/>
  <c r="G50" i="8" l="1"/>
  <c r="I50" i="8" s="1"/>
  <c r="H50" i="8" l="1"/>
  <c r="G51" i="8" l="1"/>
  <c r="I51" i="8" s="1"/>
  <c r="H51" i="8" l="1"/>
  <c r="G52" i="8" l="1"/>
  <c r="I52" i="8" s="1"/>
  <c r="H52" i="8" l="1"/>
  <c r="G53" i="8" l="1"/>
  <c r="I53" i="8" s="1"/>
  <c r="H53" i="8" l="1"/>
  <c r="G54" i="8" l="1"/>
  <c r="I54" i="8" s="1"/>
  <c r="H54" i="8" l="1"/>
  <c r="G55" i="8" l="1"/>
  <c r="I55" i="8" s="1"/>
  <c r="H55" i="8" l="1"/>
  <c r="G56" i="8" l="1"/>
  <c r="I56" i="8" s="1"/>
  <c r="H56" i="8" l="1"/>
  <c r="G57" i="8" l="1"/>
  <c r="I57" i="8" s="1"/>
  <c r="H57" i="8" l="1"/>
  <c r="G58" i="8" l="1"/>
  <c r="I58" i="8" s="1"/>
  <c r="H58" i="8" l="1"/>
  <c r="G59" i="8" l="1"/>
  <c r="I59" i="8" s="1"/>
  <c r="H59" i="8" l="1"/>
  <c r="G60" i="8" l="1"/>
  <c r="I60" i="8" s="1"/>
  <c r="H60" i="8" l="1"/>
  <c r="G61" i="8" l="1"/>
  <c r="I61" i="8" s="1"/>
  <c r="H61" i="8" l="1"/>
  <c r="G62" i="8" l="1"/>
  <c r="I62" i="8" s="1"/>
  <c r="H62" i="8" l="1"/>
  <c r="G63" i="8" l="1"/>
  <c r="I63" i="8" s="1"/>
  <c r="H63" i="8" l="1"/>
  <c r="G64" i="8" l="1"/>
  <c r="I64" i="8" s="1"/>
  <c r="H64" i="8" l="1"/>
  <c r="G65" i="8" l="1"/>
  <c r="I65" i="8" s="1"/>
  <c r="H65" i="8" l="1"/>
  <c r="G66" i="8" l="1"/>
  <c r="I66" i="8" s="1"/>
  <c r="H66" i="8" l="1"/>
  <c r="G67" i="8" l="1"/>
  <c r="I67" i="8" s="1"/>
  <c r="H67" i="8" l="1"/>
  <c r="G68" i="8" l="1"/>
  <c r="I68" i="8" s="1"/>
  <c r="H68" i="8" l="1"/>
  <c r="G69" i="8" l="1"/>
  <c r="I69" i="8" s="1"/>
  <c r="H69" i="8" l="1"/>
  <c r="G70" i="8" l="1"/>
  <c r="I70" i="8" s="1"/>
  <c r="H70" i="8" l="1"/>
  <c r="G71" i="8" l="1"/>
  <c r="I71" i="8" s="1"/>
  <c r="H71" i="8" l="1"/>
  <c r="G72" i="8" l="1"/>
  <c r="I72" i="8" s="1"/>
  <c r="H72" i="8" l="1"/>
  <c r="G73" i="8" l="1"/>
  <c r="I73" i="8" s="1"/>
  <c r="H73" i="8" l="1"/>
  <c r="G74" i="8" l="1"/>
  <c r="I74" i="8" s="1"/>
  <c r="H74" i="8" l="1"/>
  <c r="G75" i="8" l="1"/>
  <c r="I75" i="8" s="1"/>
  <c r="H75" i="8" l="1"/>
  <c r="G76" i="8" l="1"/>
  <c r="I76" i="8" s="1"/>
  <c r="H76" i="8" l="1"/>
  <c r="G77" i="8" l="1"/>
  <c r="I77" i="8" s="1"/>
  <c r="H77" i="8" l="1"/>
  <c r="G78" i="8" l="1"/>
  <c r="I78" i="8" s="1"/>
  <c r="H78" i="8" l="1"/>
  <c r="G79" i="8" l="1"/>
  <c r="I79" i="8" s="1"/>
  <c r="H79" i="8" l="1"/>
  <c r="G80" i="8" l="1"/>
  <c r="I80" i="8" s="1"/>
  <c r="H80" i="8" l="1"/>
  <c r="G81" i="8" l="1"/>
  <c r="I81" i="8" s="1"/>
  <c r="H81" i="8" l="1"/>
  <c r="G82" i="8" s="1"/>
  <c r="I82" i="8" l="1"/>
  <c r="I83" i="8" s="1"/>
  <c r="G83" i="8"/>
  <c r="O11" i="7" l="1"/>
  <c r="N11" i="7"/>
  <c r="P8" i="7"/>
  <c r="P11" i="7" s="1"/>
  <c r="O8" i="7"/>
  <c r="S14" i="6"/>
  <c r="R14" i="6"/>
  <c r="S11" i="6"/>
  <c r="T11" i="6" s="1"/>
  <c r="T14" i="6" s="1"/>
  <c r="E6" i="5" l="1"/>
  <c r="I25" i="5" l="1"/>
  <c r="I20" i="5"/>
  <c r="I19" i="5"/>
  <c r="I15" i="5"/>
  <c r="I14" i="5"/>
  <c r="E14" i="5"/>
  <c r="F14" i="5" s="1"/>
  <c r="E19" i="5"/>
  <c r="F19" i="5" s="1"/>
  <c r="E25" i="5"/>
  <c r="F25" i="5" s="1"/>
  <c r="F26" i="5"/>
  <c r="A26" i="5"/>
  <c r="A25" i="5"/>
  <c r="I26" i="5"/>
  <c r="F20" i="5"/>
  <c r="A20" i="5"/>
  <c r="A19" i="5"/>
  <c r="B17" i="5"/>
  <c r="G8" i="5"/>
  <c r="G7" i="5"/>
  <c r="F15" i="5"/>
  <c r="A15" i="5"/>
  <c r="A14" i="5"/>
  <c r="B12" i="5"/>
  <c r="A6" i="5"/>
  <c r="F10" i="5" l="1"/>
  <c r="F9" i="5"/>
  <c r="F8" i="5"/>
  <c r="F7" i="5"/>
  <c r="F6" i="5"/>
  <c r="A10" i="5"/>
  <c r="A9" i="5"/>
  <c r="A8" i="5"/>
  <c r="A7" i="5"/>
  <c r="C5" i="4"/>
  <c r="A78" i="5" l="1"/>
  <c r="A120" i="5"/>
  <c r="A41" i="5"/>
  <c r="A4" i="5"/>
  <c r="Y59" i="3"/>
  <c r="X59" i="3"/>
  <c r="W59" i="3"/>
  <c r="V59" i="3"/>
  <c r="U59" i="3"/>
  <c r="S59" i="3"/>
  <c r="R59" i="3"/>
  <c r="M59" i="3"/>
  <c r="L59" i="3"/>
  <c r="T59" i="3"/>
  <c r="O59" i="3"/>
  <c r="N59" i="3"/>
  <c r="T50" i="3"/>
  <c r="S50" i="3"/>
  <c r="R50" i="3"/>
  <c r="Y50" i="3"/>
  <c r="X50" i="3"/>
  <c r="W50" i="3"/>
  <c r="V50" i="3"/>
  <c r="L50" i="3"/>
  <c r="U50" i="3"/>
  <c r="M50" i="3"/>
  <c r="K48" i="3"/>
  <c r="J48" i="3"/>
  <c r="I48" i="3"/>
  <c r="H48" i="3"/>
  <c r="G48" i="3"/>
  <c r="C48" i="3"/>
  <c r="U40" i="3"/>
  <c r="T40" i="3"/>
  <c r="S40" i="3"/>
  <c r="R40" i="3"/>
  <c r="Y40" i="3"/>
  <c r="X40" i="3"/>
  <c r="W40" i="3"/>
  <c r="V40" i="3"/>
  <c r="L40" i="3"/>
  <c r="M40" i="3"/>
  <c r="K38" i="3"/>
  <c r="J38" i="3"/>
  <c r="I38" i="3"/>
  <c r="H38" i="3"/>
  <c r="G38" i="3"/>
  <c r="C38" i="3"/>
  <c r="Y30" i="3"/>
  <c r="X30" i="3"/>
  <c r="W30" i="3"/>
  <c r="V30" i="3"/>
  <c r="L30" i="3"/>
  <c r="K28" i="3"/>
  <c r="J28" i="3"/>
  <c r="I28" i="3"/>
  <c r="H28" i="3"/>
  <c r="G28" i="3"/>
  <c r="C28" i="3"/>
  <c r="Y20" i="3"/>
  <c r="X20" i="3"/>
  <c r="W20" i="3"/>
  <c r="V20" i="3"/>
  <c r="L20" i="3"/>
  <c r="K18" i="3"/>
  <c r="J18" i="3"/>
  <c r="I18" i="3"/>
  <c r="H18" i="3"/>
  <c r="G18" i="3"/>
  <c r="C18" i="3"/>
  <c r="Y10" i="3"/>
  <c r="X10" i="3"/>
  <c r="C10" i="5" l="1"/>
  <c r="I10" i="5" s="1"/>
  <c r="B8" i="5"/>
  <c r="C9" i="5"/>
  <c r="I9" i="5" s="1"/>
  <c r="B7" i="5"/>
  <c r="C8" i="5"/>
  <c r="I8" i="5" s="1"/>
  <c r="B10" i="5"/>
  <c r="B6" i="5"/>
  <c r="C7" i="5"/>
  <c r="I7" i="5" s="1"/>
  <c r="B9" i="5"/>
  <c r="C6" i="5"/>
  <c r="I6" i="5" s="1"/>
  <c r="C46" i="5"/>
  <c r="I46" i="5" s="1"/>
  <c r="C44" i="5"/>
  <c r="I44" i="5" s="1"/>
  <c r="B46" i="5"/>
  <c r="B44" i="5"/>
  <c r="C45" i="5"/>
  <c r="I45" i="5" s="1"/>
  <c r="C43" i="5"/>
  <c r="I43" i="5" s="1"/>
  <c r="B45" i="5"/>
  <c r="B43" i="5"/>
  <c r="C125" i="5"/>
  <c r="I125" i="5" s="1"/>
  <c r="C123" i="5"/>
  <c r="I123" i="5" s="1"/>
  <c r="C124" i="5"/>
  <c r="I124" i="5" s="1"/>
  <c r="C122" i="5"/>
  <c r="I122" i="5" s="1"/>
  <c r="B124" i="5"/>
  <c r="B122" i="5"/>
  <c r="B125" i="5"/>
  <c r="B123" i="5"/>
  <c r="C83" i="5"/>
  <c r="I83" i="5" s="1"/>
  <c r="C81" i="5"/>
  <c r="I81" i="5" s="1"/>
  <c r="B81" i="5"/>
  <c r="C84" i="5"/>
  <c r="I84" i="5" s="1"/>
  <c r="C82" i="5"/>
  <c r="I82" i="5" s="1"/>
  <c r="C80" i="5"/>
  <c r="I80" i="5" s="1"/>
  <c r="B84" i="5"/>
  <c r="B82" i="5"/>
  <c r="B80" i="5"/>
  <c r="B83" i="5"/>
  <c r="U20" i="3"/>
  <c r="R20" i="3"/>
  <c r="T30" i="3"/>
  <c r="M30" i="3"/>
  <c r="M20" i="3"/>
  <c r="S20" i="3"/>
  <c r="T20" i="3"/>
  <c r="S30" i="3"/>
  <c r="U30" i="3"/>
  <c r="R30" i="3"/>
  <c r="J8" i="3" l="1"/>
  <c r="K8" i="3"/>
  <c r="I8" i="3"/>
  <c r="H8" i="3"/>
  <c r="G8" i="3"/>
  <c r="C8" i="3"/>
  <c r="W10" i="3"/>
  <c r="V10" i="3"/>
  <c r="U10" i="3"/>
  <c r="T10" i="3"/>
  <c r="S10" i="3"/>
  <c r="R10" i="3"/>
  <c r="M10" i="3"/>
  <c r="L10" i="3"/>
  <c r="M60" i="2" l="1"/>
  <c r="L60" i="2"/>
  <c r="H58" i="2"/>
  <c r="G58" i="2"/>
  <c r="F58" i="2"/>
  <c r="E58" i="2"/>
  <c r="C58" i="2"/>
  <c r="L50" i="2"/>
  <c r="H48" i="2"/>
  <c r="G48" i="2"/>
  <c r="F48" i="2"/>
  <c r="E48" i="2"/>
  <c r="C48" i="2"/>
  <c r="L40" i="2"/>
  <c r="L30" i="2"/>
  <c r="K10" i="2"/>
  <c r="L20" i="2"/>
  <c r="H38" i="2"/>
  <c r="G38" i="2"/>
  <c r="F38" i="2"/>
  <c r="E38" i="2"/>
  <c r="C38" i="2"/>
  <c r="H28" i="2"/>
  <c r="G28" i="2"/>
  <c r="F28" i="2"/>
  <c r="E28" i="2"/>
  <c r="C28" i="2"/>
  <c r="H18" i="2"/>
  <c r="G18" i="2"/>
  <c r="F18" i="2"/>
  <c r="E18" i="2"/>
  <c r="C18" i="2"/>
  <c r="H8" i="2"/>
  <c r="G8" i="2"/>
  <c r="F8" i="2"/>
  <c r="E8" i="2"/>
  <c r="C8" i="2"/>
  <c r="L8" i="2"/>
  <c r="M10" i="2" l="1"/>
  <c r="N48" i="3"/>
  <c r="N50" i="3" s="1"/>
  <c r="N38" i="3"/>
  <c r="N40" i="3" s="1"/>
  <c r="N28" i="3"/>
  <c r="N30" i="3" s="1"/>
  <c r="N18" i="3"/>
  <c r="N20" i="3" s="1"/>
  <c r="N8" i="3"/>
  <c r="N10" i="3" s="1"/>
  <c r="N58" i="2"/>
  <c r="N60" i="2" s="1"/>
  <c r="M20" i="2"/>
  <c r="M30" i="2"/>
  <c r="M40" i="2"/>
  <c r="K60" i="2"/>
  <c r="M50" i="2"/>
  <c r="L10" i="2"/>
  <c r="O8" i="3"/>
  <c r="O10" i="3" s="1"/>
  <c r="N10" i="2" l="1"/>
  <c r="K18" i="2"/>
  <c r="O18" i="3" l="1"/>
  <c r="O20" i="3" s="1"/>
  <c r="K20" i="2"/>
  <c r="K28" i="2" l="1"/>
  <c r="N20" i="2"/>
  <c r="N28" i="2" l="1"/>
  <c r="O28" i="3" s="1"/>
  <c r="O30" i="3" s="1"/>
  <c r="K30" i="2"/>
  <c r="K38" i="2" l="1"/>
  <c r="N30" i="2"/>
  <c r="K40" i="2" l="1"/>
  <c r="N38" i="2"/>
  <c r="K48" i="2" l="1"/>
  <c r="N48" i="2" s="1"/>
  <c r="O48" i="3" s="1"/>
  <c r="O50" i="3" s="1"/>
  <c r="O38" i="3"/>
  <c r="O40" i="3" s="1"/>
  <c r="N40" i="2"/>
  <c r="N50" i="2" l="1"/>
  <c r="K50" i="2"/>
</calcChain>
</file>

<file path=xl/comments1.xml><?xml version="1.0" encoding="utf-8"?>
<comments xmlns="http://schemas.openxmlformats.org/spreadsheetml/2006/main">
  <authors>
    <author>Dinh Thi Phi Oanh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</commentList>
</comments>
</file>

<file path=xl/comments2.xml><?xml version="1.0" encoding="utf-8"?>
<comments xmlns="http://schemas.openxmlformats.org/spreadsheetml/2006/main">
  <authors>
    <author>Dinh Thi Phi Oanh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Is it CIF?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ID Card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Should be rounding
</t>
        </r>
      </text>
    </comment>
  </commentList>
</comments>
</file>

<file path=xl/comments3.xml><?xml version="1.0" encoding="utf-8"?>
<comments xmlns="http://schemas.openxmlformats.org/spreadsheetml/2006/main">
  <authors>
    <author>Dinh Thi Phi Oanh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Is it CIF?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ID Card
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Should be rounding
</t>
        </r>
      </text>
    </comment>
  </commentList>
</comments>
</file>

<file path=xl/sharedStrings.xml><?xml version="1.0" encoding="utf-8"?>
<sst xmlns="http://schemas.openxmlformats.org/spreadsheetml/2006/main" count="1747" uniqueCount="280">
  <si>
    <t>Subvention amortization</t>
  </si>
  <si>
    <t>Loan amount</t>
  </si>
  <si>
    <t>1st EMI date</t>
  </si>
  <si>
    <t>Disbursed date</t>
  </si>
  <si>
    <t>Loan No</t>
  </si>
  <si>
    <t>A</t>
  </si>
  <si>
    <t>PERIOD</t>
  </si>
  <si>
    <t>NO.</t>
  </si>
  <si>
    <t>LOAN ID</t>
  </si>
  <si>
    <t>PRODUCT</t>
  </si>
  <si>
    <t>FINAL BUCKET</t>
  </si>
  <si>
    <t>TENOR</t>
  </si>
  <si>
    <t>DISBURSAL DATE</t>
  </si>
  <si>
    <t>MATURITY DATE</t>
  </si>
  <si>
    <t>1ST EMI DATE</t>
  </si>
  <si>
    <t>ACTUAL CLOSED DATE</t>
  </si>
  <si>
    <t>STATUS</t>
  </si>
  <si>
    <t>OPENING BALANCE</t>
  </si>
  <si>
    <t>ADDITIONS</t>
  </si>
  <si>
    <t>AMORTIZATION</t>
  </si>
  <si>
    <t>CLOSING BALANCE</t>
  </si>
  <si>
    <t>UP TO 1 MONTH</t>
  </si>
  <si>
    <t>FROM 1-3 MONTHS</t>
  </si>
  <si>
    <t>FROM 3-6 MONTHS</t>
  </si>
  <si>
    <t>FROM 6-12 MONTHS</t>
  </si>
  <si>
    <t>UP TO 2 YEARS</t>
  </si>
  <si>
    <t>UP TO 3 YEARS</t>
  </si>
  <si>
    <t>UP TO 4 YEARS</t>
  </si>
  <si>
    <t>UP TO 5 YEARS</t>
  </si>
  <si>
    <t>CD</t>
  </si>
  <si>
    <t>REGULAR</t>
  </si>
  <si>
    <t>ACTIVE</t>
  </si>
  <si>
    <t>TW</t>
  </si>
  <si>
    <t>TB6</t>
  </si>
  <si>
    <t>TOTAL</t>
  </si>
  <si>
    <t>Product</t>
  </si>
  <si>
    <t>SUBVENTION ALLOCATION</t>
  </si>
  <si>
    <t>SCENARIO</t>
  </si>
  <si>
    <t>Loan A và Loan B giải ngân trong tháng 10/2020, kì allocation đầu tiên của loan A là vào tháng 10.2020, còn đối với loan B là tháng 11.2020 (căn cứ vào 1st EMI date của từng khoản vay)</t>
  </si>
  <si>
    <t>Tenor</t>
  </si>
  <si>
    <t>Maturity date</t>
  </si>
  <si>
    <t>TB0</t>
  </si>
  <si>
    <t>Subvention của khoản vay A và B thực hiện allocate hàng tháng</t>
  </si>
  <si>
    <t>Subvention của khoản vay A thực hiện allocate hàng tháng</t>
  </si>
  <si>
    <t>Subvention của khoản vay A thực hiện allocate hàng tháng, khoản vay B thực hiện thanh toán trước hạn</t>
  </si>
  <si>
    <t>TB1</t>
  </si>
  <si>
    <t>TB2</t>
  </si>
  <si>
    <t>Khoản vay A thực hiện allocate subvention theo từng tháng từ TB3 đến TB6. Trong tháng 5/2021, khoản vay bị write off, toàn bộ số dư subvention được allocate 1 lần trong tháng</t>
  </si>
  <si>
    <t>SUBVENTION BALANCE</t>
  </si>
  <si>
    <t>&lt;số subvention phát sinh trong kỳ: số tiền không bao gồm VAT&gt;</t>
  </si>
  <si>
    <t>&lt;số subvention đã allocate đến kỳ báo cáo&gt;</t>
  </si>
  <si>
    <t>&lt;Số dư subvention tại thời điểm query báo cáo&gt;</t>
  </si>
  <si>
    <t>&lt;SBV branch code&gt;</t>
  </si>
  <si>
    <t>&lt;SBV branch name&gt;</t>
  </si>
  <si>
    <t>&lt;Số tiền tháng tiếp theo&gt;</t>
  </si>
  <si>
    <t>&lt; Số tiền tháng thứ 2 và tháng thứ 3&gt;</t>
  </si>
  <si>
    <t>&lt; Số tiền tháng thứ 4 và tháng thứ 6&gt;</t>
  </si>
  <si>
    <t>&lt; Số tiền tháng thứ 7 và tháng thứ 12&gt;</t>
  </si>
  <si>
    <t>&lt; Số tiền tháng thứ 13 và tháng thứ 24&gt;</t>
  </si>
  <si>
    <t>&lt; Số tiền tháng thứ 25 và tháng thứ 36&gt;</t>
  </si>
  <si>
    <t>&lt; Số tiền tháng thứ 37 và tháng thứ 48&gt;</t>
  </si>
  <si>
    <t>&lt; Số tiền tháng thứ 49 và tháng thứ 60&gt;</t>
  </si>
  <si>
    <t>CUSTOMERNAME</t>
  </si>
  <si>
    <t>PAN_NO</t>
  </si>
  <si>
    <t>AUTHORIZED DATE</t>
  </si>
  <si>
    <t>SUBVENTION AMOUNT</t>
  </si>
  <si>
    <t xml:space="preserve">ACCUMULATED AMORTIZATION </t>
  </si>
  <si>
    <t>BRANCH CODE</t>
  </si>
  <si>
    <t>BRANCH NAME</t>
  </si>
  <si>
    <t>NGUYEN VAN A</t>
  </si>
  <si>
    <t>0123</t>
  </si>
  <si>
    <t>&lt;chỉ bao gồm các khoản vay còn Active và bucket trước TB6&gt;</t>
  </si>
  <si>
    <t>Authorized date</t>
  </si>
  <si>
    <t>HCMC01</t>
  </si>
  <si>
    <t>SBV_BRANCH QUAN 1_STC</t>
  </si>
  <si>
    <t>Dựa vào subvention schedule để thực hiện aging balance, đảm bảo số khi thực hiện aging sẽ khớp với số SUBVENTION BALANCE</t>
  </si>
  <si>
    <t>Scenarios</t>
  </si>
  <si>
    <t>Debit/Credit</t>
  </si>
  <si>
    <t>Account code</t>
  </si>
  <si>
    <t>Account name</t>
  </si>
  <si>
    <t>Loan disbursal</t>
  </si>
  <si>
    <t>Debit</t>
  </si>
  <si>
    <t>Credit</t>
  </si>
  <si>
    <t xml:space="preserve">Bank GL      </t>
  </si>
  <si>
    <t>VAT PAYABLE</t>
  </si>
  <si>
    <t>INTEREST INCOME_SUBVENTION (VAS)</t>
  </si>
  <si>
    <t>INTEREST INCOME_SUBVENTION AMORTIZED</t>
  </si>
  <si>
    <t>UNEARNED INTEREST_SUBVENTION</t>
  </si>
  <si>
    <t>Monthly, 1st Subvention amortization</t>
  </si>
  <si>
    <t>Monthly, 2nd Subvention amortization</t>
  </si>
  <si>
    <t>UNEARNED INTEREST_SUBVENTION AMORTIZED</t>
  </si>
  <si>
    <t>Loan A</t>
  </si>
  <si>
    <t>at WO/ET date</t>
  </si>
  <si>
    <t>ACCNT_CODE</t>
  </si>
  <si>
    <t>TRANS_DATE</t>
  </si>
  <si>
    <t>CURR_CODE</t>
  </si>
  <si>
    <t>OTHER_AMT</t>
  </si>
  <si>
    <t>AMOUNT</t>
  </si>
  <si>
    <t>D_C</t>
  </si>
  <si>
    <t>JRNAL_TYPE</t>
  </si>
  <si>
    <t>TREFERENCE</t>
  </si>
  <si>
    <t>DESCRIPTN</t>
  </si>
  <si>
    <t>DUE_DATE</t>
  </si>
  <si>
    <t>ANAL01</t>
  </si>
  <si>
    <t>ANAL02</t>
  </si>
  <si>
    <t>ANAL03</t>
  </si>
  <si>
    <t>ANAL04</t>
  </si>
  <si>
    <t>ANAL05</t>
  </si>
  <si>
    <t>ANAL06</t>
  </si>
  <si>
    <t>ANAL07</t>
  </si>
  <si>
    <t>ANAL08</t>
  </si>
  <si>
    <t>ANAL09</t>
  </si>
  <si>
    <t>ANAL10</t>
  </si>
  <si>
    <t>VND</t>
  </si>
  <si>
    <t>D</t>
  </si>
  <si>
    <t>LMSS</t>
  </si>
  <si>
    <t>&lt;&lt;Account code&gt;&gt;</t>
  </si>
  <si>
    <t>&lt;&lt;mmyyyy&gt;&gt;</t>
  </si>
  <si>
    <t>&lt;&lt;ddmmyyyy&gt;&gt;</t>
  </si>
  <si>
    <t>&lt;&lt;Debit/Credit&gt;&gt;</t>
  </si>
  <si>
    <t>&lt;&lt;LMSSddmmyyyy&gt;&gt;</t>
  </si>
  <si>
    <t>C</t>
  </si>
  <si>
    <t>Note: generate GL at month end date</t>
  </si>
  <si>
    <t>RECEIVE SUBVENTION</t>
  </si>
  <si>
    <t>SUBVENTION AMORTIZATION</t>
  </si>
  <si>
    <t>Dedit</t>
  </si>
  <si>
    <t>DEALER REPORT</t>
  </si>
  <si>
    <t>DEALER ID:</t>
  </si>
  <si>
    <t>&lt;&lt;ALL&gt;&gt;</t>
  </si>
  <si>
    <t>DEALER NAME:</t>
  </si>
  <si>
    <t>FROM :</t>
  </si>
  <si>
    <t>TO :</t>
  </si>
  <si>
    <t>Thuế suất có thể thay đổi theo quy định từng thời điểm. Hiện tại là 10%</t>
  </si>
  <si>
    <t>Nhớ rounding đến hàng đơn vị</t>
  </si>
  <si>
    <t>CUSTOMER ID</t>
  </si>
  <si>
    <t>CUSTOMER NAME</t>
  </si>
  <si>
    <t>PAN NUMBER</t>
  </si>
  <si>
    <t>DISB_DATE</t>
  </si>
  <si>
    <t>FIRST EMI DATE</t>
  </si>
  <si>
    <t>CONTRACT NO</t>
  </si>
  <si>
    <t>PROMOTION CODE</t>
  </si>
  <si>
    <t>DEALER ID</t>
  </si>
  <si>
    <t>DEALER NAME</t>
  </si>
  <si>
    <t>DEALER ADDRESS</t>
  </si>
  <si>
    <t>DEALER TAX CODE</t>
  </si>
  <si>
    <t>NET DISBUSED AMT</t>
  </si>
  <si>
    <t>LOAN AMOUNT</t>
  </si>
  <si>
    <t>CREDIT SHIELD</t>
  </si>
  <si>
    <t>TOTAL SUBVENTION</t>
  </si>
  <si>
    <t>VAT AMOUNT</t>
  </si>
  <si>
    <t>UNEARNED_SUBVENTION</t>
  </si>
  <si>
    <t>100195665</t>
  </si>
  <si>
    <t>0001232908</t>
  </si>
  <si>
    <t>V001</t>
  </si>
  <si>
    <t>NGUYEN KIM</t>
  </si>
  <si>
    <t>TRAN HUNG DAO</t>
  </si>
  <si>
    <t>0304946255</t>
  </si>
  <si>
    <t>&lt;&lt;Loan amount - Phí bảo hiểm - Total subvention&gt;&gt;</t>
  </si>
  <si>
    <t>&lt;&lt;Tổng số tiền KH vay&gt;&gt;</t>
  </si>
  <si>
    <t>&lt;&lt;Phí bảo hiểm(nếu có)&gt;&gt;</t>
  </si>
  <si>
    <t>&lt;&lt;Total subvention&gt;&gt;</t>
  </si>
  <si>
    <t>&lt;&lt;VAT phải trả = Total subvention/1.1/10)&gt;&gt;</t>
  </si>
  <si>
    <t>&lt;&lt;Số tiền sẽ phân bổ hàng tháng=Total subvention - VAT amount&gt;&gt;</t>
  </si>
  <si>
    <t>SUBVENTION REPORT</t>
  </si>
  <si>
    <t>(Ngày phát sinh giao dịch_GL transaction/voucher date)</t>
  </si>
  <si>
    <t>TYPE OF REPORT</t>
  </si>
  <si>
    <t>NO VAT</t>
  </si>
  <si>
    <t>Tùy chọn type of report để xuất 2 report riêng biệt: VAT và NO VAT</t>
  </si>
  <si>
    <t>VAT</t>
  </si>
  <si>
    <t>Dealer code</t>
  </si>
  <si>
    <t>Product code</t>
  </si>
  <si>
    <t>Cost center</t>
  </si>
  <si>
    <t>Date</t>
  </si>
  <si>
    <t>Amount Financed</t>
  </si>
  <si>
    <t>Tenure</t>
  </si>
  <si>
    <t>Stated rate per month</t>
  </si>
  <si>
    <t>Stated rate per year:</t>
  </si>
  <si>
    <t>Effective rate/month:</t>
  </si>
  <si>
    <t>Effective rate per year:</t>
  </si>
  <si>
    <t>Installment</t>
  </si>
  <si>
    <t>NPV:</t>
  </si>
  <si>
    <t>Current</t>
  </si>
  <si>
    <t>New</t>
  </si>
  <si>
    <t>Installment No</t>
  </si>
  <si>
    <t>Due Date</t>
  </si>
  <si>
    <t>Opening Principal</t>
  </si>
  <si>
    <t>Installment Amount</t>
  </si>
  <si>
    <t>Principal</t>
  </si>
  <si>
    <t>Interest</t>
  </si>
  <si>
    <t>ROE Balance</t>
  </si>
  <si>
    <t>COA %</t>
  </si>
  <si>
    <t>Cashflow</t>
  </si>
  <si>
    <t>Opening carrying amount</t>
  </si>
  <si>
    <t xml:space="preserve">Opening Principal </t>
  </si>
  <si>
    <t>Stated interest</t>
  </si>
  <si>
    <t>Effective interest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</si>
  <si>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</si>
  <si>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</si>
  <si>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</si>
  <si>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</si>
  <si>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</si>
  <si>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</si>
  <si>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</si>
  <si>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</si>
  <si>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</si>
  <si>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</si>
  <si>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</si>
  <si>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</si>
  <si>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</si>
  <si>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</si>
  <si>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</si>
  <si>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</si>
  <si>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</si>
  <si>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Subvention</t>
  </si>
  <si>
    <t>Interest rate</t>
  </si>
  <si>
    <t>Subvention amount</t>
  </si>
  <si>
    <t xml:space="preserve">Monthly Subvention amortization </t>
  </si>
  <si>
    <t>Refer to sheet "Formular_Sub_amortization"</t>
  </si>
  <si>
    <t>012021</t>
  </si>
  <si>
    <t>Subvention amount (not included VAT)</t>
  </si>
  <si>
    <t>Subvention amortisation</t>
  </si>
  <si>
    <t>Subvention  Balance</t>
  </si>
  <si>
    <r>
      <t>Subvention_</t>
    </r>
    <r>
      <rPr>
        <b/>
        <sz val="11"/>
        <color rgb="FFFF0000"/>
        <rFont val="Calibri"/>
        <family val="2"/>
        <scheme val="minor"/>
      </rPr>
      <t>Post</t>
    </r>
    <r>
      <rPr>
        <b/>
        <sz val="11"/>
        <color theme="1"/>
        <rFont val="Calibri"/>
        <family val="2"/>
        <scheme val="minor"/>
      </rPr>
      <t xml:space="preserve"> disbursement</t>
    </r>
  </si>
  <si>
    <r>
      <t>Subvention_</t>
    </r>
    <r>
      <rPr>
        <b/>
        <sz val="11"/>
        <color rgb="FFFF0000"/>
        <rFont val="Calibri"/>
        <family val="2"/>
        <scheme val="minor"/>
      </rPr>
      <t>Up-front</t>
    </r>
    <r>
      <rPr>
        <b/>
        <sz val="11"/>
        <color theme="1"/>
        <rFont val="Calibri"/>
        <family val="2"/>
        <scheme val="minor"/>
      </rPr>
      <t xml:space="preserve"> disbursement</t>
    </r>
  </si>
  <si>
    <t>RECEIVABLES FROM SF PARTNERS</t>
  </si>
  <si>
    <t>Receive Subvention amount</t>
  </si>
  <si>
    <t>at the date when OP upload Collected subvention amount</t>
  </si>
  <si>
    <t>Bank name</t>
  </si>
  <si>
    <t>Bank GL</t>
  </si>
  <si>
    <r>
      <t>Subvention_</t>
    </r>
    <r>
      <rPr>
        <b/>
        <sz val="11"/>
        <color rgb="FFFFC000"/>
        <rFont val="Calibri"/>
        <family val="2"/>
        <scheme val="minor"/>
      </rPr>
      <t>Up-front</t>
    </r>
    <r>
      <rPr>
        <b/>
        <sz val="11"/>
        <color theme="0"/>
        <rFont val="Calibri"/>
        <family val="2"/>
        <scheme val="minor"/>
      </rPr>
      <t xml:space="preserve"> disbursement_10%VAT</t>
    </r>
  </si>
  <si>
    <r>
      <t>Subvention_</t>
    </r>
    <r>
      <rPr>
        <b/>
        <sz val="11"/>
        <color rgb="FFFFC000"/>
        <rFont val="Calibri"/>
        <family val="2"/>
        <scheme val="minor"/>
      </rPr>
      <t>Up-front</t>
    </r>
    <r>
      <rPr>
        <b/>
        <sz val="11"/>
        <color theme="0"/>
        <rFont val="Calibri"/>
        <family val="2"/>
        <scheme val="minor"/>
      </rPr>
      <t xml:space="preserve"> disbursement_VAT exemption</t>
    </r>
  </si>
  <si>
    <r>
      <t>Subvention_</t>
    </r>
    <r>
      <rPr>
        <b/>
        <sz val="11"/>
        <color theme="1"/>
        <rFont val="Calibri"/>
        <family val="2"/>
        <scheme val="minor"/>
      </rPr>
      <t>Post</t>
    </r>
    <r>
      <rPr>
        <b/>
        <sz val="11"/>
        <color theme="0"/>
        <rFont val="Calibri"/>
        <family val="2"/>
        <scheme val="minor"/>
      </rPr>
      <t xml:space="preserve"> disbursement_10% VAT</t>
    </r>
  </si>
  <si>
    <r>
      <t>Subvention_</t>
    </r>
    <r>
      <rPr>
        <b/>
        <sz val="11"/>
        <rFont val="Calibri"/>
        <family val="2"/>
        <scheme val="minor"/>
      </rPr>
      <t>Post</t>
    </r>
    <r>
      <rPr>
        <b/>
        <sz val="11"/>
        <color theme="0"/>
        <rFont val="Calibri"/>
        <family val="2"/>
        <scheme val="minor"/>
      </rPr>
      <t xml:space="preserve"> disbursement_VAT exemption</t>
    </r>
  </si>
  <si>
    <t>Short term</t>
  </si>
  <si>
    <t>Long term</t>
  </si>
  <si>
    <t>No</t>
  </si>
  <si>
    <t>Due date of Subvention contract</t>
  </si>
  <si>
    <t>Field needs on System to capture information</t>
  </si>
  <si>
    <t>Timing of subvention campaign</t>
  </si>
  <si>
    <t>Purpose</t>
  </si>
  <si>
    <t>Calculate DPD &gt;&gt; make provision</t>
  </si>
  <si>
    <t>Calculate Subvention amortisation</t>
  </si>
  <si>
    <t>Define Subvention is Post/up-front disbursement</t>
  </si>
  <si>
    <t>Define GL entries</t>
  </si>
  <si>
    <t>Define Subvention is VAT x%/Exemption</t>
  </si>
  <si>
    <t>Capture on ANAL04 of GL entries</t>
  </si>
  <si>
    <t>Notes</t>
  </si>
  <si>
    <t>Branch code in which Customer signs Loan contract</t>
  </si>
  <si>
    <t>Detail at Loan level</t>
  </si>
  <si>
    <t>Yes</t>
  </si>
  <si>
    <t>New Bank account_Disbursement</t>
  </si>
  <si>
    <t>New Bank account_Collection</t>
  </si>
  <si>
    <t>Notes: Groupping transactions as same current PL product before transfering to Sun sys</t>
  </si>
  <si>
    <t>Method of Subvention amortisation</t>
  </si>
  <si>
    <t>As same method of COA amortization</t>
  </si>
  <si>
    <t xml:space="preserve">Detail at Loan level. Please refer Sheet"Formular_Sub_amortization" </t>
  </si>
  <si>
    <r>
      <t xml:space="preserve">1.Detail at Loan level.
2.Should define on Dealer Mater list to auto pick up into this field. </t>
    </r>
    <r>
      <rPr>
        <i/>
        <sz val="11"/>
        <color theme="1"/>
        <rFont val="Calibri"/>
        <family val="2"/>
        <scheme val="minor"/>
      </rPr>
      <t>Rules for setting:</t>
    </r>
    <r>
      <rPr>
        <sz val="11"/>
        <color theme="1"/>
        <rFont val="Calibri"/>
        <family val="2"/>
        <scheme val="minor"/>
      </rPr>
      <t xml:space="preserve">
 • Assigned on the same province with location of Dealer store. Priority to Branch first, then SIP.
• If SVFC has not had Branch/SIP at location of Dealer store, Branch/SIP will be assigned on location of CIU in which verify Loan contract.
</t>
    </r>
  </si>
  <si>
    <t xml:space="preserve">Capture on ANAL03 of GL entries </t>
  </si>
  <si>
    <t>Transfer daily transactions to Sun sys/ SBV Unit</t>
  </si>
  <si>
    <t>Automatically</t>
  </si>
  <si>
    <t>If IR=0%, a normal interest rate should be applied</t>
  </si>
  <si>
    <t>Subvention %</t>
  </si>
  <si>
    <t xml:space="preserve">Example: </t>
  </si>
  <si>
    <t xml:space="preserve">Subvention amortization is started on month end of 1st EMI </t>
  </si>
  <si>
    <t>970-000</t>
  </si>
  <si>
    <t>Description</t>
  </si>
  <si>
    <t>SFNFIX</t>
  </si>
  <si>
    <t>A.Bảo:Pls Pick up data from "Branch office name" field on LOS</t>
  </si>
  <si>
    <t>Branch in which customer signs contract</t>
  </si>
  <si>
    <r>
      <t>Note: generate GL at month end date.</t>
    </r>
    <r>
      <rPr>
        <sz val="11"/>
        <color rgb="FFFF0000"/>
        <rFont val="Calibri"/>
        <family val="2"/>
        <scheme val="minor"/>
      </rPr>
      <t xml:space="preserve"> Starting amortisation at the month of first EMI</t>
    </r>
  </si>
  <si>
    <t>Write off/early termination loan</t>
  </si>
  <si>
    <t>Closed at Maturity date</t>
  </si>
  <si>
    <r>
      <t xml:space="preserve">GL entries_Subvention with </t>
    </r>
    <r>
      <rPr>
        <b/>
        <sz val="11"/>
        <color rgb="FFFF0000"/>
        <rFont val="Calibri"/>
        <family val="2"/>
        <scheme val="minor"/>
      </rPr>
      <t>VAT 10%</t>
    </r>
  </si>
  <si>
    <r>
      <t xml:space="preserve">GL entries_Subvention with </t>
    </r>
    <r>
      <rPr>
        <b/>
        <sz val="11"/>
        <color rgb="FFFF0000"/>
        <rFont val="Calibri"/>
        <family val="2"/>
        <scheme val="minor"/>
      </rPr>
      <t>VAT exemption</t>
    </r>
  </si>
  <si>
    <r>
      <t>GL entries_Subvention with</t>
    </r>
    <r>
      <rPr>
        <b/>
        <sz val="11"/>
        <color rgb="FFFF0000"/>
        <rFont val="Calibri"/>
        <family val="2"/>
        <scheme val="minor"/>
      </rPr>
      <t xml:space="preserve"> VAT 10%</t>
    </r>
  </si>
  <si>
    <r>
      <rPr>
        <b/>
        <sz val="11"/>
        <color rgb="FFFF0000"/>
        <rFont val="Calibri"/>
        <family val="2"/>
        <scheme val="minor"/>
      </rPr>
      <t>Not Closed</t>
    </r>
    <r>
      <rPr>
        <b/>
        <sz val="11"/>
        <color theme="1"/>
        <rFont val="Calibri"/>
        <family val="2"/>
        <scheme val="minor"/>
      </rPr>
      <t xml:space="preserve"> yet at Maturity date</t>
    </r>
  </si>
  <si>
    <t>A.Bảo:Pls Pick up data from Dealer code</t>
  </si>
  <si>
    <t>Blank</t>
  </si>
  <si>
    <t>Period</t>
  </si>
  <si>
    <t>Subvention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</si>
</sst>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indexed="64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2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5" fontId="0" fillId="0" borderId="0" xfId="0" applyNumberFormat="1"/>
    <xf numFmtId="0" fontId="2" fillId="0" borderId="0" xfId="0" applyFont="1"/>
    <xf numFmtId="164" fontId="2" fillId="0" borderId="0" xfId="1" applyNumberFormat="1" applyFont="1"/>
    <xf numFmtId="17" fontId="2" fillId="2" borderId="0" xfId="0" applyNumberFormat="1" applyFont="1" applyFill="1"/>
    <xf numFmtId="0" fontId="0" fillId="0" borderId="0" xfId="0" applyFont="1"/>
    <xf numFmtId="0" fontId="2" fillId="3" borderId="0" xfId="0" applyFont="1" applyFill="1"/>
    <xf numFmtId="164" fontId="2" fillId="3" borderId="0" xfId="1" applyNumberFormat="1" applyFont="1" applyFill="1"/>
    <xf numFmtId="0" fontId="2" fillId="2" borderId="0" xfId="0" applyFont="1" applyFill="1"/>
    <xf numFmtId="17" fontId="2" fillId="0" borderId="0" xfId="0" applyNumberFormat="1" applyFont="1" applyFill="1"/>
    <xf numFmtId="0" fontId="2" fillId="3" borderId="0" xfId="0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/>
    <xf numFmtId="0" fontId="0" fillId="0" borderId="0" xfId="0" applyFill="1"/>
    <xf numFmtId="164" fontId="2" fillId="0" borderId="0" xfId="1" applyNumberFormat="1" applyFont="1" applyAlignment="1">
      <alignment wrapText="1"/>
    </xf>
    <xf numFmtId="0" fontId="0" fillId="0" borderId="0" xfId="0" quotePrefix="1"/>
    <xf numFmtId="15" fontId="0" fillId="0" borderId="0" xfId="0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14" fontId="9" fillId="0" borderId="0" xfId="0" applyNumberFormat="1" applyFont="1"/>
    <xf numFmtId="17" fontId="9" fillId="0" borderId="0" xfId="0" applyNumberFormat="1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5" fontId="0" fillId="0" borderId="0" xfId="0" applyNumberFormat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1" quotePrefix="1" applyNumberFormat="1" applyFont="1" applyAlignment="1">
      <alignment wrapText="1"/>
    </xf>
    <xf numFmtId="164" fontId="0" fillId="0" borderId="0" xfId="1" applyNumberFormat="1" applyFont="1" applyAlignment="1">
      <alignment horizontal="center" vertical="center" wrapText="1"/>
    </xf>
    <xf numFmtId="43" fontId="0" fillId="0" borderId="0" xfId="0" applyNumberFormat="1"/>
    <xf numFmtId="0" fontId="0" fillId="3" borderId="0" xfId="0" applyFill="1"/>
    <xf numFmtId="164" fontId="2" fillId="3" borderId="0" xfId="0" applyNumberFormat="1" applyFont="1" applyFill="1"/>
    <xf numFmtId="17" fontId="2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1" fillId="0" borderId="0" xfId="3" applyAlignment="1">
      <alignment wrapText="1"/>
    </xf>
    <xf numFmtId="14" fontId="0" fillId="0" borderId="0" xfId="4" applyNumberFormat="1" applyFont="1" applyAlignment="1">
      <alignment wrapText="1"/>
    </xf>
    <xf numFmtId="0" fontId="1" fillId="0" borderId="0" xfId="3" applyFill="1" applyAlignment="1">
      <alignment wrapText="1"/>
    </xf>
    <xf numFmtId="164" fontId="0" fillId="0" borderId="0" xfId="4" applyNumberFormat="1" applyFont="1" applyAlignment="1">
      <alignment wrapText="1"/>
    </xf>
    <xf numFmtId="0" fontId="1" fillId="0" borderId="0" xfId="3" applyAlignment="1">
      <alignment horizontal="right" wrapText="1"/>
    </xf>
    <xf numFmtId="164" fontId="0" fillId="4" borderId="0" xfId="4" applyNumberFormat="1" applyFont="1" applyFill="1" applyAlignment="1">
      <alignment wrapText="1"/>
    </xf>
    <xf numFmtId="43" fontId="1" fillId="0" borderId="0" xfId="3" applyNumberFormat="1" applyAlignment="1">
      <alignment wrapText="1"/>
    </xf>
    <xf numFmtId="10" fontId="0" fillId="0" borderId="0" xfId="5" applyNumberFormat="1" applyFont="1" applyAlignment="1">
      <alignment wrapText="1"/>
    </xf>
    <xf numFmtId="165" fontId="1" fillId="0" borderId="0" xfId="3" applyNumberFormat="1" applyAlignment="1">
      <alignment wrapText="1"/>
    </xf>
    <xf numFmtId="165" fontId="0" fillId="0" borderId="0" xfId="5" applyNumberFormat="1" applyFont="1" applyAlignment="1">
      <alignment wrapText="1"/>
    </xf>
    <xf numFmtId="0" fontId="1" fillId="0" borderId="0" xfId="3"/>
    <xf numFmtId="164" fontId="0" fillId="0" borderId="0" xfId="4" applyNumberFormat="1" applyFont="1"/>
    <xf numFmtId="0" fontId="12" fillId="0" borderId="0" xfId="3" applyFont="1"/>
    <xf numFmtId="0" fontId="1" fillId="0" borderId="0" xfId="3" applyFill="1"/>
    <xf numFmtId="0" fontId="2" fillId="0" borderId="0" xfId="3" applyFont="1" applyFill="1" applyAlignment="1">
      <alignment horizontal="center"/>
    </xf>
    <xf numFmtId="0" fontId="10" fillId="7" borderId="0" xfId="3" applyFont="1" applyFill="1" applyAlignment="1">
      <alignment horizontal="center" vertical="center" wrapText="1"/>
    </xf>
    <xf numFmtId="164" fontId="10" fillId="7" borderId="0" xfId="4" applyNumberFormat="1" applyFont="1" applyFill="1" applyAlignment="1">
      <alignment vertical="center"/>
    </xf>
    <xf numFmtId="0" fontId="10" fillId="8" borderId="0" xfId="3" applyFont="1" applyFill="1" applyAlignment="1">
      <alignment horizontal="center" vertical="center" wrapText="1"/>
    </xf>
    <xf numFmtId="0" fontId="10" fillId="9" borderId="0" xfId="3" applyFont="1" applyFill="1" applyAlignment="1">
      <alignment horizontal="center" vertical="center" wrapText="1"/>
    </xf>
    <xf numFmtId="0" fontId="10" fillId="0" borderId="0" xfId="3" applyFont="1" applyFill="1" applyAlignment="1">
      <alignment horizontal="center" vertical="center" wrapText="1"/>
    </xf>
    <xf numFmtId="0" fontId="5" fillId="10" borderId="0" xfId="3" quotePrefix="1" applyFont="1" applyFill="1" applyAlignment="1">
      <alignment horizontal="center" vertical="top" wrapText="1"/>
    </xf>
    <xf numFmtId="164" fontId="5" fillId="10" borderId="0" xfId="4" applyNumberFormat="1" applyFont="1" applyFill="1" applyAlignment="1">
      <alignment vertical="top"/>
    </xf>
    <xf numFmtId="0" fontId="10" fillId="10" borderId="0" xfId="3" quotePrefix="1" applyFont="1" applyFill="1" applyAlignment="1">
      <alignment horizontal="center" vertical="top" wrapText="1"/>
    </xf>
    <xf numFmtId="0" fontId="5" fillId="0" borderId="0" xfId="3" quotePrefix="1" applyFont="1" applyFill="1" applyAlignment="1">
      <alignment horizontal="center" vertical="top" wrapText="1"/>
    </xf>
    <xf numFmtId="0" fontId="8" fillId="0" borderId="0" xfId="3" applyFont="1" applyFill="1"/>
    <xf numFmtId="0" fontId="13" fillId="0" borderId="0" xfId="3" applyFont="1" applyFill="1" applyAlignment="1">
      <alignment horizontal="center" vertical="top" wrapText="1"/>
    </xf>
    <xf numFmtId="164" fontId="13" fillId="0" borderId="0" xfId="4" applyNumberFormat="1" applyFont="1" applyFill="1" applyAlignment="1">
      <alignment vertical="top"/>
    </xf>
    <xf numFmtId="0" fontId="10" fillId="0" borderId="0" xfId="3" applyFont="1" applyFill="1" applyAlignment="1">
      <alignment horizontal="center" vertical="top" wrapText="1"/>
    </xf>
    <xf numFmtId="164" fontId="14" fillId="0" borderId="0" xfId="4" applyNumberFormat="1" applyFont="1" applyFill="1" applyAlignment="1">
      <alignment horizontal="center" vertical="top" wrapText="1"/>
    </xf>
    <xf numFmtId="164" fontId="13" fillId="0" borderId="0" xfId="3" applyNumberFormat="1" applyFont="1" applyFill="1" applyAlignment="1">
      <alignment horizontal="center" vertical="top" wrapText="1"/>
    </xf>
    <xf numFmtId="0" fontId="14" fillId="0" borderId="0" xfId="3" applyFont="1" applyFill="1"/>
    <xf numFmtId="0" fontId="1" fillId="0" borderId="0" xfId="3" applyAlignment="1">
      <alignment horizontal="center"/>
    </xf>
    <xf numFmtId="14" fontId="0" fillId="0" borderId="0" xfId="4" applyNumberFormat="1" applyFont="1"/>
    <xf numFmtId="164" fontId="1" fillId="0" borderId="0" xfId="3" applyNumberFormat="1"/>
    <xf numFmtId="164" fontId="11" fillId="11" borderId="2" xfId="4" applyNumberFormat="1" applyFont="1" applyFill="1" applyBorder="1"/>
    <xf numFmtId="164" fontId="10" fillId="11" borderId="3" xfId="4" applyNumberFormat="1" applyFont="1" applyFill="1" applyBorder="1"/>
    <xf numFmtId="43" fontId="11" fillId="12" borderId="4" xfId="4" applyFont="1" applyFill="1" applyBorder="1" applyAlignment="1">
      <alignment horizontal="center"/>
    </xf>
    <xf numFmtId="164" fontId="1" fillId="13" borderId="2" xfId="5" applyNumberFormat="1" applyFont="1" applyFill="1" applyBorder="1" applyAlignment="1">
      <alignment horizontal="center"/>
    </xf>
    <xf numFmtId="164" fontId="2" fillId="13" borderId="3" xfId="4" applyNumberFormat="1" applyFont="1" applyFill="1" applyBorder="1" applyAlignment="1">
      <alignment horizontal="center"/>
    </xf>
    <xf numFmtId="43" fontId="1" fillId="14" borderId="4" xfId="4" applyFont="1" applyFill="1" applyBorder="1" applyAlignment="1"/>
    <xf numFmtId="9" fontId="1" fillId="0" borderId="0" xfId="5" applyFont="1" applyFill="1" applyBorder="1" applyAlignment="1">
      <alignment horizontal="center"/>
    </xf>
    <xf numFmtId="164" fontId="11" fillId="11" borderId="5" xfId="4" applyNumberFormat="1" applyFont="1" applyFill="1" applyBorder="1"/>
    <xf numFmtId="164" fontId="11" fillId="11" borderId="0" xfId="4" applyNumberFormat="1" applyFont="1" applyFill="1" applyBorder="1"/>
    <xf numFmtId="165" fontId="11" fillId="12" borderId="6" xfId="5" applyNumberFormat="1" applyFont="1" applyFill="1" applyBorder="1" applyAlignment="1">
      <alignment horizontal="center"/>
    </xf>
    <xf numFmtId="164" fontId="1" fillId="13" borderId="5" xfId="4" applyNumberFormat="1" applyFont="1" applyFill="1" applyBorder="1" applyAlignment="1">
      <alignment horizontal="center"/>
    </xf>
    <xf numFmtId="164" fontId="1" fillId="13" borderId="0" xfId="4" applyNumberFormat="1" applyFont="1" applyFill="1" applyBorder="1" applyAlignment="1">
      <alignment horizontal="center"/>
    </xf>
    <xf numFmtId="165" fontId="1" fillId="14" borderId="6" xfId="5" applyNumberFormat="1" applyFont="1" applyFill="1" applyBorder="1" applyAlignment="1">
      <alignment horizontal="center"/>
    </xf>
    <xf numFmtId="164" fontId="10" fillId="15" borderId="0" xfId="4" applyNumberFormat="1" applyFont="1" applyFill="1"/>
    <xf numFmtId="164" fontId="11" fillId="15" borderId="0" xfId="4" applyNumberFormat="1" applyFont="1" applyFill="1"/>
    <xf numFmtId="9" fontId="10" fillId="15" borderId="0" xfId="5" applyFont="1" applyFill="1" applyAlignment="1">
      <alignment horizontal="center"/>
    </xf>
    <xf numFmtId="164" fontId="0" fillId="0" borderId="0" xfId="4" applyNumberFormat="1" applyFont="1" applyFill="1"/>
    <xf numFmtId="164" fontId="2" fillId="16" borderId="0" xfId="5" applyNumberFormat="1" applyFont="1" applyFill="1" applyAlignment="1">
      <alignment horizontal="center"/>
    </xf>
    <xf numFmtId="9" fontId="2" fillId="16" borderId="0" xfId="5" applyFont="1" applyFill="1" applyAlignment="1">
      <alignment horizontal="center"/>
    </xf>
    <xf numFmtId="9" fontId="2" fillId="0" borderId="0" xfId="5" applyFont="1" applyFill="1" applyAlignment="1">
      <alignment horizontal="center"/>
    </xf>
    <xf numFmtId="14" fontId="0" fillId="0" borderId="0" xfId="4" applyNumberFormat="1" applyFont="1" applyFill="1"/>
    <xf numFmtId="164" fontId="1" fillId="0" borderId="0" xfId="3" applyNumberFormat="1" applyFill="1"/>
    <xf numFmtId="9" fontId="0" fillId="0" borderId="0" xfId="5" applyFont="1" applyFill="1"/>
    <xf numFmtId="164" fontId="2" fillId="0" borderId="0" xfId="3" applyNumberFormat="1" applyFont="1" applyFill="1"/>
    <xf numFmtId="9" fontId="0" fillId="0" borderId="0" xfId="2" applyFont="1"/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3" applyFont="1" applyAlignment="1">
      <alignment horizontal="right" wrapText="1"/>
    </xf>
    <xf numFmtId="0" fontId="15" fillId="0" borderId="0" xfId="0" applyFont="1"/>
    <xf numFmtId="0" fontId="0" fillId="19" borderId="0" xfId="0" applyFill="1"/>
    <xf numFmtId="0" fontId="0" fillId="19" borderId="0" xfId="0" applyFill="1" applyAlignment="1">
      <alignment vertical="center"/>
    </xf>
    <xf numFmtId="0" fontId="0" fillId="1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ill="1"/>
    <xf numFmtId="17" fontId="7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164" fontId="2" fillId="0" borderId="0" xfId="1" applyNumberFormat="1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164" fontId="0" fillId="0" borderId="7" xfId="1" applyNumberFormat="1" applyFont="1" applyBorder="1"/>
    <xf numFmtId="0" fontId="19" fillId="0" borderId="7" xfId="0" applyFont="1" applyBorder="1" applyAlignment="1">
      <alignment horizontal="right"/>
    </xf>
    <xf numFmtId="0" fontId="19" fillId="0" borderId="0" xfId="0" applyFont="1"/>
    <xf numFmtId="0" fontId="19" fillId="0" borderId="7" xfId="0" applyFont="1" applyBorder="1"/>
    <xf numFmtId="164" fontId="19" fillId="0" borderId="0" xfId="0" applyNumberFormat="1" applyFont="1"/>
    <xf numFmtId="0" fontId="19" fillId="0" borderId="0" xfId="0" applyFont="1" applyAlignment="1">
      <alignment horizontal="right"/>
    </xf>
    <xf numFmtId="164" fontId="19" fillId="0" borderId="0" xfId="1" applyNumberFormat="1" applyFont="1"/>
    <xf numFmtId="164" fontId="19" fillId="0" borderId="0" xfId="1" applyNumberFormat="1" applyFont="1" applyFill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5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3" applyFont="1"/>
    <xf numFmtId="15" fontId="15" fillId="0" borderId="0" xfId="0" applyNumberFormat="1" applyFont="1"/>
    <xf numFmtId="15" fontId="0" fillId="0" borderId="0" xfId="0" applyNumberFormat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15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19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15" borderId="0" xfId="0" applyFill="1" applyAlignment="1">
      <alignment horizontal="left" vertical="center" wrapText="1"/>
    </xf>
    <xf numFmtId="17" fontId="7" fillId="0" borderId="0" xfId="0" applyNumberFormat="1" applyFont="1" applyAlignment="1">
      <alignment vertical="center" wrapText="1"/>
    </xf>
    <xf numFmtId="15" fontId="8" fillId="0" borderId="0" xfId="0" applyNumberFormat="1" applyFont="1" applyAlignment="1">
      <alignment horizontal="left" vertical="center"/>
    </xf>
    <xf numFmtId="14" fontId="1" fillId="0" borderId="0" xfId="3" applyNumberFormat="1"/>
    <xf numFmtId="14" fontId="19" fillId="0" borderId="0" xfId="3" applyNumberFormat="1" applyFont="1"/>
    <xf numFmtId="0" fontId="20" fillId="22" borderId="0" xfId="3" applyFont="1" applyFill="1" applyAlignment="1">
      <alignment vertical="center"/>
    </xf>
    <xf numFmtId="0" fontId="20" fillId="22" borderId="0" xfId="3" applyFont="1" applyFill="1" applyAlignment="1">
      <alignment vertical="center" wrapText="1"/>
    </xf>
    <xf numFmtId="0" fontId="10" fillId="20" borderId="0" xfId="0" applyFont="1" applyFill="1" applyAlignment="1">
      <alignment horizontal="left" vertical="center"/>
    </xf>
    <xf numFmtId="0" fontId="2" fillId="1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18" borderId="0" xfId="0" applyFont="1" applyFill="1" applyAlignment="1">
      <alignment horizontal="center" vertical="center" wrapText="1"/>
    </xf>
    <xf numFmtId="0" fontId="2" fillId="18" borderId="8" xfId="0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1" borderId="7" xfId="0" applyFont="1" applyFill="1" applyBorder="1" applyAlignment="1">
      <alignment horizontal="center" vertical="center" wrapText="1"/>
    </xf>
    <xf numFmtId="0" fontId="10" fillId="5" borderId="0" xfId="3" applyFont="1" applyFill="1" applyAlignment="1">
      <alignment horizontal="center"/>
    </xf>
    <xf numFmtId="0" fontId="2" fillId="6" borderId="0" xfId="3" applyFont="1" applyFill="1" applyAlignment="1">
      <alignment horizontal="center"/>
    </xf>
    <xf numFmtId="0" fontId="0" fillId="21" borderId="0" xfId="3" applyFont="1" applyFill="1" applyAlignment="1">
      <alignment horizontal="center" vertical="center"/>
    </xf>
  </cellXfs>
  <cellStyles count="6">
    <cellStyle name="Comma" xfId="1" builtinId="3"/>
    <cellStyle name="Comma 4" xfId="4"/>
    <cellStyle name="Normal" xfId="0" builtinId="0"/>
    <cellStyle name="Normal 5" xfId="3"/>
    <cellStyle name="Percent" xfId="2" builtinId="5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s/Op%202003/OP_2003_CCC_Finance_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casphkgnt01\gec-fp&amp;a\PUBLIC\02SI\02SI%20Budget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usiness%20Planning\2020\5.%20Adhoc\NEW%20PRD\SALES%20FINANCE\New%20product_Sales%20estimated_SF%20loan%20-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ummary"/>
      <sheetName val="Graph_Old"/>
      <sheetName val="Vol_Total"/>
      <sheetName val="CCC Graph"/>
      <sheetName val="Vol_Total&lt;15"/>
      <sheetName val="Vol_Total&gt;=15"/>
      <sheetName val="Vol_Rev&gt;=15"/>
      <sheetName val="Vol_EPP&gt;=15"/>
      <sheetName val="Vol_Cash&gt;=15"/>
      <sheetName val="No of Accts"/>
      <sheetName val="ResMenu"/>
      <sheetName val="Res_Total"/>
      <sheetName val="Res_Total&gt;=15"/>
      <sheetName val="Res_Rev&gt;=15"/>
      <sheetName val="Res_Rev&lt;15 LIQ"/>
      <sheetName val="Res_Rev&lt;15 NGRR"/>
      <sheetName val="Res_EPP&gt;=15"/>
      <sheetName val="Res_Cash&gt;=15"/>
    </sheetNames>
    <sheetDataSet>
      <sheetData sheetId="0"/>
      <sheetData sheetId="1"/>
      <sheetData sheetId="2"/>
      <sheetData sheetId="3"/>
      <sheetData sheetId="4"/>
      <sheetData sheetId="5">
        <row r="1">
          <cell r="AQ1" t="str">
            <v>Adjust Roll</v>
          </cell>
          <cell r="AR1">
            <v>1</v>
          </cell>
          <cell r="AT1">
            <v>1000</v>
          </cell>
          <cell r="AV1" t="str">
            <v>Liquidaing Model</v>
          </cell>
          <cell r="AW1" t="str">
            <v>Recovery</v>
          </cell>
          <cell r="AX1">
            <v>0.08</v>
          </cell>
        </row>
        <row r="2">
          <cell r="X2" t="str">
            <v>OP Volume</v>
          </cell>
          <cell r="Y2" t="str">
            <v>=</v>
          </cell>
          <cell r="Z2">
            <v>1966691.7833351225</v>
          </cell>
          <cell r="AA2">
            <v>1999051.5080464142</v>
          </cell>
          <cell r="AB2">
            <v>2034670.1747911077</v>
          </cell>
          <cell r="AC2">
            <v>2069971.280815179</v>
          </cell>
          <cell r="AD2">
            <v>2104791.1017929455</v>
          </cell>
          <cell r="AE2">
            <v>2142750.8894034638</v>
          </cell>
          <cell r="AF2">
            <v>2183291.6865417319</v>
          </cell>
          <cell r="AG2">
            <v>2222320.0703395125</v>
          </cell>
          <cell r="AH2">
            <v>2261467.2372095129</v>
          </cell>
          <cell r="AI2">
            <v>2302431.9171070871</v>
          </cell>
          <cell r="AJ2">
            <v>2345578.6004637233</v>
          </cell>
          <cell r="AK2">
            <v>2388199.3724279059</v>
          </cell>
          <cell r="AV2" t="str">
            <v>Actual Data</v>
          </cell>
          <cell r="AW2" t="str">
            <v>Finance Data</v>
          </cell>
          <cell r="BI2" t="str">
            <v xml:space="preserve">CCC #1 - Volume - Total Inc &lt; 15K (Logo 02 Income &lt; 15,000) </v>
          </cell>
        </row>
        <row r="3">
          <cell r="N3">
            <v>36526</v>
          </cell>
          <cell r="O3">
            <v>36557</v>
          </cell>
          <cell r="P3">
            <v>36586</v>
          </cell>
          <cell r="Q3">
            <v>36617</v>
          </cell>
          <cell r="R3">
            <v>36647</v>
          </cell>
          <cell r="S3">
            <v>36678</v>
          </cell>
          <cell r="T3">
            <v>36708</v>
          </cell>
          <cell r="U3">
            <v>36768</v>
          </cell>
          <cell r="V3">
            <v>36798</v>
          </cell>
          <cell r="W3">
            <v>36828</v>
          </cell>
          <cell r="X3">
            <v>36858</v>
          </cell>
          <cell r="Y3">
            <v>36888</v>
          </cell>
          <cell r="Z3">
            <v>36918</v>
          </cell>
          <cell r="AA3">
            <v>36948</v>
          </cell>
          <cell r="AB3">
            <v>36978</v>
          </cell>
          <cell r="AC3">
            <v>37008</v>
          </cell>
          <cell r="AD3">
            <v>37038</v>
          </cell>
          <cell r="AE3">
            <v>37068</v>
          </cell>
          <cell r="AF3">
            <v>37098</v>
          </cell>
          <cell r="AG3">
            <v>37128</v>
          </cell>
          <cell r="AH3">
            <v>37158</v>
          </cell>
          <cell r="AI3">
            <v>37188</v>
          </cell>
          <cell r="AJ3">
            <v>37218</v>
          </cell>
          <cell r="AK3">
            <v>37248</v>
          </cell>
          <cell r="AL3">
            <v>37278</v>
          </cell>
          <cell r="AM3">
            <v>37308</v>
          </cell>
          <cell r="AN3">
            <v>37338</v>
          </cell>
          <cell r="AO3">
            <v>37368</v>
          </cell>
          <cell r="AP3">
            <v>37398</v>
          </cell>
          <cell r="AQ3">
            <v>37428</v>
          </cell>
          <cell r="AR3">
            <v>37458</v>
          </cell>
          <cell r="AS3">
            <v>37488</v>
          </cell>
          <cell r="AT3">
            <v>37518</v>
          </cell>
          <cell r="AU3">
            <v>37548</v>
          </cell>
          <cell r="AV3">
            <v>37578</v>
          </cell>
          <cell r="AW3">
            <v>37608</v>
          </cell>
          <cell r="AX3">
            <v>37638</v>
          </cell>
          <cell r="AY3">
            <v>37668</v>
          </cell>
          <cell r="AZ3">
            <v>37698</v>
          </cell>
          <cell r="BA3">
            <v>37728</v>
          </cell>
          <cell r="BB3">
            <v>37758</v>
          </cell>
          <cell r="BC3">
            <v>37788</v>
          </cell>
          <cell r="BD3">
            <v>37818</v>
          </cell>
          <cell r="BE3">
            <v>37848</v>
          </cell>
          <cell r="BF3">
            <v>37878</v>
          </cell>
          <cell r="BG3">
            <v>37908</v>
          </cell>
          <cell r="BH3">
            <v>37938</v>
          </cell>
          <cell r="BI3">
            <v>37968</v>
          </cell>
        </row>
        <row r="4">
          <cell r="Z4">
            <v>249892642</v>
          </cell>
          <cell r="AA4">
            <v>256684247</v>
          </cell>
          <cell r="AB4">
            <v>266068697</v>
          </cell>
          <cell r="AC4">
            <v>286637921</v>
          </cell>
          <cell r="AD4">
            <v>301762671</v>
          </cell>
          <cell r="AE4">
            <v>322601776</v>
          </cell>
          <cell r="AF4">
            <v>339902203</v>
          </cell>
          <cell r="AG4">
            <v>366342887</v>
          </cell>
          <cell r="AH4">
            <v>399067568</v>
          </cell>
          <cell r="AI4">
            <v>425663448</v>
          </cell>
          <cell r="AJ4">
            <v>460294080</v>
          </cell>
          <cell r="AK4">
            <v>489784388</v>
          </cell>
          <cell r="AL4">
            <v>518192995</v>
          </cell>
          <cell r="AM4">
            <v>527242651</v>
          </cell>
          <cell r="AN4">
            <v>538807002</v>
          </cell>
          <cell r="AO4">
            <v>564002928</v>
          </cell>
          <cell r="AP4">
            <v>580668275</v>
          </cell>
          <cell r="AQ4">
            <v>591260432</v>
          </cell>
          <cell r="AR4">
            <v>594477212</v>
          </cell>
          <cell r="AS4">
            <v>607665556</v>
          </cell>
          <cell r="AT4">
            <v>619230556</v>
          </cell>
          <cell r="AU4">
            <v>622552476</v>
          </cell>
          <cell r="AV4">
            <v>646425312</v>
          </cell>
          <cell r="AW4">
            <v>708355857.81498003</v>
          </cell>
          <cell r="AX4">
            <v>756707460.08501625</v>
          </cell>
          <cell r="AY4">
            <v>770168507.52569985</v>
          </cell>
          <cell r="AZ4">
            <v>779552037.46481085</v>
          </cell>
          <cell r="BA4">
            <v>782410826.43283844</v>
          </cell>
          <cell r="BB4">
            <v>776121525.28581858</v>
          </cell>
          <cell r="BC4">
            <v>765430719.98500562</v>
          </cell>
          <cell r="BD4">
            <v>743792276.85996544</v>
          </cell>
          <cell r="BE4">
            <v>723112010.28047764</v>
          </cell>
          <cell r="BF4">
            <v>703234144.94517422</v>
          </cell>
          <cell r="BG4">
            <v>680452297.78552866</v>
          </cell>
          <cell r="BH4">
            <v>658106171.84701896</v>
          </cell>
          <cell r="BI4">
            <v>652746534.28064132</v>
          </cell>
        </row>
        <row r="5">
          <cell r="Z5">
            <v>208434879</v>
          </cell>
          <cell r="AA5">
            <v>216357535</v>
          </cell>
          <cell r="AB5">
            <v>219679705</v>
          </cell>
          <cell r="AC5">
            <v>231103723</v>
          </cell>
          <cell r="AD5">
            <v>246888585</v>
          </cell>
          <cell r="AE5">
            <v>267202332</v>
          </cell>
          <cell r="AF5">
            <v>280542961</v>
          </cell>
          <cell r="AG5">
            <v>305477114</v>
          </cell>
          <cell r="AH5">
            <v>330955544</v>
          </cell>
          <cell r="AI5">
            <v>355842556</v>
          </cell>
          <cell r="AJ5">
            <v>394350740</v>
          </cell>
          <cell r="AK5">
            <v>414628706</v>
          </cell>
          <cell r="AL5">
            <v>443152849</v>
          </cell>
          <cell r="AM5">
            <v>435633249</v>
          </cell>
          <cell r="AN5">
            <v>445342157</v>
          </cell>
          <cell r="AO5">
            <v>460330276</v>
          </cell>
          <cell r="AP5">
            <v>474718090</v>
          </cell>
          <cell r="AQ5">
            <v>486049233</v>
          </cell>
          <cell r="AR5">
            <v>484378807</v>
          </cell>
          <cell r="AS5">
            <v>493526618</v>
          </cell>
          <cell r="AT5">
            <v>506341055</v>
          </cell>
          <cell r="AU5">
            <v>504962706</v>
          </cell>
          <cell r="AV5">
            <v>523725605</v>
          </cell>
          <cell r="AW5">
            <v>584919008.57298005</v>
          </cell>
          <cell r="AX5">
            <v>624292540.53530014</v>
          </cell>
          <cell r="AY5">
            <v>629629123.94427478</v>
          </cell>
          <cell r="AZ5">
            <v>635319638.06862414</v>
          </cell>
          <cell r="BA5">
            <v>635736406.48606777</v>
          </cell>
          <cell r="BB5">
            <v>627735607.39312553</v>
          </cell>
          <cell r="BC5">
            <v>616809965.70560968</v>
          </cell>
          <cell r="BD5">
            <v>596413141.93507302</v>
          </cell>
          <cell r="BE5">
            <v>579063642.77581847</v>
          </cell>
          <cell r="BF5">
            <v>562647025.26612735</v>
          </cell>
          <cell r="BG5">
            <v>543488363.77395999</v>
          </cell>
          <cell r="BH5">
            <v>525342124.55603051</v>
          </cell>
          <cell r="BI5">
            <v>524215365.47707522</v>
          </cell>
        </row>
        <row r="6">
          <cell r="Z6">
            <v>27676779</v>
          </cell>
          <cell r="AA6">
            <v>26717437</v>
          </cell>
          <cell r="AB6">
            <v>32639944</v>
          </cell>
          <cell r="AC6">
            <v>37508313</v>
          </cell>
          <cell r="AD6">
            <v>34891546</v>
          </cell>
          <cell r="AE6">
            <v>37341574</v>
          </cell>
          <cell r="AF6">
            <v>40653978</v>
          </cell>
          <cell r="AG6">
            <v>40706799</v>
          </cell>
          <cell r="AH6">
            <v>46926960</v>
          </cell>
          <cell r="AI6">
            <v>47600344</v>
          </cell>
          <cell r="AJ6">
            <v>41179862</v>
          </cell>
          <cell r="AK6">
            <v>47448909</v>
          </cell>
          <cell r="AL6">
            <v>45125562</v>
          </cell>
          <cell r="AM6">
            <v>62202956</v>
          </cell>
          <cell r="AN6">
            <v>58216136</v>
          </cell>
          <cell r="AO6">
            <v>67473006</v>
          </cell>
          <cell r="AP6">
            <v>65633780</v>
          </cell>
          <cell r="AQ6">
            <v>64022626</v>
          </cell>
          <cell r="AR6">
            <v>68479050</v>
          </cell>
          <cell r="AS6">
            <v>70620163</v>
          </cell>
          <cell r="AT6">
            <v>70641766</v>
          </cell>
          <cell r="AU6">
            <v>75288277</v>
          </cell>
          <cell r="AV6">
            <v>75567562</v>
          </cell>
          <cell r="AW6">
            <v>75416486.975999996</v>
          </cell>
          <cell r="AX6">
            <v>84228337.234509125</v>
          </cell>
          <cell r="AY6">
            <v>89898125.837083206</v>
          </cell>
          <cell r="AZ6">
            <v>90666593.847975567</v>
          </cell>
          <cell r="BA6">
            <v>91486027.881881863</v>
          </cell>
          <cell r="BB6">
            <v>91546042.533993751</v>
          </cell>
          <cell r="BC6">
            <v>90393927.46461007</v>
          </cell>
          <cell r="BD6">
            <v>88820635.061607793</v>
          </cell>
          <cell r="BE6">
            <v>85883492.438650504</v>
          </cell>
          <cell r="BF6">
            <v>83385164.559717849</v>
          </cell>
          <cell r="BG6">
            <v>81021171.638322338</v>
          </cell>
          <cell r="BH6">
            <v>78262324.38345024</v>
          </cell>
          <cell r="BI6">
            <v>75649265.936068386</v>
          </cell>
        </row>
        <row r="7">
          <cell r="Z7">
            <v>7682362</v>
          </cell>
          <cell r="AA7">
            <v>6797509</v>
          </cell>
          <cell r="AB7">
            <v>6535324</v>
          </cell>
          <cell r="AC7">
            <v>10005151</v>
          </cell>
          <cell r="AD7">
            <v>9965928</v>
          </cell>
          <cell r="AE7">
            <v>7486138</v>
          </cell>
          <cell r="AF7">
            <v>8515900</v>
          </cell>
          <cell r="AG7">
            <v>9947205</v>
          </cell>
          <cell r="AH7">
            <v>10175175</v>
          </cell>
          <cell r="AI7">
            <v>11159672</v>
          </cell>
          <cell r="AJ7">
            <v>11884374</v>
          </cell>
          <cell r="AK7">
            <v>11188146</v>
          </cell>
          <cell r="AL7">
            <v>12671526</v>
          </cell>
          <cell r="AM7">
            <v>11582632</v>
          </cell>
          <cell r="AN7">
            <v>16302067</v>
          </cell>
          <cell r="AO7">
            <v>14027189</v>
          </cell>
          <cell r="AP7">
            <v>15942167</v>
          </cell>
          <cell r="AQ7">
            <v>15299928</v>
          </cell>
          <cell r="AR7">
            <v>15607891</v>
          </cell>
          <cell r="AS7">
            <v>17014327</v>
          </cell>
          <cell r="AT7">
            <v>15415814</v>
          </cell>
          <cell r="AU7">
            <v>15540468</v>
          </cell>
          <cell r="AV7">
            <v>18568147</v>
          </cell>
          <cell r="AW7">
            <v>17758377.07</v>
          </cell>
          <cell r="AX7">
            <v>17722874.439359996</v>
          </cell>
          <cell r="AY7">
            <v>19793659.250109643</v>
          </cell>
          <cell r="AZ7">
            <v>21126059.57171455</v>
          </cell>
          <cell r="BA7">
            <v>21306649.554274257</v>
          </cell>
          <cell r="BB7">
            <v>21499216.552242238</v>
          </cell>
          <cell r="BC7">
            <v>21513319.995488532</v>
          </cell>
          <cell r="BD7">
            <v>21242572.954183366</v>
          </cell>
          <cell r="BE7">
            <v>20872849.239477832</v>
          </cell>
          <cell r="BF7">
            <v>20182620.723082867</v>
          </cell>
          <cell r="BG7">
            <v>19595513.671533693</v>
          </cell>
          <cell r="BH7">
            <v>19039975.335005749</v>
          </cell>
          <cell r="BI7">
            <v>18391646.230110805</v>
          </cell>
        </row>
        <row r="8">
          <cell r="Z8">
            <v>2584437</v>
          </cell>
          <cell r="AA8">
            <v>2648501</v>
          </cell>
          <cell r="AB8">
            <v>2654094</v>
          </cell>
          <cell r="AC8">
            <v>2996295</v>
          </cell>
          <cell r="AD8">
            <v>4865785</v>
          </cell>
          <cell r="AE8">
            <v>4330679</v>
          </cell>
          <cell r="AF8">
            <v>3385913</v>
          </cell>
          <cell r="AG8">
            <v>3400943</v>
          </cell>
          <cell r="AH8">
            <v>4662226</v>
          </cell>
          <cell r="AI8">
            <v>4650806</v>
          </cell>
          <cell r="AJ8">
            <v>5586116</v>
          </cell>
          <cell r="AK8">
            <v>7531217</v>
          </cell>
          <cell r="AL8">
            <v>6190541</v>
          </cell>
          <cell r="AM8">
            <v>6497307</v>
          </cell>
          <cell r="AN8">
            <v>7306136</v>
          </cell>
          <cell r="AO8">
            <v>8952847</v>
          </cell>
          <cell r="AP8">
            <v>8430918</v>
          </cell>
          <cell r="AQ8">
            <v>9435019</v>
          </cell>
          <cell r="AR8">
            <v>8636368</v>
          </cell>
          <cell r="AS8">
            <v>9178425</v>
          </cell>
          <cell r="AT8">
            <v>9938682</v>
          </cell>
          <cell r="AU8">
            <v>9342536</v>
          </cell>
          <cell r="AV8">
            <v>9834169</v>
          </cell>
          <cell r="AW8">
            <v>11048047.465</v>
          </cell>
          <cell r="AX8">
            <v>10566234.35665</v>
          </cell>
          <cell r="AY8">
            <v>10545110.291419197</v>
          </cell>
          <cell r="AZ8">
            <v>11777227.253815237</v>
          </cell>
          <cell r="BA8">
            <v>12570005.445170157</v>
          </cell>
          <cell r="BB8">
            <v>12677456.484793182</v>
          </cell>
          <cell r="BC8">
            <v>12792033.84858413</v>
          </cell>
          <cell r="BD8">
            <v>12800425.397315675</v>
          </cell>
          <cell r="BE8">
            <v>12639330.907739103</v>
          </cell>
          <cell r="BF8">
            <v>12419345.29748931</v>
          </cell>
          <cell r="BG8">
            <v>12008659.330234306</v>
          </cell>
          <cell r="BH8">
            <v>11659330.634562546</v>
          </cell>
          <cell r="BI8">
            <v>11328785.324328421</v>
          </cell>
        </row>
        <row r="9">
          <cell r="Z9">
            <v>1411411</v>
          </cell>
          <cell r="AA9">
            <v>1659756</v>
          </cell>
          <cell r="AB9">
            <v>1721682</v>
          </cell>
          <cell r="AC9">
            <v>1984259</v>
          </cell>
          <cell r="AD9">
            <v>1830595</v>
          </cell>
          <cell r="AE9">
            <v>3083763</v>
          </cell>
          <cell r="AF9">
            <v>2742714</v>
          </cell>
          <cell r="AG9">
            <v>2130570</v>
          </cell>
          <cell r="AH9">
            <v>2179514</v>
          </cell>
          <cell r="AI9">
            <v>2890115</v>
          </cell>
          <cell r="AJ9">
            <v>3519062</v>
          </cell>
          <cell r="AK9">
            <v>4441409</v>
          </cell>
          <cell r="AL9">
            <v>4941489</v>
          </cell>
          <cell r="AM9">
            <v>3947081</v>
          </cell>
          <cell r="AN9">
            <v>4599361</v>
          </cell>
          <cell r="AO9">
            <v>5908318</v>
          </cell>
          <cell r="AP9">
            <v>7178712</v>
          </cell>
          <cell r="AQ9">
            <v>6653608</v>
          </cell>
          <cell r="AR9">
            <v>7043772</v>
          </cell>
          <cell r="AS9">
            <v>6822426</v>
          </cell>
          <cell r="AT9">
            <v>6372627</v>
          </cell>
          <cell r="AU9">
            <v>7102080</v>
          </cell>
          <cell r="AV9">
            <v>7403836</v>
          </cell>
          <cell r="AW9">
            <v>7424797.5949999997</v>
          </cell>
          <cell r="AX9">
            <v>8341275.8360749995</v>
          </cell>
          <cell r="AY9">
            <v>7977506.9392707506</v>
          </cell>
          <cell r="AZ9">
            <v>7961558.2700214935</v>
          </cell>
          <cell r="BA9">
            <v>8891806.5766305048</v>
          </cell>
          <cell r="BB9">
            <v>9490354.1111034676</v>
          </cell>
          <cell r="BC9">
            <v>9571479.6460188534</v>
          </cell>
          <cell r="BD9">
            <v>9657985.5556810182</v>
          </cell>
          <cell r="BE9">
            <v>9664321.1749733351</v>
          </cell>
          <cell r="BF9">
            <v>9542694.8353430219</v>
          </cell>
          <cell r="BG9">
            <v>9376605.6996044293</v>
          </cell>
          <cell r="BH9">
            <v>9066537.7943269014</v>
          </cell>
          <cell r="BI9">
            <v>8802794.6290947217</v>
          </cell>
        </row>
        <row r="10">
          <cell r="Z10">
            <v>1045899</v>
          </cell>
          <cell r="AA10">
            <v>1457072</v>
          </cell>
          <cell r="AB10">
            <v>1432177</v>
          </cell>
          <cell r="AC10">
            <v>1585307</v>
          </cell>
          <cell r="AD10">
            <v>1902917</v>
          </cell>
          <cell r="AE10">
            <v>1535341</v>
          </cell>
          <cell r="AF10">
            <v>2679920</v>
          </cell>
          <cell r="AG10">
            <v>2388611</v>
          </cell>
          <cell r="AH10">
            <v>2083566</v>
          </cell>
          <cell r="AI10">
            <v>1589194</v>
          </cell>
          <cell r="AJ10">
            <v>2168258</v>
          </cell>
          <cell r="AK10">
            <v>2748399</v>
          </cell>
          <cell r="AL10">
            <v>3719112</v>
          </cell>
          <cell r="AM10">
            <v>4123272</v>
          </cell>
          <cell r="AN10">
            <v>3609882</v>
          </cell>
          <cell r="AO10">
            <v>3843724</v>
          </cell>
          <cell r="AP10">
            <v>4884351</v>
          </cell>
          <cell r="AQ10">
            <v>5536617</v>
          </cell>
          <cell r="AR10">
            <v>5292231</v>
          </cell>
          <cell r="AS10">
            <v>5600164</v>
          </cell>
          <cell r="AT10">
            <v>5574237</v>
          </cell>
          <cell r="AU10">
            <v>5446281</v>
          </cell>
          <cell r="AV10">
            <v>6365164</v>
          </cell>
          <cell r="AW10">
            <v>6085953.1919999998</v>
          </cell>
          <cell r="AX10">
            <v>6103183.6230899999</v>
          </cell>
          <cell r="AY10">
            <v>6856528.7372536492</v>
          </cell>
          <cell r="AZ10">
            <v>6557510.7040805565</v>
          </cell>
          <cell r="BA10">
            <v>6544400.8979576677</v>
          </cell>
          <cell r="BB10">
            <v>7309065.0059902743</v>
          </cell>
          <cell r="BC10">
            <v>7801071.0793270497</v>
          </cell>
          <cell r="BD10">
            <v>7867756.2690274967</v>
          </cell>
          <cell r="BE10">
            <v>7938864.126769796</v>
          </cell>
          <cell r="BF10">
            <v>7944072.0058280807</v>
          </cell>
          <cell r="BG10">
            <v>7844095.1546519632</v>
          </cell>
          <cell r="BH10">
            <v>7707569.8850748409</v>
          </cell>
          <cell r="BI10">
            <v>7452694.0669367127</v>
          </cell>
        </row>
        <row r="11">
          <cell r="Z11">
            <v>1056875</v>
          </cell>
          <cell r="AA11">
            <v>1046437</v>
          </cell>
          <cell r="AB11">
            <v>1405771</v>
          </cell>
          <cell r="AC11">
            <v>1454873</v>
          </cell>
          <cell r="AD11">
            <v>1417315</v>
          </cell>
          <cell r="AE11">
            <v>1621949</v>
          </cell>
          <cell r="AF11">
            <v>1380817</v>
          </cell>
          <cell r="AG11">
            <v>2291645</v>
          </cell>
          <cell r="AH11">
            <v>2084583</v>
          </cell>
          <cell r="AI11">
            <v>1930761</v>
          </cell>
          <cell r="AJ11">
            <v>1605668</v>
          </cell>
          <cell r="AK11">
            <v>1797602</v>
          </cell>
          <cell r="AL11">
            <v>2391916</v>
          </cell>
          <cell r="AM11">
            <v>3256154</v>
          </cell>
          <cell r="AN11">
            <v>3431263</v>
          </cell>
          <cell r="AO11">
            <v>3467568</v>
          </cell>
          <cell r="AP11">
            <v>3880257</v>
          </cell>
          <cell r="AQ11">
            <v>4263401</v>
          </cell>
          <cell r="AR11">
            <v>5039093</v>
          </cell>
          <cell r="AS11">
            <v>4903433</v>
          </cell>
          <cell r="AT11">
            <v>4946375</v>
          </cell>
          <cell r="AU11">
            <v>4870128</v>
          </cell>
          <cell r="AV11">
            <v>4960829</v>
          </cell>
          <cell r="AW11">
            <v>5703186.9440000001</v>
          </cell>
          <cell r="AX11">
            <v>5453014.0600319998</v>
          </cell>
          <cell r="AY11">
            <v>5468452.5262886398</v>
          </cell>
          <cell r="AZ11">
            <v>6143449.7485792702</v>
          </cell>
          <cell r="BA11">
            <v>5875529.5908561787</v>
          </cell>
          <cell r="BB11">
            <v>5863783.2045700708</v>
          </cell>
          <cell r="BC11">
            <v>6548922.2453672858</v>
          </cell>
          <cell r="BD11">
            <v>6989759.6870770371</v>
          </cell>
          <cell r="BE11">
            <v>7049509.617048637</v>
          </cell>
          <cell r="BF11">
            <v>7113222.2575857369</v>
          </cell>
          <cell r="BG11">
            <v>7117888.5172219602</v>
          </cell>
          <cell r="BH11">
            <v>7028309.2585681593</v>
          </cell>
          <cell r="BI11">
            <v>6905982.6170270573</v>
          </cell>
        </row>
        <row r="12">
          <cell r="Z12">
            <v>0</v>
          </cell>
          <cell r="AA12">
            <v>816609.39</v>
          </cell>
          <cell r="AB12">
            <v>785378.48</v>
          </cell>
          <cell r="AC12">
            <v>1230881.04</v>
          </cell>
          <cell r="AD12">
            <v>1332569.8999999999</v>
          </cell>
          <cell r="AE12">
            <v>1332255.46</v>
          </cell>
          <cell r="AF12">
            <v>1368304.04</v>
          </cell>
          <cell r="AG12">
            <v>1257303.97</v>
          </cell>
          <cell r="AH12">
            <v>1920755.14</v>
          </cell>
          <cell r="AI12">
            <v>1771613.1</v>
          </cell>
          <cell r="AJ12">
            <v>1754707.81</v>
          </cell>
          <cell r="AK12">
            <v>1436608.95</v>
          </cell>
          <cell r="AL12">
            <v>1667446.58</v>
          </cell>
          <cell r="AM12">
            <v>2061232.69</v>
          </cell>
          <cell r="AN12">
            <v>2994412.48</v>
          </cell>
          <cell r="AO12">
            <v>3133575.07</v>
          </cell>
          <cell r="AP12">
            <v>2941076.56</v>
          </cell>
          <cell r="AQ12">
            <v>3345325.84</v>
          </cell>
          <cell r="AR12">
            <v>3917587.64</v>
          </cell>
          <cell r="AS12">
            <v>4804024.4400000004</v>
          </cell>
          <cell r="AT12">
            <v>4621932.4400000004</v>
          </cell>
          <cell r="AU12">
            <v>4443964.13</v>
          </cell>
          <cell r="AV12">
            <v>4486317.62</v>
          </cell>
          <cell r="AW12">
            <v>4544119.3640000001</v>
          </cell>
          <cell r="AX12">
            <v>5224119.240704</v>
          </cell>
          <cell r="AY12">
            <v>4994960.8789893119</v>
          </cell>
          <cell r="AZ12">
            <v>5009102.5140803941</v>
          </cell>
          <cell r="BA12">
            <v>5627399.9696986116</v>
          </cell>
          <cell r="BB12">
            <v>5381985.1052242601</v>
          </cell>
          <cell r="BC12">
            <v>5371225.4153861851</v>
          </cell>
          <cell r="BD12">
            <v>5998812.7767564338</v>
          </cell>
          <cell r="BE12">
            <v>6402619.8733625663</v>
          </cell>
          <cell r="BF12">
            <v>6457350.8092165515</v>
          </cell>
          <cell r="BG12">
            <v>6515711.5879485356</v>
          </cell>
          <cell r="BH12">
            <v>6519985.8817753159</v>
          </cell>
          <cell r="BI12">
            <v>6437931.2808484342</v>
          </cell>
        </row>
        <row r="13">
          <cell r="AA13">
            <v>64323</v>
          </cell>
          <cell r="AB13">
            <v>80119</v>
          </cell>
          <cell r="AC13">
            <v>49477</v>
          </cell>
          <cell r="AD13">
            <v>99326</v>
          </cell>
          <cell r="AE13">
            <v>171739</v>
          </cell>
          <cell r="AF13">
            <v>133949</v>
          </cell>
          <cell r="AG13">
            <v>183404</v>
          </cell>
          <cell r="AH13">
            <v>122730</v>
          </cell>
          <cell r="AI13">
            <v>196141</v>
          </cell>
          <cell r="AJ13">
            <v>211878</v>
          </cell>
          <cell r="AK13">
            <v>236896</v>
          </cell>
          <cell r="AL13">
            <v>193480</v>
          </cell>
          <cell r="AM13">
            <v>155752</v>
          </cell>
          <cell r="AN13">
            <v>238386</v>
          </cell>
          <cell r="AO13">
            <v>247070</v>
          </cell>
          <cell r="AP13">
            <v>368973</v>
          </cell>
          <cell r="AQ13">
            <v>271017</v>
          </cell>
          <cell r="AR13">
            <v>258562</v>
          </cell>
          <cell r="AS13">
            <v>285553</v>
          </cell>
          <cell r="AT13">
            <v>378151</v>
          </cell>
          <cell r="AU13">
            <v>360040</v>
          </cell>
          <cell r="AV13">
            <v>367883.96325679583</v>
          </cell>
          <cell r="AW13">
            <v>358905.40960000001</v>
          </cell>
          <cell r="AX13">
            <v>363529.54912000004</v>
          </cell>
          <cell r="AY13">
            <v>417929.53925631999</v>
          </cell>
          <cell r="AZ13">
            <v>399596.87031914497</v>
          </cell>
          <cell r="BA13">
            <v>400728.20112643152</v>
          </cell>
          <cell r="BB13">
            <v>450191.99757588893</v>
          </cell>
          <cell r="BC13">
            <v>430558.8084179408</v>
          </cell>
          <cell r="BD13">
            <v>429698.03323089483</v>
          </cell>
          <cell r="BE13">
            <v>479905.02214051469</v>
          </cell>
          <cell r="BF13">
            <v>512209.58986900531</v>
          </cell>
          <cell r="BG13">
            <v>516588.06473732414</v>
          </cell>
          <cell r="BH13">
            <v>521256.92703588284</v>
          </cell>
          <cell r="BI13">
            <v>521598.87054202525</v>
          </cell>
        </row>
        <row r="14">
          <cell r="Z14">
            <v>0</v>
          </cell>
          <cell r="AA14">
            <v>752286.39</v>
          </cell>
          <cell r="AB14">
            <v>705259.48</v>
          </cell>
          <cell r="AC14">
            <v>1181404.04</v>
          </cell>
          <cell r="AD14">
            <v>1233243.8999999999</v>
          </cell>
          <cell r="AE14">
            <v>1160516.46</v>
          </cell>
          <cell r="AF14">
            <v>1234355.04</v>
          </cell>
          <cell r="AG14">
            <v>1073899.97</v>
          </cell>
          <cell r="AH14">
            <v>1798025.14</v>
          </cell>
          <cell r="AI14">
            <v>1575472.1</v>
          </cell>
          <cell r="AJ14">
            <v>1542829.81</v>
          </cell>
          <cell r="AK14">
            <v>1199712.95</v>
          </cell>
          <cell r="AL14">
            <v>1473966.58</v>
          </cell>
          <cell r="AM14">
            <v>1905480.69</v>
          </cell>
          <cell r="AN14">
            <v>2756026.48</v>
          </cell>
          <cell r="AO14">
            <v>2886505.07</v>
          </cell>
          <cell r="AP14">
            <v>2572103.56</v>
          </cell>
          <cell r="AQ14">
            <v>3074308.84</v>
          </cell>
          <cell r="AR14">
            <v>3659025.64</v>
          </cell>
          <cell r="AS14">
            <v>4518471.4400000004</v>
          </cell>
          <cell r="AT14">
            <v>4243781.4400000004</v>
          </cell>
          <cell r="AU14">
            <v>4083924.13</v>
          </cell>
          <cell r="AV14">
            <v>4118433.6567432042</v>
          </cell>
          <cell r="AW14">
            <v>4185213.9544000002</v>
          </cell>
          <cell r="AX14">
            <v>4860589.6915840004</v>
          </cell>
          <cell r="AY14">
            <v>4577031.3397329915</v>
          </cell>
          <cell r="AZ14">
            <v>4609505.6437612493</v>
          </cell>
          <cell r="BA14">
            <v>5226671.7685721805</v>
          </cell>
          <cell r="BB14">
            <v>4931793.1076483708</v>
          </cell>
          <cell r="BC14">
            <v>4940666.6069682445</v>
          </cell>
          <cell r="BD14">
            <v>5569114.7435255386</v>
          </cell>
          <cell r="BE14">
            <v>5922714.8512220513</v>
          </cell>
          <cell r="BF14">
            <v>5945141.2193475459</v>
          </cell>
          <cell r="BG14">
            <v>5999123.523211211</v>
          </cell>
          <cell r="BH14">
            <v>5998728.9547394328</v>
          </cell>
          <cell r="BI14">
            <v>5916332.410306409</v>
          </cell>
        </row>
        <row r="15">
          <cell r="AV15" t="str">
            <v>Y2002 Forecast</v>
          </cell>
          <cell r="AW15">
            <v>39477241.481143206</v>
          </cell>
          <cell r="BH15" t="str">
            <v>Y2003 Forecast</v>
          </cell>
          <cell r="BI15">
            <v>64497413.860619217</v>
          </cell>
        </row>
        <row r="16">
          <cell r="AV16" t="str">
            <v>Loss/ANR</v>
          </cell>
          <cell r="AW16">
            <v>6.6545132718205585E-2</v>
          </cell>
          <cell r="BH16" t="str">
            <v>Loss/ANR</v>
          </cell>
          <cell r="BI16">
            <v>8.803270411909471E-2</v>
          </cell>
        </row>
        <row r="17"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 t="e">
            <v>#DIV/0!</v>
          </cell>
          <cell r="U17" t="e">
            <v>#DIV/0!</v>
          </cell>
          <cell r="V17" t="e">
            <v>#DIV/0!</v>
          </cell>
          <cell r="W17" t="e">
            <v>#DIV/0!</v>
          </cell>
          <cell r="X17" t="e">
            <v>#DIV/0!</v>
          </cell>
          <cell r="Y17" t="e">
            <v>#DIV/0!</v>
          </cell>
          <cell r="Z17" t="e">
            <v>#DIV/0!</v>
          </cell>
          <cell r="AA17">
            <v>0.12818121961248147</v>
          </cell>
          <cell r="AB17">
            <v>0.15086113825432518</v>
          </cell>
          <cell r="AC17">
            <v>0.17074091118248724</v>
          </cell>
          <cell r="AD17">
            <v>0.15097786200527805</v>
          </cell>
          <cell r="AE17">
            <v>0.15124868571789174</v>
          </cell>
          <cell r="AF17">
            <v>0.15214679338951279</v>
          </cell>
          <cell r="AG17">
            <v>0.14510005474705173</v>
          </cell>
          <cell r="AH17">
            <v>0.15361857844447227</v>
          </cell>
          <cell r="AI17">
            <v>0.14382700294031031</v>
          </cell>
          <cell r="AJ17">
            <v>0.11572494999726789</v>
          </cell>
          <cell r="AK17">
            <v>0.12032159239767116</v>
          </cell>
          <cell r="AL17">
            <v>0.10883366575202827</v>
          </cell>
          <cell r="AM17">
            <v>0.14036456301784941</v>
          </cell>
          <cell r="AN17">
            <v>0.13363565828282312</v>
          </cell>
          <cell r="AO17">
            <v>0.15150823909087052</v>
          </cell>
          <cell r="AP17">
            <v>0.14257975940735212</v>
          </cell>
          <cell r="AQ17">
            <v>0.13486451717060119</v>
          </cell>
          <cell r="AR17">
            <v>0.14088912264573</v>
          </cell>
          <cell r="AS17">
            <v>0.1457953196536115</v>
          </cell>
          <cell r="AT17">
            <v>0.14313668893133541</v>
          </cell>
          <cell r="AU17">
            <v>0.14869084040597894</v>
          </cell>
          <cell r="AV17">
            <v>0.14964978819643762</v>
          </cell>
          <cell r="AW17">
            <v>0.14399999972504685</v>
          </cell>
          <cell r="AX17">
            <v>0.14399999999999999</v>
          </cell>
          <cell r="AY17">
            <v>0.14399999999999999</v>
          </cell>
          <cell r="AZ17">
            <v>0.14399999999999999</v>
          </cell>
          <cell r="BA17">
            <v>0.14399999999999999</v>
          </cell>
          <cell r="BB17">
            <v>0.14399999999999999</v>
          </cell>
          <cell r="BC17">
            <v>0.14399999999999999</v>
          </cell>
          <cell r="BD17">
            <v>0.14399999999999999</v>
          </cell>
          <cell r="BE17">
            <v>0.14399999999999999</v>
          </cell>
          <cell r="BF17">
            <v>0.14399999999999999</v>
          </cell>
          <cell r="BG17">
            <v>0.14399999999999999</v>
          </cell>
          <cell r="BH17">
            <v>0.14399999999999999</v>
          </cell>
          <cell r="BI17">
            <v>0.14399999999999999</v>
          </cell>
        </row>
        <row r="18"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 t="e">
            <v>#DIV/0!</v>
          </cell>
          <cell r="U18" t="e">
            <v>#DIV/0!</v>
          </cell>
          <cell r="V18" t="e">
            <v>#DIV/0!</v>
          </cell>
          <cell r="W18" t="e">
            <v>#DIV/0!</v>
          </cell>
          <cell r="X18" t="e">
            <v>#DIV/0!</v>
          </cell>
          <cell r="Y18" t="e">
            <v>#DIV/0!</v>
          </cell>
          <cell r="Z18" t="e">
            <v>#DIV/0!</v>
          </cell>
          <cell r="AA18">
            <v>0.24560332689002576</v>
          </cell>
          <cell r="AB18">
            <v>0.24460894209276138</v>
          </cell>
          <cell r="AC18">
            <v>0.3065308874304441</v>
          </cell>
          <cell r="AD18">
            <v>0.26569917980582064</v>
          </cell>
          <cell r="AE18">
            <v>0.21455449408862537</v>
          </cell>
          <cell r="AF18">
            <v>0.22805412540992515</v>
          </cell>
          <cell r="AG18">
            <v>0.24467974573115575</v>
          </cell>
          <cell r="AH18">
            <v>0.24996254311226976</v>
          </cell>
          <cell r="AI18">
            <v>0.23780939570771259</v>
          </cell>
          <cell r="AJ18">
            <v>0.24966991835185057</v>
          </cell>
          <cell r="AK18">
            <v>0.27168973999961438</v>
          </cell>
          <cell r="AL18">
            <v>0.26705621408492236</v>
          </cell>
          <cell r="AM18">
            <v>0.25667562877111649</v>
          </cell>
          <cell r="AN18">
            <v>0.26207865426845633</v>
          </cell>
          <cell r="AO18">
            <v>0.24095018948011251</v>
          </cell>
          <cell r="AP18">
            <v>0.23627474074595106</v>
          </cell>
          <cell r="AQ18">
            <v>0.23311057202556368</v>
          </cell>
          <cell r="AR18">
            <v>0.24378711051308641</v>
          </cell>
          <cell r="AS18">
            <v>0.24846032472705157</v>
          </cell>
          <cell r="AT18">
            <v>0.21829196287751418</v>
          </cell>
          <cell r="AU18">
            <v>0.21998980036824109</v>
          </cell>
          <cell r="AV18">
            <v>0.24662733349575791</v>
          </cell>
          <cell r="AW18">
            <v>0.23500000000000001</v>
          </cell>
          <cell r="AX18">
            <v>0.23499999999999996</v>
          </cell>
          <cell r="AY18">
            <v>0.23499999999999999</v>
          </cell>
          <cell r="AZ18">
            <v>0.23499999999999996</v>
          </cell>
          <cell r="BA18">
            <v>0.23499999999999999</v>
          </cell>
          <cell r="BB18">
            <v>0.23500000000000001</v>
          </cell>
          <cell r="BC18">
            <v>0.23500000000000001</v>
          </cell>
          <cell r="BD18">
            <v>0.23499999999999999</v>
          </cell>
          <cell r="BE18">
            <v>0.23500000000000001</v>
          </cell>
          <cell r="BF18">
            <v>0.23499999999999999</v>
          </cell>
          <cell r="BG18">
            <v>0.23499999999999999</v>
          </cell>
          <cell r="BH18">
            <v>0.23499999999999999</v>
          </cell>
          <cell r="BI18">
            <v>0.23499999999999999</v>
          </cell>
        </row>
        <row r="19">
          <cell r="N19" t="e">
            <v>#DIV/0!</v>
          </cell>
          <cell r="O19" t="e">
            <v>#DIV/0!</v>
          </cell>
          <cell r="P19" t="e">
            <v>#DIV/0!</v>
          </cell>
          <cell r="Q19" t="e">
            <v>#DIV/0!</v>
          </cell>
          <cell r="R19" t="e">
            <v>#DIV/0!</v>
          </cell>
          <cell r="S19" t="e">
            <v>#DIV/0!</v>
          </cell>
          <cell r="T19" t="e">
            <v>#DIV/0!</v>
          </cell>
          <cell r="U19" t="e">
            <v>#DIV/0!</v>
          </cell>
          <cell r="V19" t="e">
            <v>#DIV/0!</v>
          </cell>
          <cell r="W19" t="e">
            <v>#DIV/0!</v>
          </cell>
          <cell r="X19" t="e">
            <v>#DIV/0!</v>
          </cell>
          <cell r="Y19" t="e">
            <v>#DIV/0!</v>
          </cell>
          <cell r="Z19" t="e">
            <v>#DIV/0!</v>
          </cell>
          <cell r="AA19">
            <v>0.34475087219269285</v>
          </cell>
          <cell r="AB19">
            <v>0.3904509725547991</v>
          </cell>
          <cell r="AC19">
            <v>0.45847688653232799</v>
          </cell>
          <cell r="AD19">
            <v>0.48632799245108843</v>
          </cell>
          <cell r="AE19">
            <v>0.4345484936274876</v>
          </cell>
          <cell r="AF19">
            <v>0.45229102108456992</v>
          </cell>
          <cell r="AG19">
            <v>0.39936389577143933</v>
          </cell>
          <cell r="AH19">
            <v>0.46869708626694634</v>
          </cell>
          <cell r="AI19">
            <v>0.45707380954135923</v>
          </cell>
          <cell r="AJ19">
            <v>0.50056274055366501</v>
          </cell>
          <cell r="AK19">
            <v>0.63370750533431541</v>
          </cell>
          <cell r="AL19">
            <v>0.55331249699458696</v>
          </cell>
          <cell r="AM19">
            <v>0.51274858292521364</v>
          </cell>
          <cell r="AN19">
            <v>0.63078374587054131</v>
          </cell>
          <cell r="AO19">
            <v>0.54918477515765329</v>
          </cell>
          <cell r="AP19">
            <v>0.60104116370001148</v>
          </cell>
          <cell r="AQ19">
            <v>0.59182788638457995</v>
          </cell>
          <cell r="AR19">
            <v>0.56447115306686413</v>
          </cell>
          <cell r="AS19">
            <v>0.58806311499740738</v>
          </cell>
          <cell r="AT19">
            <v>0.5841360636832712</v>
          </cell>
          <cell r="AU19">
            <v>0.60603585383165626</v>
          </cell>
          <cell r="AV19">
            <v>0.63281035037040068</v>
          </cell>
          <cell r="AW19">
            <v>0.59499999999999997</v>
          </cell>
          <cell r="AX19">
            <v>0.59499999999999997</v>
          </cell>
          <cell r="AY19">
            <v>0.59499999999999997</v>
          </cell>
          <cell r="AZ19">
            <v>0.59499999999999997</v>
          </cell>
          <cell r="BA19">
            <v>0.59499999999999997</v>
          </cell>
          <cell r="BB19">
            <v>0.59499999999999997</v>
          </cell>
          <cell r="BC19">
            <v>0.59499999999999997</v>
          </cell>
          <cell r="BD19">
            <v>0.59499999999999997</v>
          </cell>
          <cell r="BE19">
            <v>0.59499999999999997</v>
          </cell>
          <cell r="BF19">
            <v>0.59499999999999997</v>
          </cell>
          <cell r="BG19">
            <v>0.59499999999999997</v>
          </cell>
          <cell r="BH19">
            <v>0.59499999999999997</v>
          </cell>
          <cell r="BI19">
            <v>0.59499999999999997</v>
          </cell>
        </row>
        <row r="20">
          <cell r="N20" t="e">
            <v>#DIV/0!</v>
          </cell>
          <cell r="O20" t="e">
            <v>#DIV/0!</v>
          </cell>
          <cell r="P20" t="e">
            <v>#DIV/0!</v>
          </cell>
          <cell r="Q20" t="e">
            <v>#DIV/0!</v>
          </cell>
          <cell r="R20" t="e">
            <v>#DIV/0!</v>
          </cell>
          <cell r="S20" t="e">
            <v>#DIV/0!</v>
          </cell>
          <cell r="T20" t="e">
            <v>#DIV/0!</v>
          </cell>
          <cell r="U20" t="e">
            <v>#DIV/0!</v>
          </cell>
          <cell r="V20" t="e">
            <v>#DIV/0!</v>
          </cell>
          <cell r="W20" t="e">
            <v>#DIV/0!</v>
          </cell>
          <cell r="X20" t="e">
            <v>#DIV/0!</v>
          </cell>
          <cell r="Y20" t="e">
            <v>#DIV/0!</v>
          </cell>
          <cell r="Z20" t="e">
            <v>#DIV/0!</v>
          </cell>
          <cell r="AA20">
            <v>0.64221182408393007</v>
          </cell>
          <cell r="AB20">
            <v>0.65005903339285132</v>
          </cell>
          <cell r="AC20">
            <v>0.74762197570997857</v>
          </cell>
          <cell r="AD20">
            <v>0.61095286011557604</v>
          </cell>
          <cell r="AE20">
            <v>0.63376474710658193</v>
          </cell>
          <cell r="AF20">
            <v>0.6333219340431373</v>
          </cell>
          <cell r="AG20">
            <v>0.62924534682373701</v>
          </cell>
          <cell r="AH20">
            <v>0.64085578617459926</v>
          </cell>
          <cell r="AI20">
            <v>0.61990023649647186</v>
          </cell>
          <cell r="AJ20">
            <v>0.75665637311038125</v>
          </cell>
          <cell r="AK20">
            <v>0.79507998043721251</v>
          </cell>
          <cell r="AL20">
            <v>0.656134194513317</v>
          </cell>
          <cell r="AM20">
            <v>0.63759871713958438</v>
          </cell>
          <cell r="AN20">
            <v>0.70788728314669447</v>
          </cell>
          <cell r="AO20">
            <v>0.80867889675199034</v>
          </cell>
          <cell r="AP20">
            <v>0.80183566188498478</v>
          </cell>
          <cell r="AQ20">
            <v>0.78919140240718744</v>
          </cell>
          <cell r="AR20">
            <v>0.74655620725300076</v>
          </cell>
          <cell r="AS20">
            <v>0.78996471664940637</v>
          </cell>
          <cell r="AT20">
            <v>0.69430506868008401</v>
          </cell>
          <cell r="AU20">
            <v>0.71458972125277775</v>
          </cell>
          <cell r="AV20">
            <v>0.79248675092073506</v>
          </cell>
          <cell r="AW20">
            <v>0.755</v>
          </cell>
          <cell r="AX20">
            <v>0.755</v>
          </cell>
          <cell r="AY20">
            <v>0.755</v>
          </cell>
          <cell r="AZ20">
            <v>0.755</v>
          </cell>
          <cell r="BA20">
            <v>0.755</v>
          </cell>
          <cell r="BB20">
            <v>0.755</v>
          </cell>
          <cell r="BC20">
            <v>0.755</v>
          </cell>
          <cell r="BD20">
            <v>0.755</v>
          </cell>
          <cell r="BE20">
            <v>0.755</v>
          </cell>
          <cell r="BF20">
            <v>0.75499999999999989</v>
          </cell>
          <cell r="BG20">
            <v>0.755</v>
          </cell>
          <cell r="BH20">
            <v>0.755</v>
          </cell>
          <cell r="BI20">
            <v>0.75499999999999989</v>
          </cell>
        </row>
        <row r="21">
          <cell r="N21" t="e">
            <v>#DIV/0!</v>
          </cell>
          <cell r="O21" t="e">
            <v>#DIV/0!</v>
          </cell>
          <cell r="P21" t="e">
            <v>#DIV/0!</v>
          </cell>
          <cell r="Q21" t="e">
            <v>#DIV/0!</v>
          </cell>
          <cell r="R21" t="e">
            <v>#DIV/0!</v>
          </cell>
          <cell r="S21" t="e">
            <v>#DIV/0!</v>
          </cell>
          <cell r="T21" t="e">
            <v>#DIV/0!</v>
          </cell>
          <cell r="U21" t="e">
            <v>#DIV/0!</v>
          </cell>
          <cell r="V21" t="e">
            <v>#DIV/0!</v>
          </cell>
          <cell r="W21" t="e">
            <v>#DIV/0!</v>
          </cell>
          <cell r="X21" t="e">
            <v>#DIV/0!</v>
          </cell>
          <cell r="Y21" t="e">
            <v>#DIV/0!</v>
          </cell>
          <cell r="Z21" t="e">
            <v>#DIV/0!</v>
          </cell>
          <cell r="AA21">
            <v>1.032351313685383</v>
          </cell>
          <cell r="AB21">
            <v>0.86288406247665317</v>
          </cell>
          <cell r="AC21">
            <v>0.9207896696370178</v>
          </cell>
          <cell r="AD21">
            <v>0.95900635955286084</v>
          </cell>
          <cell r="AE21">
            <v>0.83871145720380536</v>
          </cell>
          <cell r="AF21">
            <v>0.86904214104650712</v>
          </cell>
          <cell r="AG21">
            <v>0.87089321015607168</v>
          </cell>
          <cell r="AH21">
            <v>0.9779382982018896</v>
          </cell>
          <cell r="AI21">
            <v>0.72915062715816459</v>
          </cell>
          <cell r="AJ21">
            <v>0.75023243019741426</v>
          </cell>
          <cell r="AK21">
            <v>0.78100329008127733</v>
          </cell>
          <cell r="AL21">
            <v>0.83737210421287478</v>
          </cell>
          <cell r="AM21">
            <v>0.83441893728793082</v>
          </cell>
          <cell r="AN21">
            <v>0.9145700328926617</v>
          </cell>
          <cell r="AO21">
            <v>0.83570826469155168</v>
          </cell>
          <cell r="AP21">
            <v>0.82669060805461048</v>
          </cell>
          <cell r="AQ21">
            <v>0.77125492706769683</v>
          </cell>
          <cell r="AR21">
            <v>0.79539266515250073</v>
          </cell>
          <cell r="AS21">
            <v>0.79505185573865822</v>
          </cell>
          <cell r="AT21">
            <v>0.81704616510314665</v>
          </cell>
          <cell r="AU21">
            <v>0.85463671418396214</v>
          </cell>
          <cell r="AV21">
            <v>0.89623941155267184</v>
          </cell>
          <cell r="AW21">
            <v>0.82199999999999995</v>
          </cell>
          <cell r="AX21">
            <v>0.82200000000000006</v>
          </cell>
          <cell r="AY21">
            <v>0.82199999999999995</v>
          </cell>
          <cell r="AZ21">
            <v>0.82199999999999995</v>
          </cell>
          <cell r="BA21">
            <v>0.82199999999999995</v>
          </cell>
          <cell r="BB21">
            <v>0.82199999999999995</v>
          </cell>
          <cell r="BC21">
            <v>0.82199999999999995</v>
          </cell>
          <cell r="BD21">
            <v>0.82199999999999995</v>
          </cell>
          <cell r="BE21">
            <v>0.82199999999999995</v>
          </cell>
          <cell r="BF21">
            <v>0.82199999999999995</v>
          </cell>
          <cell r="BG21">
            <v>0.82199999999999995</v>
          </cell>
          <cell r="BH21">
            <v>0.82199999999999995</v>
          </cell>
          <cell r="BI21">
            <v>0.82199999999999995</v>
          </cell>
        </row>
        <row r="22">
          <cell r="N22" t="e">
            <v>#DIV/0!</v>
          </cell>
          <cell r="O22" t="e">
            <v>#DIV/0!</v>
          </cell>
          <cell r="P22" t="e">
            <v>#DIV/0!</v>
          </cell>
          <cell r="Q22" t="e">
            <v>#DIV/0!</v>
          </cell>
          <cell r="R22" t="e">
            <v>#DIV/0!</v>
          </cell>
          <cell r="S22" t="e">
            <v>#DIV/0!</v>
          </cell>
          <cell r="T22" t="e">
            <v>#DIV/0!</v>
          </cell>
          <cell r="U22" t="e">
            <v>#DIV/0!</v>
          </cell>
          <cell r="V22" t="e">
            <v>#DIV/0!</v>
          </cell>
          <cell r="W22" t="e">
            <v>#DIV/0!</v>
          </cell>
          <cell r="X22" t="e">
            <v>#DIV/0!</v>
          </cell>
          <cell r="Y22" t="e">
            <v>#DIV/0!</v>
          </cell>
          <cell r="Z22" t="e">
            <v>#DIV/0!</v>
          </cell>
          <cell r="AA22">
            <v>1.0005143900128024</v>
          </cell>
          <cell r="AB22">
            <v>0.96479171928360441</v>
          </cell>
          <cell r="AC22">
            <v>1.0158472032437331</v>
          </cell>
          <cell r="AD22">
            <v>0.89403188152200175</v>
          </cell>
          <cell r="AE22">
            <v>0.85234878872804232</v>
          </cell>
          <cell r="AF22">
            <v>0.89935525723601462</v>
          </cell>
          <cell r="AG22">
            <v>0.85511694378936687</v>
          </cell>
          <cell r="AH22">
            <v>0.87271765892395203</v>
          </cell>
          <cell r="AI22">
            <v>0.92666179041124686</v>
          </cell>
          <cell r="AJ22">
            <v>1.0103662611361484</v>
          </cell>
          <cell r="AK22">
            <v>0.82905355359002475</v>
          </cell>
          <cell r="AL22">
            <v>0.87029430588498979</v>
          </cell>
          <cell r="AM22">
            <v>0.87551920996194788</v>
          </cell>
          <cell r="AN22">
            <v>0.83216993688507579</v>
          </cell>
          <cell r="AO22">
            <v>0.96057655070165726</v>
          </cell>
          <cell r="AP22">
            <v>1.0095045846163773</v>
          </cell>
          <cell r="AQ22">
            <v>0.87286949688914661</v>
          </cell>
          <cell r="AR22">
            <v>0.91013935043727967</v>
          </cell>
          <cell r="AS22">
            <v>0.92653419701445383</v>
          </cell>
          <cell r="AT22">
            <v>0.88325538323520525</v>
          </cell>
          <cell r="AU22">
            <v>0.87368513394748015</v>
          </cell>
          <cell r="AV22">
            <v>0.9108654143992938</v>
          </cell>
          <cell r="AW22">
            <v>0.89600000000000002</v>
          </cell>
          <cell r="AX22">
            <v>0.89600000000000002</v>
          </cell>
          <cell r="AY22">
            <v>0.89600000000000002</v>
          </cell>
          <cell r="AZ22">
            <v>0.89600000000000013</v>
          </cell>
          <cell r="BA22">
            <v>0.89600000000000002</v>
          </cell>
          <cell r="BB22">
            <v>0.89600000000000013</v>
          </cell>
          <cell r="BC22">
            <v>0.89600000000000002</v>
          </cell>
          <cell r="BD22">
            <v>0.89600000000000002</v>
          </cell>
          <cell r="BE22">
            <v>0.89600000000000002</v>
          </cell>
          <cell r="BF22">
            <v>0.89599999999999991</v>
          </cell>
          <cell r="BG22">
            <v>0.89600000000000002</v>
          </cell>
          <cell r="BH22">
            <v>0.89600000000000002</v>
          </cell>
          <cell r="BI22">
            <v>0.89600000000000002</v>
          </cell>
        </row>
        <row r="23">
          <cell r="N23" t="e">
            <v>#DIV/0!</v>
          </cell>
          <cell r="O23" t="e">
            <v>#DIV/0!</v>
          </cell>
          <cell r="P23" t="e">
            <v>#DIV/0!</v>
          </cell>
          <cell r="Q23" t="e">
            <v>#DIV/0!</v>
          </cell>
          <cell r="R23" t="e">
            <v>#DIV/0!</v>
          </cell>
          <cell r="S23" t="e">
            <v>#DIV/0!</v>
          </cell>
          <cell r="T23" t="e">
            <v>#DIV/0!</v>
          </cell>
          <cell r="U23" t="e">
            <v>#DIV/0!</v>
          </cell>
          <cell r="V23" t="e">
            <v>#DIV/0!</v>
          </cell>
          <cell r="W23" t="e">
            <v>#DIV/0!</v>
          </cell>
          <cell r="X23" t="e">
            <v>#DIV/0!</v>
          </cell>
          <cell r="Y23" t="e">
            <v>#DIV/0!</v>
          </cell>
          <cell r="Z23" t="e">
            <v>#DIV/0!</v>
          </cell>
          <cell r="AA23">
            <v>0.77266411827321113</v>
          </cell>
          <cell r="AB23">
            <v>0.75052629064148146</v>
          </cell>
          <cell r="AC23">
            <v>0.87559142989861083</v>
          </cell>
          <cell r="AD23">
            <v>0.91593554901355645</v>
          </cell>
          <cell r="AE23">
            <v>0.93998543725283368</v>
          </cell>
          <cell r="AF23">
            <v>0.84361717908516243</v>
          </cell>
          <cell r="AG23">
            <v>0.91055076089011067</v>
          </cell>
          <cell r="AH23">
            <v>0.83815562183497005</v>
          </cell>
          <cell r="AI23">
            <v>0.84986450527515578</v>
          </cell>
          <cell r="AJ23">
            <v>0.90881668419861394</v>
          </cell>
          <cell r="AK23">
            <v>0.89471107974998565</v>
          </cell>
          <cell r="AL23">
            <v>0.92759497374836031</v>
          </cell>
          <cell r="AM23">
            <v>0.86174961411688367</v>
          </cell>
          <cell r="AN23">
            <v>0.91961635721160606</v>
          </cell>
          <cell r="AO23">
            <v>0.91324246203220205</v>
          </cell>
          <cell r="AP23">
            <v>0.84816694582485475</v>
          </cell>
          <cell r="AQ23">
            <v>0.8621402757600849</v>
          </cell>
          <cell r="AR23">
            <v>0.9188879113177485</v>
          </cell>
          <cell r="AS23">
            <v>0.95335101773275477</v>
          </cell>
          <cell r="AT23">
            <v>0.94259112748150131</v>
          </cell>
          <cell r="AU23">
            <v>0.89842847135528536</v>
          </cell>
          <cell r="AV23">
            <v>0.92119090504397427</v>
          </cell>
          <cell r="AW23">
            <v>0.91600000000000004</v>
          </cell>
          <cell r="AX23">
            <v>0.91599999999999993</v>
          </cell>
          <cell r="AY23">
            <v>0.91600000000000004</v>
          </cell>
          <cell r="AZ23">
            <v>0.91600000000000004</v>
          </cell>
          <cell r="BA23">
            <v>0.91600000000000004</v>
          </cell>
          <cell r="BB23">
            <v>0.91600000000000004</v>
          </cell>
          <cell r="BC23">
            <v>0.91600000000000004</v>
          </cell>
          <cell r="BD23">
            <v>0.91600000000000004</v>
          </cell>
          <cell r="BE23">
            <v>0.91600000000000004</v>
          </cell>
          <cell r="BF23">
            <v>0.91600000000000004</v>
          </cell>
          <cell r="BG23">
            <v>0.91600000000000004</v>
          </cell>
          <cell r="BH23">
            <v>0.91600000000000004</v>
          </cell>
          <cell r="BI23">
            <v>0.91600000000000004</v>
          </cell>
        </row>
        <row r="24">
          <cell r="N24" t="e">
            <v>#DIV/0!</v>
          </cell>
          <cell r="O24" t="e">
            <v>#DIV/0!</v>
          </cell>
          <cell r="P24" t="e">
            <v>#DIV/0!</v>
          </cell>
          <cell r="Q24" t="e">
            <v>#DIV/0!</v>
          </cell>
          <cell r="R24" t="e">
            <v>#DIV/0!</v>
          </cell>
          <cell r="S24" t="e">
            <v>#DIV/0!</v>
          </cell>
          <cell r="T24" t="e">
            <v>#DIV/0!</v>
          </cell>
          <cell r="U24" t="e">
            <v>#DIV/0!</v>
          </cell>
          <cell r="V24" t="e">
            <v>#DIV/0!</v>
          </cell>
          <cell r="W24" t="e">
            <v>#DIV/0!</v>
          </cell>
          <cell r="X24" t="e">
            <v>#DIV/0!</v>
          </cell>
          <cell r="Y24" t="e">
            <v>#DIV/0!</v>
          </cell>
          <cell r="Z24" t="e">
            <v>#DIV/0!</v>
          </cell>
          <cell r="AA24" t="e">
            <v>#DIV/0!</v>
          </cell>
          <cell r="AB24">
            <v>9.8111778998769536E-2</v>
          </cell>
          <cell r="AC24">
            <v>6.2997651781851724E-2</v>
          </cell>
          <cell r="AD24">
            <v>8.0695044258704315E-2</v>
          </cell>
          <cell r="AE24">
            <v>0.12887804234509576</v>
          </cell>
          <cell r="AF24">
            <v>0.10054302948775305</v>
          </cell>
          <cell r="AG24">
            <v>0.13403746144022202</v>
          </cell>
          <cell r="AH24">
            <v>9.7613626400941053E-2</v>
          </cell>
          <cell r="AI24">
            <v>0.10211660815860163</v>
          </cell>
          <cell r="AJ24">
            <v>0.1195960901395457</v>
          </cell>
          <cell r="AK24">
            <v>0.13500595292842515</v>
          </cell>
          <cell r="AL24">
            <v>0.13467826439477493</v>
          </cell>
          <cell r="AM24">
            <v>9.3407490151798445E-2</v>
          </cell>
          <cell r="AN24">
            <v>0.11565215376047622</v>
          </cell>
          <cell r="AO24">
            <v>8.251034273007038E-2</v>
          </cell>
          <cell r="AP24">
            <v>0.11774825614757013</v>
          </cell>
          <cell r="AQ24">
            <v>9.2148910261622016E-2</v>
          </cell>
          <cell r="AR24">
            <v>7.7290527848850751E-2</v>
          </cell>
          <cell r="AS24">
            <v>7.2890009424269056E-2</v>
          </cell>
          <cell r="AT24">
            <v>7.871546132267386E-2</v>
          </cell>
          <cell r="AU24">
            <v>7.7898152920642852E-2</v>
          </cell>
          <cell r="AV24">
            <v>8.2782838136183576E-2</v>
          </cell>
          <cell r="AW24">
            <v>0.08</v>
          </cell>
          <cell r="AX24">
            <v>0.08</v>
          </cell>
          <cell r="AY24">
            <v>0.08</v>
          </cell>
          <cell r="AZ24">
            <v>0.08</v>
          </cell>
          <cell r="BA24">
            <v>0.08</v>
          </cell>
          <cell r="BB24">
            <v>0.08</v>
          </cell>
          <cell r="BC24">
            <v>0.08</v>
          </cell>
          <cell r="BD24">
            <v>0.08</v>
          </cell>
          <cell r="BE24">
            <v>0.08</v>
          </cell>
          <cell r="BF24">
            <v>0.08</v>
          </cell>
          <cell r="BG24">
            <v>0.08</v>
          </cell>
          <cell r="BH24">
            <v>0.08</v>
          </cell>
          <cell r="BI24">
            <v>0.08</v>
          </cell>
        </row>
        <row r="25">
          <cell r="Z25">
            <v>4.2069942611038399E-2</v>
          </cell>
          <cell r="AA25">
            <v>4.1464274167377455E-2</v>
          </cell>
          <cell r="AB25">
            <v>4.2167678895110798E-2</v>
          </cell>
          <cell r="AC25">
            <v>4.2079843864058775E-2</v>
          </cell>
          <cell r="AD25">
            <v>3.8738420778319897E-2</v>
          </cell>
          <cell r="AE25">
            <v>3.8176322091105011E-2</v>
          </cell>
          <cell r="AF25">
            <v>3.788427117866823E-2</v>
          </cell>
          <cell r="AG25">
            <v>3.7119995155621019E-2</v>
          </cell>
          <cell r="AH25">
            <v>3.677801304837286E-2</v>
          </cell>
          <cell r="AI25">
            <v>3.685022576052651E-2</v>
          </cell>
          <cell r="AJ25">
            <v>3.6839892712280095E-2</v>
          </cell>
          <cell r="AK25">
            <v>3.6844382399178033E-2</v>
          </cell>
          <cell r="AL25">
            <v>4.2607419391162797E-2</v>
          </cell>
          <cell r="AM25">
            <v>5.2073953716107658E-2</v>
          </cell>
          <cell r="AN25">
            <v>5.3177547565976653E-2</v>
          </cell>
          <cell r="AO25">
            <v>5.7895766747410655E-2</v>
          </cell>
          <cell r="AP25">
            <v>5.7766477117480446E-2</v>
          </cell>
          <cell r="AQ25">
            <v>5.5246480304592102E-2</v>
          </cell>
          <cell r="AR25">
            <v>5.3461519420910764E-2</v>
          </cell>
          <cell r="AS25">
            <v>5.2586207447156127E-2</v>
          </cell>
          <cell r="AT25">
            <v>4.9172747949083821E-2</v>
          </cell>
          <cell r="AU25">
            <v>4.74846946979402E-2</v>
          </cell>
          <cell r="AV25">
            <v>4.6750065267338693E-2</v>
          </cell>
          <cell r="AW25">
            <v>4.6373641194798622E-2</v>
          </cell>
        </row>
        <row r="26">
          <cell r="N26" t="e">
            <v>#DIV/0!</v>
          </cell>
          <cell r="O26" t="e">
            <v>#DIV/0!</v>
          </cell>
          <cell r="P26" t="e">
            <v>#DIV/0!</v>
          </cell>
          <cell r="Q26" t="e">
            <v>#DIV/0!</v>
          </cell>
          <cell r="R26" t="e">
            <v>#DIV/0!</v>
          </cell>
          <cell r="S26" t="e">
            <v>#DIV/0!</v>
          </cell>
          <cell r="T26" t="e">
            <v>#DIV/0!</v>
          </cell>
          <cell r="U26" t="e">
            <v>#DIV/0!</v>
          </cell>
          <cell r="V26" t="e">
            <v>#DIV/0!</v>
          </cell>
          <cell r="W26" t="e">
            <v>#DIV/0!</v>
          </cell>
          <cell r="X26" t="e">
            <v>#DIV/0!</v>
          </cell>
          <cell r="Y26" t="e">
            <v>#DIV/0!</v>
          </cell>
          <cell r="Z26">
            <v>5.5147618151958233E-2</v>
          </cell>
          <cell r="AA26">
            <v>5.3019517789106865E-2</v>
          </cell>
          <cell r="AB26">
            <v>5.1674804871916218E-2</v>
          </cell>
          <cell r="AC26">
            <v>6.2887300246641131E-2</v>
          </cell>
          <cell r="AD26">
            <v>6.6219390005333029E-2</v>
          </cell>
          <cell r="AE26">
            <v>5.5975730276202819E-2</v>
          </cell>
          <cell r="AF26">
            <v>5.5031311462256101E-2</v>
          </cell>
          <cell r="AG26">
            <v>5.5027611331784916E-2</v>
          </cell>
          <cell r="AH26">
            <v>5.3086408665512001E-2</v>
          </cell>
          <cell r="AI26">
            <v>5.220215196866046E-2</v>
          </cell>
          <cell r="AJ26">
            <v>5.379925372926804E-2</v>
          </cell>
          <cell r="AK26">
            <v>5.6569326582945313E-2</v>
          </cell>
          <cell r="AL26">
            <v>5.7728653780817707E-2</v>
          </cell>
          <cell r="AM26">
            <v>5.577402727989849E-2</v>
          </cell>
          <cell r="AN26">
            <v>6.5419916350678758E-2</v>
          </cell>
          <cell r="AO26">
            <v>6.4183436295919369E-2</v>
          </cell>
          <cell r="AP26">
            <v>6.9431044773369102E-2</v>
          </cell>
          <cell r="AQ26">
            <v>6.9662319294182026E-2</v>
          </cell>
          <cell r="AR26">
            <v>7.0010009063223771E-2</v>
          </cell>
          <cell r="AS26">
            <v>7.1616326728250496E-2</v>
          </cell>
          <cell r="AT26">
            <v>6.8226179394157677E-2</v>
          </cell>
          <cell r="AU26">
            <v>6.7948477647689895E-2</v>
          </cell>
          <cell r="AV26">
            <v>7.2911973162338051E-2</v>
          </cell>
          <cell r="AW26">
            <v>6.7791296897191392E-2</v>
          </cell>
          <cell r="AX26">
            <v>6.3679274828073215E-2</v>
          </cell>
          <cell r="AY26">
            <v>6.5753477647425132E-2</v>
          </cell>
          <cell r="AZ26">
            <v>6.8713572633859077E-2</v>
          </cell>
          <cell r="BA26">
            <v>7.05363348772962E-2</v>
          </cell>
          <cell r="BB26">
            <v>7.3235792987144735E-2</v>
          </cell>
          <cell r="BC26">
            <v>7.6070668833263563E-2</v>
          </cell>
          <cell r="BD26">
            <v>7.8729642247024112E-2</v>
          </cell>
          <cell r="BE26">
            <v>8.043688147766756E-2</v>
          </cell>
          <cell r="BF26">
            <v>8.1341265253536035E-2</v>
          </cell>
          <cell r="BG26">
            <v>8.2214084007515412E-2</v>
          </cell>
          <cell r="BH26">
            <v>8.2816003312315811E-2</v>
          </cell>
          <cell r="BI26">
            <v>8.1014452149908642E-2</v>
          </cell>
        </row>
        <row r="27">
          <cell r="N27" t="e">
            <v>#DIV/0!</v>
          </cell>
          <cell r="O27" t="e">
            <v>#DIV/0!</v>
          </cell>
          <cell r="P27" t="e">
            <v>#DIV/0!</v>
          </cell>
          <cell r="Q27" t="e">
            <v>#DIV/0!</v>
          </cell>
          <cell r="R27" t="e">
            <v>#DIV/0!</v>
          </cell>
          <cell r="S27" t="e">
            <v>#DIV/0!</v>
          </cell>
          <cell r="T27" t="e">
            <v>#DIV/0!</v>
          </cell>
          <cell r="U27" t="e">
            <v>#DIV/0!</v>
          </cell>
          <cell r="V27" t="e">
            <v>#DIV/0!</v>
          </cell>
          <cell r="W27" t="e">
            <v>#DIV/0!</v>
          </cell>
          <cell r="X27" t="e">
            <v>#DIV/0!</v>
          </cell>
          <cell r="Y27" t="e">
            <v>#DIV/0!</v>
          </cell>
          <cell r="Z27">
            <v>1.4062779007314669E-2</v>
          </cell>
          <cell r="AA27">
            <v>1.6219402042229727E-2</v>
          </cell>
          <cell r="AB27">
            <v>1.7137040363677206E-2</v>
          </cell>
          <cell r="AC27">
            <v>1.7528870508379105E-2</v>
          </cell>
          <cell r="AD27">
            <v>1.7069132450779508E-2</v>
          </cell>
          <cell r="AE27">
            <v>1.9345997028857028E-2</v>
          </cell>
          <cell r="AF27">
            <v>2.0015907340265163E-2</v>
          </cell>
          <cell r="AG27">
            <v>1.8591396862579181E-2</v>
          </cell>
          <cell r="AH27">
            <v>1.5906236209102313E-2</v>
          </cell>
          <cell r="AI27">
            <v>1.5059009717930961E-2</v>
          </cell>
          <cell r="AJ27">
            <v>1.5844192477991462E-2</v>
          </cell>
          <cell r="AK27">
            <v>1.8349727390657457E-2</v>
          </cell>
          <cell r="AL27">
            <v>2.1328958721257896E-2</v>
          </cell>
          <cell r="AM27">
            <v>2.1482531768849632E-2</v>
          </cell>
          <cell r="AN27">
            <v>2.1604221839715439E-2</v>
          </cell>
          <cell r="AO27">
            <v>2.3438903139878734E-2</v>
          </cell>
          <cell r="AP27">
            <v>2.7456847026815785E-2</v>
          </cell>
          <cell r="AQ27">
            <v>2.7828051920105488E-2</v>
          </cell>
          <cell r="AR27">
            <v>2.922752234950261E-2</v>
          </cell>
          <cell r="AS27">
            <v>2.8512432256403882E-2</v>
          </cell>
          <cell r="AT27">
            <v>2.7281016474904059E-2</v>
          </cell>
          <cell r="AU27">
            <v>2.7979149825114503E-2</v>
          </cell>
          <cell r="AV27">
            <v>2.8974467200319036E-2</v>
          </cell>
          <cell r="AW27">
            <v>2.7124696604144707E-2</v>
          </cell>
          <cell r="AX27">
            <v>2.6294802904363482E-2</v>
          </cell>
          <cell r="AY27">
            <v>2.6361098908131562E-2</v>
          </cell>
          <cell r="AZ27">
            <v>2.6505631092798E-2</v>
          </cell>
          <cell r="BA27">
            <v>2.723855082963085E-2</v>
          </cell>
          <cell r="BB27">
            <v>2.9200584680753112E-2</v>
          </cell>
          <cell r="BC27">
            <v>3.1252303240692766E-2</v>
          </cell>
          <cell r="BD27">
            <v>3.2960145291211607E-2</v>
          </cell>
          <cell r="BE27">
            <v>3.4092498213699404E-2</v>
          </cell>
          <cell r="BF27">
            <v>3.4981221084870263E-2</v>
          </cell>
          <cell r="BG27">
            <v>3.5768252162107647E-2</v>
          </cell>
          <cell r="BH27">
            <v>3.6168050014128914E-2</v>
          </cell>
          <cell r="BI27">
            <v>3.5483101168179418E-2</v>
          </cell>
        </row>
        <row r="28">
          <cell r="N28" t="e">
            <v>#DIV/0!</v>
          </cell>
          <cell r="O28" t="e">
            <v>#DIV/0!</v>
          </cell>
          <cell r="P28" t="e">
            <v>#DIV/0!</v>
          </cell>
          <cell r="Q28" t="e">
            <v>#DIV/0!</v>
          </cell>
          <cell r="R28" t="e">
            <v>#DIV/0!</v>
          </cell>
          <cell r="S28" t="e">
            <v>#DIV/0!</v>
          </cell>
          <cell r="T28" t="e">
            <v>#DIV/0!</v>
          </cell>
          <cell r="U28" t="e">
            <v>#DIV/0!</v>
          </cell>
          <cell r="V28" t="e">
            <v>#DIV/0!</v>
          </cell>
          <cell r="W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  <cell r="AA28">
            <v>3.780027264668321E-2</v>
          </cell>
          <cell r="AB28">
            <v>3.5800475126157624E-2</v>
          </cell>
          <cell r="AC28">
            <v>4.886499669669897E-2</v>
          </cell>
          <cell r="AD28">
            <v>5.174372235277272E-2</v>
          </cell>
          <cell r="AE28">
            <v>3.9159306752026994E-2</v>
          </cell>
          <cell r="AF28">
            <v>3.689320358856301E-2</v>
          </cell>
          <cell r="AG28">
            <v>3.9270554536535322E-2</v>
          </cell>
          <cell r="AH28">
            <v>4.0501403265951773E-2</v>
          </cell>
          <cell r="AI28">
            <v>3.9618549007219749E-2</v>
          </cell>
          <cell r="AJ28">
            <v>4.1042965004596775E-2</v>
          </cell>
          <cell r="AK28">
            <v>4.0668267990759302E-2</v>
          </cell>
          <cell r="AL28">
            <v>3.8510960051262394E-2</v>
          </cell>
          <cell r="AM28">
            <v>3.489035779034412E-2</v>
          </cell>
          <cell r="AN28">
            <v>4.4776732222295119E-2</v>
          </cell>
          <cell r="AO28">
            <v>4.2649846632839418E-2</v>
          </cell>
          <cell r="AP28">
            <v>4.321446536887482E-2</v>
          </cell>
          <cell r="AQ28">
            <v>4.2597379717361002E-2</v>
          </cell>
          <cell r="AR28">
            <v>4.1004365737770186E-2</v>
          </cell>
          <cell r="AS28">
            <v>4.4060144730997695E-2</v>
          </cell>
          <cell r="AT28">
            <v>4.1724425137566953E-2</v>
          </cell>
          <cell r="AU28">
            <v>4.018374700488779E-2</v>
          </cell>
          <cell r="AV28">
            <v>4.5622364531403774E-2</v>
          </cell>
          <cell r="AW28">
            <v>4.4562649389261542E-2</v>
          </cell>
          <cell r="AX28">
            <v>3.9936295414103866E-2</v>
          </cell>
          <cell r="AY28">
            <v>4.0093128641972516E-2</v>
          </cell>
          <cell r="AZ28">
            <v>4.2722191967102516E-2</v>
          </cell>
          <cell r="BA28">
            <v>4.3456566555345078E-2</v>
          </cell>
          <cell r="BB28">
            <v>4.3681237378646015E-2</v>
          </cell>
          <cell r="BC28">
            <v>4.4201008123617228E-2</v>
          </cell>
          <cell r="BD28">
            <v>4.4475610218735313E-2</v>
          </cell>
          <cell r="BE28">
            <v>4.5055832373917359E-2</v>
          </cell>
          <cell r="BF28">
            <v>4.5085637573529812E-2</v>
          </cell>
          <cell r="BG28">
            <v>4.494118101195433E-2</v>
          </cell>
          <cell r="BH28">
            <v>4.5116029543108976E-2</v>
          </cell>
          <cell r="BI28">
            <v>4.5160542213161209E-2</v>
          </cell>
        </row>
        <row r="29">
          <cell r="AL29">
            <v>3.7109758939094684E-2</v>
          </cell>
          <cell r="AM29">
            <v>3.9742491807625263E-2</v>
          </cell>
          <cell r="AN29">
            <v>4.2649684900368683E-2</v>
          </cell>
          <cell r="AO29">
            <v>4.4307655971764219E-2</v>
          </cell>
          <cell r="AP29">
            <v>4.2340190169984047E-2</v>
          </cell>
          <cell r="AQ29">
            <v>4.6701661063964173E-2</v>
          </cell>
          <cell r="AR29">
            <v>4.5966430590029493E-2</v>
          </cell>
          <cell r="AS29">
            <v>4.6911633815034638E-2</v>
          </cell>
          <cell r="AT29">
            <v>4.7730994884309132E-2</v>
          </cell>
          <cell r="AU29">
            <v>4.7939178778468594E-2</v>
          </cell>
          <cell r="AV29">
            <v>4.7282525888889586E-2</v>
          </cell>
          <cell r="AW29">
            <v>4.6629341097805456E-2</v>
          </cell>
        </row>
        <row r="30">
          <cell r="N30" t="e">
            <v>#DIV/0!</v>
          </cell>
          <cell r="O30" t="e">
            <v>#DIV/0!</v>
          </cell>
          <cell r="P30" t="e">
            <v>#DIV/0!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  <cell r="U30" t="e">
            <v>#DIV/0!</v>
          </cell>
          <cell r="V30" t="e">
            <v>#DIV/0!</v>
          </cell>
          <cell r="W30" t="e">
            <v>#DIV/0!</v>
          </cell>
          <cell r="X30" t="e">
            <v>#DIV/0!</v>
          </cell>
          <cell r="Y30" t="e">
            <v>#DIV/0!</v>
          </cell>
          <cell r="Z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  <cell r="AE30" t="e">
            <v>#DIV/0!</v>
          </cell>
          <cell r="AF30" t="e">
            <v>#DIV/0!</v>
          </cell>
          <cell r="AG30">
            <v>6.037651816895033E-2</v>
          </cell>
          <cell r="AH30">
            <v>8.979538849534463E-2</v>
          </cell>
          <cell r="AI30">
            <v>7.9901760108217479E-2</v>
          </cell>
          <cell r="AJ30">
            <v>7.3460251339179924E-2</v>
          </cell>
          <cell r="AK30">
            <v>5.7128694357295104E-2</v>
          </cell>
          <cell r="AL30">
            <v>6.2024949794448753E-2</v>
          </cell>
          <cell r="AM30">
            <v>7.2770320585418505E-2</v>
          </cell>
          <cell r="AN30">
            <v>9.808556692408224E-2</v>
          </cell>
          <cell r="AO30">
            <v>9.422690254799157E-2</v>
          </cell>
          <cell r="AP30">
            <v>8.2912730434866938E-2</v>
          </cell>
          <cell r="AQ30">
            <v>8.7213613696704509E-2</v>
          </cell>
          <cell r="AR30">
            <v>9.5983156735489905E-2</v>
          </cell>
          <cell r="AS30">
            <v>0.11124869273850374</v>
          </cell>
          <cell r="AT30">
            <v>0.10519480769396253</v>
          </cell>
          <cell r="AU30">
            <v>9.897341601362486E-2</v>
          </cell>
          <cell r="AV30">
            <v>9.545307083937693E-2</v>
          </cell>
          <cell r="AW30">
            <v>9.3908061996326564E-2</v>
          </cell>
          <cell r="AX30">
            <v>0.10602676501857983</v>
          </cell>
          <cell r="AY30">
            <v>0.10082729722509824</v>
          </cell>
          <cell r="AZ30">
            <v>9.8918277620732437E-2</v>
          </cell>
          <cell r="BA30">
            <v>0.10905275746176735</v>
          </cell>
          <cell r="BB30">
            <v>0.10374036527435018</v>
          </cell>
          <cell r="BC30">
            <v>9.9709438643755061E-2</v>
          </cell>
          <cell r="BD30">
            <v>0.10162371430530279</v>
          </cell>
          <cell r="BE30">
            <v>0.10153387211448764</v>
          </cell>
          <cell r="BF30">
            <v>0.10061202055579103</v>
          </cell>
          <cell r="BG30">
            <v>0.10029931973452366</v>
          </cell>
          <cell r="BH30">
            <v>9.9998399738426724E-2</v>
          </cell>
          <cell r="BI30">
            <v>9.9540049919026291E-2</v>
          </cell>
        </row>
        <row r="31">
          <cell r="N31" t="e">
            <v>#DIV/0!</v>
          </cell>
          <cell r="O31" t="e">
            <v>#DIV/0!</v>
          </cell>
          <cell r="P31" t="e">
            <v>#DIV/0!</v>
          </cell>
          <cell r="Q31" t="e">
            <v>#DIV/0!</v>
          </cell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#DIV/0!</v>
          </cell>
          <cell r="Z31">
            <v>0</v>
          </cell>
          <cell r="AA31">
            <v>3.8176525418016791E-2</v>
          </cell>
          <cell r="AB31">
            <v>3.542146019529685E-2</v>
          </cell>
          <cell r="AC31">
            <v>5.1530420080042376E-2</v>
          </cell>
          <cell r="AD31">
            <v>5.2991441078542145E-2</v>
          </cell>
          <cell r="AE31">
            <v>4.9556656873457505E-2</v>
          </cell>
          <cell r="AF31">
            <v>4.8306978698811197E-2</v>
          </cell>
          <cell r="AG31">
            <v>4.1184497298564993E-2</v>
          </cell>
          <cell r="AH31">
            <v>5.7757291066058265E-2</v>
          </cell>
          <cell r="AI31">
            <v>4.9944051573815193E-2</v>
          </cell>
          <cell r="AJ31">
            <v>4.5745740896776257E-2</v>
          </cell>
          <cell r="AK31">
            <v>3.5197747871048922E-2</v>
          </cell>
          <cell r="AL31">
            <v>3.861371950811493E-2</v>
          </cell>
          <cell r="AM31">
            <v>4.6913488946856839E-2</v>
          </cell>
          <cell r="AN31">
            <v>6.6689834442797385E-2</v>
          </cell>
          <cell r="AO31">
            <v>6.6671463875804554E-2</v>
          </cell>
          <cell r="AP31">
            <v>6.0779829447372508E-2</v>
          </cell>
          <cell r="AQ31">
            <v>6.7895478721972047E-2</v>
          </cell>
          <cell r="AR31">
            <v>7.907965306498578E-2</v>
          </cell>
          <cell r="AS31">
            <v>9.4868456358582876E-2</v>
          </cell>
          <cell r="AT31">
            <v>8.9567914151833294E-2</v>
          </cell>
          <cell r="AU31">
            <v>8.565955741215299E-2</v>
          </cell>
          <cell r="AV31">
            <v>8.3282338176757537E-2</v>
          </cell>
          <cell r="AW31">
            <v>7.6980280132366588E-2</v>
          </cell>
          <cell r="AX31">
            <v>8.2845001794226825E-2</v>
          </cell>
          <cell r="AY31">
            <v>7.7826514538276687E-2</v>
          </cell>
          <cell r="AZ31">
            <v>7.7107399224362966E-2</v>
          </cell>
          <cell r="BA31">
            <v>8.630862119362552E-2</v>
          </cell>
          <cell r="BB31">
            <v>8.3213542156181208E-2</v>
          </cell>
          <cell r="BC31">
            <v>8.4207104969469801E-2</v>
          </cell>
          <cell r="BD31">
            <v>9.6782066123321742E-2</v>
          </cell>
          <cell r="BE31">
            <v>0.10625108888808213</v>
          </cell>
          <cell r="BF31">
            <v>0.11018834945313952</v>
          </cell>
          <cell r="BG31">
            <v>0.11490671617957653</v>
          </cell>
          <cell r="BH31">
            <v>0.11888633464980047</v>
          </cell>
          <cell r="BI31">
            <v>0.11835401846341506</v>
          </cell>
        </row>
        <row r="32">
          <cell r="AL32">
            <v>5.181508541001309E-2</v>
          </cell>
          <cell r="AM32">
            <v>5.4581812689206498E-2</v>
          </cell>
          <cell r="AN32">
            <v>5.8898496165056886E-2</v>
          </cell>
          <cell r="AO32">
            <v>6.5755556880719268E-2</v>
          </cell>
          <cell r="AP32">
            <v>7.086988179399889E-2</v>
          </cell>
          <cell r="AQ32">
            <v>7.066242897470601E-2</v>
          </cell>
          <cell r="AR32">
            <v>7.2906746858468097E-2</v>
          </cell>
          <cell r="AS32">
            <v>7.6964888850567056E-2</v>
          </cell>
          <cell r="AT32">
            <v>7.3670151676256679E-2</v>
          </cell>
          <cell r="AU32">
            <v>7.2347044271312014E-2</v>
          </cell>
          <cell r="AV32">
            <v>7.5757258463443125E-2</v>
          </cell>
          <cell r="AW32">
            <v>7.328622240913743E-2</v>
          </cell>
          <cell r="AX32">
            <v>0.22808708977319161</v>
          </cell>
        </row>
        <row r="33">
          <cell r="AL33">
            <v>518192995</v>
          </cell>
          <cell r="AM33">
            <v>522717823</v>
          </cell>
          <cell r="AN33">
            <v>528080882.66666669</v>
          </cell>
          <cell r="AO33">
            <v>537061394</v>
          </cell>
          <cell r="AP33">
            <v>545782770.20000005</v>
          </cell>
          <cell r="AQ33">
            <v>553362380.5</v>
          </cell>
          <cell r="AR33">
            <v>559235927.85714281</v>
          </cell>
          <cell r="AS33">
            <v>565289631.375</v>
          </cell>
          <cell r="AT33">
            <v>571283067.44444442</v>
          </cell>
          <cell r="AU33">
            <v>576410008.29999995</v>
          </cell>
          <cell r="AV33">
            <v>582775035.90909088</v>
          </cell>
          <cell r="AW33">
            <v>593240104.40124834</v>
          </cell>
          <cell r="AX33">
            <v>756707460.08501625</v>
          </cell>
          <cell r="AY33">
            <v>763437983.80535805</v>
          </cell>
          <cell r="AZ33">
            <v>768809335.02517569</v>
          </cell>
          <cell r="BA33">
            <v>772209707.87709141</v>
          </cell>
          <cell r="BB33">
            <v>772992071.35883689</v>
          </cell>
          <cell r="BC33">
            <v>771731846.12986505</v>
          </cell>
          <cell r="BD33">
            <v>767740479.09130788</v>
          </cell>
          <cell r="BE33">
            <v>762161920.48995411</v>
          </cell>
          <cell r="BF33">
            <v>755614389.87386751</v>
          </cell>
          <cell r="BG33">
            <v>748098180.66503358</v>
          </cell>
          <cell r="BH33">
            <v>739917088.95430493</v>
          </cell>
          <cell r="BI33">
            <v>732652876.06483305</v>
          </cell>
        </row>
        <row r="34">
          <cell r="AL34">
            <v>3.861371950811493E-2</v>
          </cell>
          <cell r="AM34">
            <v>4.2799527078685437E-2</v>
          </cell>
          <cell r="AN34">
            <v>5.0924712260365809E-2</v>
          </cell>
          <cell r="AO34">
            <v>5.5058883007330819E-2</v>
          </cell>
          <cell r="AP34">
            <v>5.6276206925229159E-2</v>
          </cell>
          <cell r="AQ34">
            <v>5.8345380130155056E-2</v>
          </cell>
          <cell r="AR34">
            <v>6.1494077474705068E-2</v>
          </cell>
          <cell r="AS34">
            <v>6.5978606151468611E-2</v>
          </cell>
          <cell r="AT34">
            <v>6.8819622402846697E-2</v>
          </cell>
          <cell r="AU34">
            <v>7.0638422056697667E-2</v>
          </cell>
          <cell r="AV34">
            <v>7.1913410754065044E-2</v>
          </cell>
          <cell r="AW34">
            <v>7.2417583597724142E-2</v>
          </cell>
          <cell r="AX34">
            <v>8.2845001794226825E-2</v>
          </cell>
          <cell r="AY34">
            <v>8.0313636495446206E-2</v>
          </cell>
          <cell r="AZ34">
            <v>7.9229956973792676E-2</v>
          </cell>
          <cell r="BA34">
            <v>8.1023000840563603E-2</v>
          </cell>
          <cell r="BB34">
            <v>8.1462882782454699E-2</v>
          </cell>
          <cell r="BC34">
            <v>8.1916518756085424E-2</v>
          </cell>
          <cell r="BD34">
            <v>8.3973925174040856E-2</v>
          </cell>
          <cell r="BE34">
            <v>8.661589733959002E-2</v>
          </cell>
          <cell r="BF34">
            <v>8.9053494762661889E-2</v>
          </cell>
          <cell r="BG34">
            <v>9.1405042243055304E-2</v>
          </cell>
          <cell r="BH34">
            <v>9.3627110390124363E-2</v>
          </cell>
          <cell r="BI34">
            <v>9.5462950626295548E-2</v>
          </cell>
        </row>
        <row r="35">
          <cell r="AL35">
            <v>3.4133226675516909E-2</v>
          </cell>
          <cell r="AM35">
            <v>3.8790878611384173E-2</v>
          </cell>
          <cell r="AN35">
            <v>4.6473742575322968E-2</v>
          </cell>
          <cell r="AO35">
            <v>5.0396354611182498E-2</v>
          </cell>
          <cell r="AP35">
            <v>5.0983283517365967E-2</v>
          </cell>
          <cell r="AQ35">
            <v>5.3015498475867208E-2</v>
          </cell>
          <cell r="AR35">
            <v>5.618099148823464E-2</v>
          </cell>
          <cell r="AS35">
            <v>6.0621724772565042E-2</v>
          </cell>
          <cell r="AT35">
            <v>6.3225328583444929E-2</v>
          </cell>
          <cell r="AU35">
            <v>6.4898790974028966E-2</v>
          </cell>
          <cell r="AV35">
            <v>6.6063903381653855E-2</v>
          </cell>
          <cell r="AW35">
            <v>6.6545132718205585E-2</v>
          </cell>
          <cell r="AX35">
            <v>7.7080086262734798E-2</v>
          </cell>
          <cell r="AY35">
            <v>7.4172005308998271E-2</v>
          </cell>
          <cell r="AZ35">
            <v>7.3085099439476761E-2</v>
          </cell>
          <cell r="BA35">
            <v>7.4877840489612685E-2</v>
          </cell>
          <cell r="BB35">
            <v>7.5153965836926517E-2</v>
          </cell>
          <cell r="BC35">
            <v>7.5534677762571889E-2</v>
          </cell>
          <cell r="BD35">
            <v>7.7515865650437582E-2</v>
          </cell>
          <cell r="BE35">
            <v>7.997924061902198E-2</v>
          </cell>
          <cell r="BF35">
            <v>8.219929741348303E-2</v>
          </cell>
          <cell r="BG35">
            <v>8.4345644228937131E-2</v>
          </cell>
          <cell r="BH35">
            <v>8.6369993697197639E-2</v>
          </cell>
          <cell r="BI35">
            <v>8.803270411909471E-2</v>
          </cell>
        </row>
        <row r="36">
          <cell r="N36" t="e">
            <v>#DIV/0!</v>
          </cell>
          <cell r="O36" t="e">
            <v>#DIV/0!</v>
          </cell>
          <cell r="P36" t="e">
            <v>#DIV/0!</v>
          </cell>
          <cell r="Q36" t="e">
            <v>#DIV/0!</v>
          </cell>
          <cell r="R36" t="e">
            <v>#DIV/0!</v>
          </cell>
          <cell r="S36" t="e">
            <v>#DIV/0!</v>
          </cell>
          <cell r="T36" t="e">
            <v>#DIV/0!</v>
          </cell>
          <cell r="U36" t="e">
            <v>#DIV/0!</v>
          </cell>
          <cell r="V36" t="e">
            <v>#DIV/0!</v>
          </cell>
          <cell r="W36" t="e">
            <v>#DIV/0!</v>
          </cell>
          <cell r="X36" t="e">
            <v>#DIV/0!</v>
          </cell>
          <cell r="Y36" t="e">
            <v>#DIV/0!</v>
          </cell>
          <cell r="Z36">
            <v>0</v>
          </cell>
          <cell r="AA36">
            <v>4.9501296929477571E-4</v>
          </cell>
          <cell r="AB36">
            <v>1.4148264382888743E-3</v>
          </cell>
          <cell r="AC36">
            <v>3.3216790941690741E-3</v>
          </cell>
          <cell r="AD36">
            <v>5.9271100186727094E-3</v>
          </cell>
          <cell r="AE36">
            <v>8.9675105618903031E-3</v>
          </cell>
          <cell r="AF36">
            <v>1.264634661709549E-2</v>
          </cell>
          <cell r="AG36">
            <v>1.6382245609258599E-2</v>
          </cell>
          <cell r="AH36">
            <v>2.2118700805445441E-2</v>
          </cell>
          <cell r="AI36">
            <v>2.7775312447162685E-2</v>
          </cell>
          <cell r="AJ36">
            <v>3.363186868905331E-2</v>
          </cell>
          <cell r="AK36">
            <v>3.8774453223085037E-2</v>
          </cell>
          <cell r="AL36">
            <v>3.4133226675516909E-2</v>
          </cell>
          <cell r="AM36">
            <v>4.374399967609293E-2</v>
          </cell>
          <cell r="AN36">
            <v>6.2627371763570902E-2</v>
          </cell>
          <cell r="AO36">
            <v>6.4495532963220206E-2</v>
          </cell>
          <cell r="AP36">
            <v>5.6552248266630967E-2</v>
          </cell>
          <cell r="AQ36">
            <v>6.6668258233719954E-2</v>
          </cell>
          <cell r="AR36">
            <v>7.8514819046490894E-2</v>
          </cell>
          <cell r="AS36">
            <v>9.5918365154004773E-2</v>
          </cell>
          <cell r="AT36">
            <v>8.9142108670938941E-2</v>
          </cell>
          <cell r="AU36">
            <v>8.5021232897284527E-2</v>
          </cell>
          <cell r="AV36">
            <v>8.4803227378854026E-2</v>
          </cell>
          <cell r="AW36">
            <v>8.4658078710793117E-2</v>
          </cell>
          <cell r="AX36">
            <v>7.7080086262734798E-2</v>
          </cell>
          <cell r="AY36">
            <v>7.1943467893783905E-2</v>
          </cell>
          <cell r="AZ36">
            <v>7.1947705634094125E-2</v>
          </cell>
          <cell r="BA36">
            <v>8.1221539412256377E-2</v>
          </cell>
          <cell r="BB36">
            <v>7.6561609730027E-2</v>
          </cell>
          <cell r="BC36">
            <v>7.6824611529173706E-2</v>
          </cell>
          <cell r="BD36">
            <v>8.704683254607759E-2</v>
          </cell>
          <cell r="BE36">
            <v>9.3251284673177795E-2</v>
          </cell>
          <cell r="BF36">
            <v>9.4415479096526228E-2</v>
          </cell>
          <cell r="BG36">
            <v>9.6229992451710489E-2</v>
          </cell>
          <cell r="BH36">
            <v>9.7287586043736801E-2</v>
          </cell>
          <cell r="BI36">
            <v>9.6902627756004903E-2</v>
          </cell>
        </row>
        <row r="37">
          <cell r="N37" t="e">
            <v>#DIV/0!</v>
          </cell>
          <cell r="O37" t="e">
            <v>#DIV/0!</v>
          </cell>
          <cell r="P37" t="e">
            <v>#DIV/0!</v>
          </cell>
          <cell r="Q37" t="e">
            <v>#DIV/0!</v>
          </cell>
          <cell r="R37" t="e">
            <v>#DIV/0!</v>
          </cell>
          <cell r="S37" t="e">
            <v>#DIV/0!</v>
          </cell>
          <cell r="T37" t="e">
            <v>#DIV/0!</v>
          </cell>
          <cell r="U37" t="e">
            <v>#DIV/0!</v>
          </cell>
          <cell r="V37" t="e">
            <v>#DIV/0!</v>
          </cell>
          <cell r="W37" t="e">
            <v>#DIV/0!</v>
          </cell>
          <cell r="X37" t="e">
            <v>#DIV/0!</v>
          </cell>
          <cell r="Y37" t="e">
            <v>#DIV/0!</v>
          </cell>
          <cell r="Z37" t="e">
            <v>#DIV/0!</v>
          </cell>
          <cell r="AA37">
            <v>5.5626779121799638E-3</v>
          </cell>
          <cell r="AB37">
            <v>5.8522240036971065E-3</v>
          </cell>
          <cell r="AC37">
            <v>1.4692702052592342E-2</v>
          </cell>
          <cell r="AD37">
            <v>9.3600865212537278E-3</v>
          </cell>
          <cell r="AE37">
            <v>6.0054644644794179E-3</v>
          </cell>
          <cell r="AF37">
            <v>6.5533107362683004E-3</v>
          </cell>
          <cell r="AG37">
            <v>6.0499110281779702E-3</v>
          </cell>
          <cell r="AH37">
            <v>8.2505161817208444E-3</v>
          </cell>
          <cell r="AI37">
            <v>5.5650078298218227E-3</v>
          </cell>
          <cell r="AJ37">
            <v>7.5387856523705318E-3</v>
          </cell>
          <cell r="AK37">
            <v>9.541897396771375E-3</v>
          </cell>
          <cell r="AL37">
            <v>7.1329981912428286E-3</v>
          </cell>
          <cell r="AM37">
            <v>7.4152354418927265E-3</v>
          </cell>
          <cell r="AN37">
            <v>1.0945466813879401E-2</v>
          </cell>
          <cell r="AO37">
            <v>1.1885867800673697E-2</v>
          </cell>
          <cell r="AP37">
            <v>1.1492047171547084E-2</v>
          </cell>
          <cell r="AQ37">
            <v>8.5224143392528193E-3</v>
          </cell>
          <cell r="AR37">
            <v>9.6281861757281928E-3</v>
          </cell>
          <cell r="AS37">
            <v>1.1817946195835061E-2</v>
          </cell>
          <cell r="AT37">
            <v>8.6200404706310765E-3</v>
          </cell>
          <cell r="AU37">
            <v>9.5030243727464263E-3</v>
          </cell>
          <cell r="AV37">
            <v>1.3919088291548589E-2</v>
          </cell>
          <cell r="AW37">
            <v>1.0255800679033415E-2</v>
          </cell>
          <cell r="AX37">
            <v>1.0255800698615803E-2</v>
          </cell>
          <cell r="AY37">
            <v>1.0255800698615807E-2</v>
          </cell>
          <cell r="AZ37">
            <v>1.0255800698615805E-2</v>
          </cell>
          <cell r="BA37">
            <v>1.0255800698615807E-2</v>
          </cell>
          <cell r="BB37">
            <v>1.025580069861581E-2</v>
          </cell>
          <cell r="BC37">
            <v>1.0255800698615808E-2</v>
          </cell>
          <cell r="BD37">
            <v>1.0255800698615807E-2</v>
          </cell>
          <cell r="BE37">
            <v>1.0255800698615808E-2</v>
          </cell>
          <cell r="BF37">
            <v>1.0255800698615805E-2</v>
          </cell>
          <cell r="BG37">
            <v>1.0255800698615807E-2</v>
          </cell>
          <cell r="BH37">
            <v>1.0255800698615807E-2</v>
          </cell>
          <cell r="BI37">
            <v>1.0255800698615807E-2</v>
          </cell>
        </row>
        <row r="38">
          <cell r="N38" t="e">
            <v>#DIV/0!</v>
          </cell>
          <cell r="O38" t="e">
            <v>#DIV/0!</v>
          </cell>
          <cell r="P38" t="e">
            <v>#DIV/0!</v>
          </cell>
          <cell r="Q38" t="e">
            <v>#DIV/0!</v>
          </cell>
          <cell r="R38" t="e">
            <v>#DIV/0!</v>
          </cell>
          <cell r="S38" t="e">
            <v>#DIV/0!</v>
          </cell>
          <cell r="T38" t="e">
            <v>#DIV/0!</v>
          </cell>
          <cell r="U38" t="e">
            <v>#DIV/0!</v>
          </cell>
          <cell r="V38" t="e">
            <v>#DIV/0!</v>
          </cell>
          <cell r="W38" t="e">
            <v>#DIV/0!</v>
          </cell>
          <cell r="X38" t="e">
            <v>#DIV/0!</v>
          </cell>
          <cell r="Y38" t="e">
            <v>#DIV/0!</v>
          </cell>
          <cell r="Z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  <cell r="AE38" t="e">
            <v>#DIV/0!</v>
          </cell>
          <cell r="AF38" t="e">
            <v>#DIV/0!</v>
          </cell>
          <cell r="AG38">
            <v>6.0321188854385544E-3</v>
          </cell>
          <cell r="AH38">
            <v>8.8776900698189186E-3</v>
          </cell>
          <cell r="AI38">
            <v>8.064527854314078E-3</v>
          </cell>
          <cell r="AJ38">
            <v>7.5927284390827406E-3</v>
          </cell>
          <cell r="AK38">
            <v>5.8188552945856132E-3</v>
          </cell>
          <cell r="AL38">
            <v>6.2403893241470667E-3</v>
          </cell>
          <cell r="AM38">
            <v>7.3472978350720393E-3</v>
          </cell>
          <cell r="AN38">
            <v>9.8024118428721302E-3</v>
          </cell>
          <cell r="AO38">
            <v>9.4682658345194518E-3</v>
          </cell>
          <cell r="AP38">
            <v>8.2651063241575857E-3</v>
          </cell>
          <cell r="AQ38">
            <v>8.4831230188638675E-3</v>
          </cell>
          <cell r="AR38">
            <v>9.4484235734512787E-3</v>
          </cell>
          <cell r="AS38">
            <v>1.0840558626308191E-2</v>
          </cell>
          <cell r="AT38">
            <v>1.0609687048933218E-2</v>
          </cell>
          <cell r="AU38">
            <v>9.9787636543018764E-3</v>
          </cell>
          <cell r="AV38">
            <v>9.7458669435855245E-3</v>
          </cell>
          <cell r="AW38">
            <v>9.5722481610085695E-3</v>
          </cell>
          <cell r="AX38">
            <v>1.0748127732780518E-2</v>
          </cell>
          <cell r="AY38">
            <v>1.0312096249473837E-2</v>
          </cell>
          <cell r="AZ38">
            <v>1.0149609628715903E-2</v>
          </cell>
          <cell r="BA38">
            <v>1.1113852835217188E-2</v>
          </cell>
          <cell r="BB38">
            <v>1.0658183349532864E-2</v>
          </cell>
          <cell r="BC38">
            <v>1.0255800679033414E-2</v>
          </cell>
          <cell r="BD38">
            <v>1.0255800698615807E-2</v>
          </cell>
          <cell r="BE38">
            <v>1.0255800698615803E-2</v>
          </cell>
          <cell r="BF38">
            <v>1.0255800698615807E-2</v>
          </cell>
          <cell r="BG38">
            <v>1.0255800698615808E-2</v>
          </cell>
          <cell r="BH38">
            <v>1.0255800698615808E-2</v>
          </cell>
          <cell r="BI38">
            <v>1.0255800698615807E-2</v>
          </cell>
        </row>
        <row r="39"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752286.39</v>
          </cell>
          <cell r="AB39">
            <v>705259.48</v>
          </cell>
          <cell r="AC39">
            <v>1181404.04</v>
          </cell>
          <cell r="AD39">
            <v>1233243.8999999999</v>
          </cell>
          <cell r="AE39">
            <v>1160516.46</v>
          </cell>
          <cell r="AF39">
            <v>1234355.04</v>
          </cell>
          <cell r="AG39">
            <v>1073899.97</v>
          </cell>
          <cell r="AH39">
            <v>1798025.14</v>
          </cell>
          <cell r="AI39">
            <v>1575472.1</v>
          </cell>
          <cell r="AJ39">
            <v>1542829.81</v>
          </cell>
          <cell r="AK39">
            <v>1199712.95</v>
          </cell>
          <cell r="AL39">
            <v>1473966.58</v>
          </cell>
          <cell r="AM39">
            <v>1905480.69</v>
          </cell>
          <cell r="AN39">
            <v>2756026.48</v>
          </cell>
          <cell r="AO39">
            <v>2886505.07</v>
          </cell>
          <cell r="AP39">
            <v>2572103.56</v>
          </cell>
          <cell r="AQ39">
            <v>3074308.84</v>
          </cell>
          <cell r="AR39">
            <v>3659025.64</v>
          </cell>
          <cell r="AS39">
            <v>4518471.4400000004</v>
          </cell>
          <cell r="AT39">
            <v>4243781.4400000004</v>
          </cell>
          <cell r="AU39">
            <v>4083924.13</v>
          </cell>
          <cell r="AV39">
            <v>4118433.6567432042</v>
          </cell>
          <cell r="AW39">
            <v>4185213.9544000002</v>
          </cell>
          <cell r="AX39">
            <v>4860589.6915840004</v>
          </cell>
          <cell r="AY39">
            <v>4577031.3397329915</v>
          </cell>
          <cell r="AZ39">
            <v>4609505.6437612493</v>
          </cell>
          <cell r="BA39">
            <v>5226671.7685721805</v>
          </cell>
          <cell r="BB39">
            <v>4931793.1076483708</v>
          </cell>
          <cell r="BC39">
            <v>4940666.6069682445</v>
          </cell>
          <cell r="BD39">
            <v>5569114.7435255386</v>
          </cell>
          <cell r="BE39">
            <v>5922714.8512220513</v>
          </cell>
          <cell r="BF39">
            <v>5945141.2193475459</v>
          </cell>
          <cell r="BG39">
            <v>5999123.523211211</v>
          </cell>
          <cell r="BH39">
            <v>5998728.9547394328</v>
          </cell>
          <cell r="BI39">
            <v>5916332.410306409</v>
          </cell>
        </row>
        <row r="40"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752286.39</v>
          </cell>
          <cell r="AB40">
            <v>1457545.87</v>
          </cell>
          <cell r="AC40">
            <v>2638949.91</v>
          </cell>
          <cell r="AD40">
            <v>3872193.81</v>
          </cell>
          <cell r="AE40">
            <v>5032710.2699999996</v>
          </cell>
          <cell r="AF40">
            <v>6267065.3099999996</v>
          </cell>
          <cell r="AG40">
            <v>7340965.2799999993</v>
          </cell>
          <cell r="AH40">
            <v>9138990.4199999999</v>
          </cell>
          <cell r="AI40">
            <v>10714462.52</v>
          </cell>
          <cell r="AJ40">
            <v>12257292.33</v>
          </cell>
          <cell r="AK40">
            <v>13457005.279999999</v>
          </cell>
          <cell r="AL40">
            <v>1473966.58</v>
          </cell>
          <cell r="AM40">
            <v>3379447.27</v>
          </cell>
          <cell r="AN40">
            <v>6135473.75</v>
          </cell>
          <cell r="AO40">
            <v>9021978.8200000003</v>
          </cell>
          <cell r="AP40">
            <v>11594082.380000001</v>
          </cell>
          <cell r="AQ40">
            <v>14668391.220000001</v>
          </cell>
          <cell r="AR40">
            <v>18327416.859999999</v>
          </cell>
          <cell r="AS40">
            <v>22845888.300000001</v>
          </cell>
          <cell r="AT40">
            <v>27089669.740000002</v>
          </cell>
          <cell r="AU40">
            <v>31173593.870000001</v>
          </cell>
          <cell r="AV40">
            <v>35292027.526743203</v>
          </cell>
          <cell r="AW40">
            <v>39477241.481143206</v>
          </cell>
          <cell r="AX40">
            <v>4860589.6915840004</v>
          </cell>
          <cell r="AY40">
            <v>9437621.0313169919</v>
          </cell>
          <cell r="AZ40">
            <v>14047126.675078241</v>
          </cell>
          <cell r="BA40">
            <v>19273798.443650421</v>
          </cell>
          <cell r="BB40">
            <v>24205591.55129879</v>
          </cell>
          <cell r="BC40">
            <v>29146258.158267036</v>
          </cell>
          <cell r="BD40">
            <v>34715372.901792571</v>
          </cell>
          <cell r="BE40">
            <v>40638087.753014624</v>
          </cell>
          <cell r="BF40">
            <v>46583228.972362168</v>
          </cell>
          <cell r="BG40">
            <v>52582352.495573379</v>
          </cell>
          <cell r="BH40">
            <v>58581081.450312808</v>
          </cell>
          <cell r="BI40">
            <v>64497413.860619217</v>
          </cell>
        </row>
        <row r="42">
          <cell r="N42">
            <v>1</v>
          </cell>
          <cell r="O42">
            <v>2</v>
          </cell>
          <cell r="P42">
            <v>3</v>
          </cell>
          <cell r="Q42">
            <v>4</v>
          </cell>
          <cell r="R42">
            <v>5</v>
          </cell>
          <cell r="S42">
            <v>6</v>
          </cell>
          <cell r="T42">
            <v>7</v>
          </cell>
          <cell r="U42">
            <v>8</v>
          </cell>
          <cell r="V42">
            <v>9</v>
          </cell>
          <cell r="W42">
            <v>10</v>
          </cell>
          <cell r="X42">
            <v>11</v>
          </cell>
          <cell r="Y42">
            <v>12</v>
          </cell>
          <cell r="Z42">
            <v>13</v>
          </cell>
          <cell r="AA42">
            <v>2</v>
          </cell>
          <cell r="AB42">
            <v>3</v>
          </cell>
          <cell r="AC42">
            <v>4</v>
          </cell>
          <cell r="AD42">
            <v>5</v>
          </cell>
          <cell r="AE42">
            <v>6</v>
          </cell>
          <cell r="AF42">
            <v>7</v>
          </cell>
          <cell r="AG42">
            <v>8</v>
          </cell>
          <cell r="AH42">
            <v>9</v>
          </cell>
          <cell r="AI42">
            <v>10</v>
          </cell>
          <cell r="AJ42">
            <v>11</v>
          </cell>
          <cell r="AK42">
            <v>12</v>
          </cell>
          <cell r="AL42">
            <v>1</v>
          </cell>
          <cell r="AM42">
            <v>2</v>
          </cell>
          <cell r="AN42">
            <v>3</v>
          </cell>
          <cell r="AO42">
            <v>4</v>
          </cell>
          <cell r="AP42">
            <v>5</v>
          </cell>
          <cell r="AQ42">
            <v>6</v>
          </cell>
          <cell r="AR42">
            <v>7</v>
          </cell>
          <cell r="AS42">
            <v>8</v>
          </cell>
          <cell r="AT42">
            <v>9</v>
          </cell>
          <cell r="AU42">
            <v>10</v>
          </cell>
          <cell r="AV42">
            <v>11</v>
          </cell>
          <cell r="AW42">
            <v>12</v>
          </cell>
          <cell r="AX42">
            <v>1</v>
          </cell>
          <cell r="AY42">
            <v>2</v>
          </cell>
          <cell r="AZ42">
            <v>3</v>
          </cell>
          <cell r="BA42">
            <v>4</v>
          </cell>
          <cell r="BB42">
            <v>5</v>
          </cell>
          <cell r="BC42">
            <v>6</v>
          </cell>
          <cell r="BD42">
            <v>7</v>
          </cell>
          <cell r="BE42">
            <v>8</v>
          </cell>
          <cell r="BF42">
            <v>9</v>
          </cell>
          <cell r="BG42">
            <v>10</v>
          </cell>
          <cell r="BH42">
            <v>11</v>
          </cell>
          <cell r="BI42">
            <v>12</v>
          </cell>
        </row>
        <row r="45">
          <cell r="N45" t="e">
            <v>#DIV/0!</v>
          </cell>
          <cell r="O45" t="e">
            <v>#DIV/0!</v>
          </cell>
          <cell r="P45" t="e">
            <v>#DIV/0!</v>
          </cell>
          <cell r="Q45" t="e">
            <v>#DIV/0!</v>
          </cell>
          <cell r="R45" t="e">
            <v>#DIV/0!</v>
          </cell>
          <cell r="S45" t="e">
            <v>#DIV/0!</v>
          </cell>
          <cell r="T45" t="e">
            <v>#DIV/0!</v>
          </cell>
          <cell r="U45" t="e">
            <v>#DIV/0!</v>
          </cell>
          <cell r="V45" t="e">
            <v>#DIV/0!</v>
          </cell>
          <cell r="W45" t="e">
            <v>#DIV/0!</v>
          </cell>
          <cell r="X45" t="e">
            <v>#DIV/0!</v>
          </cell>
          <cell r="Y45" t="e">
            <v>#DIV/0!</v>
          </cell>
          <cell r="Z45" t="e">
            <v>#DIV/0!</v>
          </cell>
          <cell r="AA45">
            <v>0.87181878038751859</v>
          </cell>
          <cell r="AB45">
            <v>0.84913886174567477</v>
          </cell>
          <cell r="AC45">
            <v>0.82925908881751276</v>
          </cell>
          <cell r="AD45">
            <v>0.84902213799472193</v>
          </cell>
          <cell r="AE45">
            <v>0.84875131428210826</v>
          </cell>
          <cell r="AF45">
            <v>0.84785320661048724</v>
          </cell>
          <cell r="AG45">
            <v>0.85489994525294821</v>
          </cell>
          <cell r="AH45">
            <v>0.84638142155552776</v>
          </cell>
          <cell r="AI45">
            <v>0.85617299705968963</v>
          </cell>
          <cell r="AJ45">
            <v>0.8842750500027321</v>
          </cell>
          <cell r="AK45">
            <v>0.87967840760232885</v>
          </cell>
          <cell r="AL45">
            <v>0.89116633424797176</v>
          </cell>
          <cell r="AM45">
            <v>0.85963543698215061</v>
          </cell>
          <cell r="AN45">
            <v>0.86636434171717691</v>
          </cell>
          <cell r="AO45">
            <v>0.84849176090912948</v>
          </cell>
          <cell r="AP45">
            <v>0.85742024059264788</v>
          </cell>
          <cell r="AQ45">
            <v>0.86513548282939878</v>
          </cell>
          <cell r="AR45">
            <v>0.85911087735426994</v>
          </cell>
          <cell r="AS45">
            <v>0.85420468034638852</v>
          </cell>
          <cell r="AT45">
            <v>0.85686331106866453</v>
          </cell>
          <cell r="AU45">
            <v>0.85130915959402109</v>
          </cell>
          <cell r="AV45">
            <v>0.85035021180356241</v>
          </cell>
          <cell r="AW45">
            <v>0.85600000027495315</v>
          </cell>
          <cell r="AX45">
            <v>0.85599999999999998</v>
          </cell>
          <cell r="AY45">
            <v>0.85599999999999998</v>
          </cell>
          <cell r="AZ45">
            <v>0.85599999999999998</v>
          </cell>
          <cell r="BA45">
            <v>0.85599999999999998</v>
          </cell>
          <cell r="BB45">
            <v>0.85599999999999998</v>
          </cell>
          <cell r="BC45">
            <v>0.85599999999999998</v>
          </cell>
          <cell r="BD45">
            <v>0.85599999999999998</v>
          </cell>
          <cell r="BE45">
            <v>0.85599999999999998</v>
          </cell>
          <cell r="BF45">
            <v>0.85599999999999998</v>
          </cell>
          <cell r="BG45">
            <v>0.85599999999999998</v>
          </cell>
          <cell r="BH45">
            <v>0.85599999999999998</v>
          </cell>
          <cell r="BI45">
            <v>0.85599999999999998</v>
          </cell>
        </row>
        <row r="46">
          <cell r="N46" t="e">
            <v>#DIV/0!</v>
          </cell>
          <cell r="O46" t="e">
            <v>#DIV/0!</v>
          </cell>
          <cell r="P46" t="e">
            <v>#DIV/0!</v>
          </cell>
          <cell r="Q46" t="e">
            <v>#DIV/0!</v>
          </cell>
          <cell r="R46" t="e">
            <v>#DIV/0!</v>
          </cell>
          <cell r="S46" t="e">
            <v>#DIV/0!</v>
          </cell>
          <cell r="T46" t="e">
            <v>#DIV/0!</v>
          </cell>
          <cell r="U46" t="e">
            <v>#DIV/0!</v>
          </cell>
          <cell r="V46" t="e">
            <v>#DIV/0!</v>
          </cell>
          <cell r="W46" t="e">
            <v>#DIV/0!</v>
          </cell>
          <cell r="X46" t="e">
            <v>#DIV/0!</v>
          </cell>
          <cell r="Y46" t="e">
            <v>#DIV/0!</v>
          </cell>
          <cell r="Z46" t="e">
            <v>#DIV/0!</v>
          </cell>
          <cell r="AA46">
            <v>0.75439667310997427</v>
          </cell>
          <cell r="AB46">
            <v>0.75539105790723859</v>
          </cell>
          <cell r="AC46">
            <v>0.6934691125695559</v>
          </cell>
          <cell r="AD46">
            <v>0.73430082019417942</v>
          </cell>
          <cell r="AE46">
            <v>0.78544550591137463</v>
          </cell>
          <cell r="AF46">
            <v>0.77194587459007491</v>
          </cell>
          <cell r="AG46">
            <v>0.75532025426884419</v>
          </cell>
          <cell r="AH46">
            <v>0.75003745688773027</v>
          </cell>
          <cell r="AI46">
            <v>0.76219060429228747</v>
          </cell>
          <cell r="AJ46">
            <v>0.75033008164814941</v>
          </cell>
          <cell r="AK46">
            <v>0.72831026000038568</v>
          </cell>
          <cell r="AL46">
            <v>0.73294378591507758</v>
          </cell>
          <cell r="AM46">
            <v>0.74332437122888351</v>
          </cell>
          <cell r="AN46">
            <v>0.73792134573154367</v>
          </cell>
          <cell r="AO46">
            <v>0.75904981051988751</v>
          </cell>
          <cell r="AP46">
            <v>0.76372525925404888</v>
          </cell>
          <cell r="AQ46">
            <v>0.76688942797443627</v>
          </cell>
          <cell r="AR46">
            <v>0.75621288948691356</v>
          </cell>
          <cell r="AS46">
            <v>0.7515396752729484</v>
          </cell>
          <cell r="AT46">
            <v>0.78170803712248582</v>
          </cell>
          <cell r="AU46">
            <v>0.78001019963175888</v>
          </cell>
          <cell r="AV46">
            <v>0.75337266650424206</v>
          </cell>
          <cell r="AW46">
            <v>0.76500000000000001</v>
          </cell>
          <cell r="AX46">
            <v>0.76500000000000001</v>
          </cell>
          <cell r="AY46">
            <v>0.76500000000000001</v>
          </cell>
          <cell r="AZ46">
            <v>0.76500000000000001</v>
          </cell>
          <cell r="BA46">
            <v>0.76500000000000001</v>
          </cell>
          <cell r="BB46">
            <v>0.76500000000000001</v>
          </cell>
          <cell r="BC46">
            <v>0.76500000000000001</v>
          </cell>
          <cell r="BD46">
            <v>0.76500000000000001</v>
          </cell>
          <cell r="BE46">
            <v>0.76500000000000001</v>
          </cell>
          <cell r="BF46">
            <v>0.76500000000000001</v>
          </cell>
          <cell r="BG46">
            <v>0.76500000000000001</v>
          </cell>
          <cell r="BH46">
            <v>0.76500000000000001</v>
          </cell>
          <cell r="BI46">
            <v>0.76500000000000001</v>
          </cell>
        </row>
        <row r="47">
          <cell r="N47" t="e">
            <v>#DIV/0!</v>
          </cell>
          <cell r="O47" t="e">
            <v>#DIV/0!</v>
          </cell>
          <cell r="P47" t="e">
            <v>#DIV/0!</v>
          </cell>
          <cell r="Q47" t="e">
            <v>#DIV/0!</v>
          </cell>
          <cell r="R47" t="e">
            <v>#DIV/0!</v>
          </cell>
          <cell r="S47" t="e">
            <v>#DIV/0!</v>
          </cell>
          <cell r="T47" t="e">
            <v>#DIV/0!</v>
          </cell>
          <cell r="U47" t="e">
            <v>#DIV/0!</v>
          </cell>
          <cell r="V47" t="e">
            <v>#DIV/0!</v>
          </cell>
          <cell r="W47" t="e">
            <v>#DIV/0!</v>
          </cell>
          <cell r="X47" t="e">
            <v>#DIV/0!</v>
          </cell>
          <cell r="Y47" t="e">
            <v>#DIV/0!</v>
          </cell>
          <cell r="Z47" t="e">
            <v>#DIV/0!</v>
          </cell>
          <cell r="AA47">
            <v>0.65524912780730715</v>
          </cell>
          <cell r="AB47">
            <v>0.6095490274452009</v>
          </cell>
          <cell r="AC47">
            <v>0.54152311346767201</v>
          </cell>
          <cell r="AD47">
            <v>0.51367200754891162</v>
          </cell>
          <cell r="AE47">
            <v>0.5654515063725124</v>
          </cell>
          <cell r="AF47">
            <v>0.54770897891543013</v>
          </cell>
          <cell r="AG47">
            <v>0.60063610422856062</v>
          </cell>
          <cell r="AH47">
            <v>0.53130291373305361</v>
          </cell>
          <cell r="AI47">
            <v>0.54292619045864077</v>
          </cell>
          <cell r="AJ47">
            <v>0.49943725944633499</v>
          </cell>
          <cell r="AK47">
            <v>0.36629249466568459</v>
          </cell>
          <cell r="AL47">
            <v>0.44668750300541304</v>
          </cell>
          <cell r="AM47">
            <v>0.48725141707478636</v>
          </cell>
          <cell r="AN47">
            <v>0.36921625412945869</v>
          </cell>
          <cell r="AO47">
            <v>0.45081522484234671</v>
          </cell>
          <cell r="AP47">
            <v>0.39895883629998852</v>
          </cell>
          <cell r="AQ47">
            <v>0.40817211361542005</v>
          </cell>
          <cell r="AR47">
            <v>0.43552884693313587</v>
          </cell>
          <cell r="AS47">
            <v>0.41193688500259262</v>
          </cell>
          <cell r="AT47">
            <v>0.4158639363167288</v>
          </cell>
          <cell r="AU47">
            <v>0.39396414616834374</v>
          </cell>
          <cell r="AV47">
            <v>0.36718964962959932</v>
          </cell>
          <cell r="AW47">
            <v>0.40500000000000003</v>
          </cell>
          <cell r="AX47">
            <v>0.40500000000000003</v>
          </cell>
          <cell r="AY47">
            <v>0.40500000000000003</v>
          </cell>
          <cell r="AZ47">
            <v>0.40500000000000003</v>
          </cell>
          <cell r="BA47">
            <v>0.40500000000000003</v>
          </cell>
          <cell r="BB47">
            <v>0.40500000000000003</v>
          </cell>
          <cell r="BC47">
            <v>0.40500000000000003</v>
          </cell>
          <cell r="BD47">
            <v>0.40500000000000003</v>
          </cell>
          <cell r="BE47">
            <v>0.40500000000000003</v>
          </cell>
          <cell r="BF47">
            <v>0.40500000000000003</v>
          </cell>
          <cell r="BG47">
            <v>0.40500000000000003</v>
          </cell>
          <cell r="BH47">
            <v>0.40500000000000003</v>
          </cell>
          <cell r="BI47">
            <v>0.40500000000000003</v>
          </cell>
        </row>
        <row r="48">
          <cell r="N48" t="e">
            <v>#DIV/0!</v>
          </cell>
          <cell r="O48" t="e">
            <v>#DIV/0!</v>
          </cell>
          <cell r="P48" t="e">
            <v>#DIV/0!</v>
          </cell>
          <cell r="Q48" t="e">
            <v>#DIV/0!</v>
          </cell>
          <cell r="R48" t="e">
            <v>#DIV/0!</v>
          </cell>
          <cell r="S48" t="e">
            <v>#DIV/0!</v>
          </cell>
          <cell r="T48" t="e">
            <v>#DIV/0!</v>
          </cell>
          <cell r="U48" t="e">
            <v>#DIV/0!</v>
          </cell>
          <cell r="V48" t="e">
            <v>#DIV/0!</v>
          </cell>
          <cell r="W48" t="e">
            <v>#DIV/0!</v>
          </cell>
          <cell r="X48" t="e">
            <v>#DIV/0!</v>
          </cell>
          <cell r="Y48" t="e">
            <v>#DIV/0!</v>
          </cell>
          <cell r="Z48" t="e">
            <v>#DIV/0!</v>
          </cell>
          <cell r="AA48">
            <v>0.35778817591606993</v>
          </cell>
          <cell r="AB48">
            <v>0.34994096660714868</v>
          </cell>
          <cell r="AC48">
            <v>0.25237802429002143</v>
          </cell>
          <cell r="AD48">
            <v>0.38904713988442396</v>
          </cell>
          <cell r="AE48">
            <v>0.36623525289341807</v>
          </cell>
          <cell r="AF48">
            <v>0.3666780659568627</v>
          </cell>
          <cell r="AG48">
            <v>0.37075465317626299</v>
          </cell>
          <cell r="AH48">
            <v>0.35914421382540074</v>
          </cell>
          <cell r="AI48">
            <v>0.38009976350352814</v>
          </cell>
          <cell r="AJ48">
            <v>0.24334362688961875</v>
          </cell>
          <cell r="AK48">
            <v>0.20492001956278749</v>
          </cell>
          <cell r="AL48">
            <v>0.343865805486683</v>
          </cell>
          <cell r="AM48">
            <v>0.36240128286041562</v>
          </cell>
          <cell r="AN48">
            <v>0.29211271685330553</v>
          </cell>
          <cell r="AO48">
            <v>0.19132110324800966</v>
          </cell>
          <cell r="AP48">
            <v>0.19816433811501522</v>
          </cell>
          <cell r="AQ48">
            <v>0.21080859759281256</v>
          </cell>
          <cell r="AR48">
            <v>0.25344379274699924</v>
          </cell>
          <cell r="AS48">
            <v>0.21003528335059363</v>
          </cell>
          <cell r="AT48">
            <v>0.30569493131991599</v>
          </cell>
          <cell r="AU48">
            <v>0.28541027874722225</v>
          </cell>
          <cell r="AV48">
            <v>0.20751324907926494</v>
          </cell>
          <cell r="AW48">
            <v>0.245</v>
          </cell>
          <cell r="AX48">
            <v>0.245</v>
          </cell>
          <cell r="AY48">
            <v>0.245</v>
          </cell>
          <cell r="AZ48">
            <v>0.245</v>
          </cell>
          <cell r="BA48">
            <v>0.245</v>
          </cell>
          <cell r="BB48">
            <v>0.245</v>
          </cell>
          <cell r="BC48">
            <v>0.245</v>
          </cell>
          <cell r="BD48">
            <v>0.245</v>
          </cell>
          <cell r="BE48">
            <v>0.245</v>
          </cell>
          <cell r="BF48">
            <v>0.24500000000000011</v>
          </cell>
          <cell r="BG48">
            <v>0.245</v>
          </cell>
          <cell r="BH48">
            <v>0.245</v>
          </cell>
          <cell r="BI48">
            <v>0.24500000000000011</v>
          </cell>
        </row>
        <row r="49">
          <cell r="N49" t="e">
            <v>#DIV/0!</v>
          </cell>
          <cell r="O49" t="e">
            <v>#DIV/0!</v>
          </cell>
          <cell r="P49" t="e">
            <v>#DIV/0!</v>
          </cell>
          <cell r="Q49" t="e">
            <v>#DIV/0!</v>
          </cell>
          <cell r="R49" t="e">
            <v>#DIV/0!</v>
          </cell>
          <cell r="S49" t="e">
            <v>#DIV/0!</v>
          </cell>
          <cell r="T49" t="e">
            <v>#DIV/0!</v>
          </cell>
          <cell r="U49" t="e">
            <v>#DIV/0!</v>
          </cell>
          <cell r="V49" t="e">
            <v>#DIV/0!</v>
          </cell>
          <cell r="W49" t="e">
            <v>#DIV/0!</v>
          </cell>
          <cell r="X49" t="e">
            <v>#DIV/0!</v>
          </cell>
          <cell r="Y49" t="e">
            <v>#DIV/0!</v>
          </cell>
          <cell r="Z49" t="e">
            <v>#DIV/0!</v>
          </cell>
          <cell r="AA49">
            <v>-3.2351313685383021E-2</v>
          </cell>
          <cell r="AB49">
            <v>0.13711593752334683</v>
          </cell>
          <cell r="AC49">
            <v>7.9210330362982195E-2</v>
          </cell>
          <cell r="AD49">
            <v>4.0993640447139157E-2</v>
          </cell>
          <cell r="AE49">
            <v>0.16128854279619464</v>
          </cell>
          <cell r="AF49">
            <v>0.13095785895349288</v>
          </cell>
          <cell r="AG49">
            <v>0.12910678984392832</v>
          </cell>
          <cell r="AH49">
            <v>2.20617017981104E-2</v>
          </cell>
          <cell r="AI49">
            <v>0.27084937284183541</v>
          </cell>
          <cell r="AJ49">
            <v>0.24976756980258574</v>
          </cell>
          <cell r="AK49">
            <v>0.21899670991872267</v>
          </cell>
          <cell r="AL49">
            <v>0.16262789578712522</v>
          </cell>
          <cell r="AM49">
            <v>0.16558106271206918</v>
          </cell>
          <cell r="AN49">
            <v>8.54299671073383E-2</v>
          </cell>
          <cell r="AO49">
            <v>0.16429173530844832</v>
          </cell>
          <cell r="AP49">
            <v>0.17330939194538952</v>
          </cell>
          <cell r="AQ49">
            <v>0.22874507293230317</v>
          </cell>
          <cell r="AR49">
            <v>0.20460733484749927</v>
          </cell>
          <cell r="AS49">
            <v>0.20494814426134178</v>
          </cell>
          <cell r="AT49">
            <v>0.18295383489685335</v>
          </cell>
          <cell r="AU49">
            <v>0.14536328581603786</v>
          </cell>
          <cell r="AV49">
            <v>0.10376058844732816</v>
          </cell>
          <cell r="AW49">
            <v>0.17800000000000005</v>
          </cell>
          <cell r="AX49">
            <v>0.17799999999999994</v>
          </cell>
          <cell r="AY49">
            <v>0.17800000000000005</v>
          </cell>
          <cell r="AZ49">
            <v>0.17800000000000005</v>
          </cell>
          <cell r="BA49">
            <v>0.17800000000000005</v>
          </cell>
          <cell r="BB49">
            <v>0.17800000000000005</v>
          </cell>
          <cell r="BC49">
            <v>0.17800000000000005</v>
          </cell>
          <cell r="BD49">
            <v>0.17800000000000005</v>
          </cell>
          <cell r="BE49">
            <v>0.17800000000000005</v>
          </cell>
          <cell r="BF49">
            <v>0.17800000000000005</v>
          </cell>
          <cell r="BG49">
            <v>0.17800000000000005</v>
          </cell>
          <cell r="BH49">
            <v>0.17800000000000005</v>
          </cell>
          <cell r="BI49">
            <v>0.17800000000000005</v>
          </cell>
        </row>
        <row r="50">
          <cell r="N50" t="e">
            <v>#DIV/0!</v>
          </cell>
          <cell r="O50" t="e">
            <v>#DIV/0!</v>
          </cell>
          <cell r="P50" t="e">
            <v>#DIV/0!</v>
          </cell>
          <cell r="Q50" t="e">
            <v>#DIV/0!</v>
          </cell>
          <cell r="R50" t="e">
            <v>#DIV/0!</v>
          </cell>
          <cell r="S50" t="e">
            <v>#DIV/0!</v>
          </cell>
          <cell r="T50" t="e">
            <v>#DIV/0!</v>
          </cell>
          <cell r="U50" t="e">
            <v>#DIV/0!</v>
          </cell>
          <cell r="V50" t="e">
            <v>#DIV/0!</v>
          </cell>
          <cell r="W50" t="e">
            <v>#DIV/0!</v>
          </cell>
          <cell r="X50" t="e">
            <v>#DIV/0!</v>
          </cell>
          <cell r="Y50" t="e">
            <v>#DIV/0!</v>
          </cell>
          <cell r="Z50" t="e">
            <v>#DIV/0!</v>
          </cell>
          <cell r="AA50">
            <v>-5.1439001280240149E-4</v>
          </cell>
          <cell r="AB50">
            <v>3.520828071639559E-2</v>
          </cell>
          <cell r="AC50">
            <v>-1.5847203243733121E-2</v>
          </cell>
          <cell r="AD50">
            <v>0.10596811847799825</v>
          </cell>
          <cell r="AE50">
            <v>0.14765121127195768</v>
          </cell>
          <cell r="AF50">
            <v>0.10064474276398538</v>
          </cell>
          <cell r="AG50">
            <v>0.14488305621063313</v>
          </cell>
          <cell r="AH50">
            <v>0.12728234107604797</v>
          </cell>
          <cell r="AI50">
            <v>7.3338209588753145E-2</v>
          </cell>
          <cell r="AJ50">
            <v>-1.0366261136148358E-2</v>
          </cell>
          <cell r="AK50">
            <v>0.17094644640997525</v>
          </cell>
          <cell r="AL50">
            <v>0.12970569411501021</v>
          </cell>
          <cell r="AM50">
            <v>0.12448079003805212</v>
          </cell>
          <cell r="AN50">
            <v>0.16783006311492421</v>
          </cell>
          <cell r="AO50">
            <v>3.9423449298342739E-2</v>
          </cell>
          <cell r="AP50">
            <v>-9.5045846163772651E-3</v>
          </cell>
          <cell r="AQ50">
            <v>0.12713050311085339</v>
          </cell>
          <cell r="AR50">
            <v>8.9860649562720329E-2</v>
          </cell>
          <cell r="AS50">
            <v>7.3465802985546169E-2</v>
          </cell>
          <cell r="AT50">
            <v>0.11674461676479475</v>
          </cell>
          <cell r="AU50">
            <v>0.12631486605251985</v>
          </cell>
          <cell r="AV50">
            <v>8.9134585600706195E-2</v>
          </cell>
          <cell r="AW50">
            <v>0.10399999999999998</v>
          </cell>
          <cell r="AX50">
            <v>0.10399999999999998</v>
          </cell>
          <cell r="AY50">
            <v>0.10399999999999998</v>
          </cell>
          <cell r="AZ50">
            <v>0.10399999999999987</v>
          </cell>
          <cell r="BA50">
            <v>0.10399999999999998</v>
          </cell>
          <cell r="BB50">
            <v>0.10399999999999987</v>
          </cell>
          <cell r="BC50">
            <v>0.10399999999999998</v>
          </cell>
          <cell r="BD50">
            <v>0.10399999999999998</v>
          </cell>
          <cell r="BE50">
            <v>0.10399999999999998</v>
          </cell>
          <cell r="BF50">
            <v>0.10400000000000009</v>
          </cell>
          <cell r="BG50">
            <v>0.10399999999999998</v>
          </cell>
          <cell r="BH50">
            <v>0.10399999999999998</v>
          </cell>
          <cell r="BI50">
            <v>0.10399999999999998</v>
          </cell>
        </row>
        <row r="51">
          <cell r="N51" t="e">
            <v>#DIV/0!</v>
          </cell>
          <cell r="O51" t="e">
            <v>#DIV/0!</v>
          </cell>
          <cell r="P51" t="e">
            <v>#DIV/0!</v>
          </cell>
          <cell r="Q51" t="e">
            <v>#DIV/0!</v>
          </cell>
          <cell r="R51" t="e">
            <v>#DIV/0!</v>
          </cell>
          <cell r="S51" t="e">
            <v>#DIV/0!</v>
          </cell>
          <cell r="T51" t="e">
            <v>#DIV/0!</v>
          </cell>
          <cell r="U51" t="e">
            <v>#DIV/0!</v>
          </cell>
          <cell r="V51" t="e">
            <v>#DIV/0!</v>
          </cell>
          <cell r="W51" t="e">
            <v>#DIV/0!</v>
          </cell>
          <cell r="X51" t="e">
            <v>#DIV/0!</v>
          </cell>
          <cell r="Y51" t="e">
            <v>#DIV/0!</v>
          </cell>
          <cell r="Z51" t="e">
            <v>#DIV/0!</v>
          </cell>
          <cell r="AA51">
            <v>0.22733588172678887</v>
          </cell>
          <cell r="AB51">
            <v>0.24947370935851854</v>
          </cell>
          <cell r="AC51">
            <v>0.12440857010138917</v>
          </cell>
          <cell r="AD51">
            <v>8.4064450986443551E-2</v>
          </cell>
          <cell r="AE51">
            <v>6.0014562747166322E-2</v>
          </cell>
          <cell r="AF51">
            <v>0.15638282091483757</v>
          </cell>
          <cell r="AG51">
            <v>8.9449239109889334E-2</v>
          </cell>
          <cell r="AH51">
            <v>0.16184437816502995</v>
          </cell>
          <cell r="AI51">
            <v>0.15013549472484422</v>
          </cell>
          <cell r="AJ51">
            <v>9.1183315801386056E-2</v>
          </cell>
          <cell r="AK51">
            <v>0.10528892025001435</v>
          </cell>
          <cell r="AL51">
            <v>7.2405026251639693E-2</v>
          </cell>
          <cell r="AM51">
            <v>0.13825038588311633</v>
          </cell>
          <cell r="AN51">
            <v>8.0383642788393939E-2</v>
          </cell>
          <cell r="AO51">
            <v>8.6757537967797949E-2</v>
          </cell>
          <cell r="AP51">
            <v>0.15183305417514525</v>
          </cell>
          <cell r="AQ51">
            <v>0.1378597242399151</v>
          </cell>
          <cell r="AR51">
            <v>8.1112088682251504E-2</v>
          </cell>
          <cell r="AS51">
            <v>4.6648982267245231E-2</v>
          </cell>
          <cell r="AT51">
            <v>5.7408872518498688E-2</v>
          </cell>
          <cell r="AU51">
            <v>0.10157152864471464</v>
          </cell>
          <cell r="AV51">
            <v>7.8809094956025727E-2</v>
          </cell>
          <cell r="AW51">
            <v>8.3999999999999964E-2</v>
          </cell>
          <cell r="AX51">
            <v>8.4000000000000075E-2</v>
          </cell>
          <cell r="AY51">
            <v>8.3999999999999964E-2</v>
          </cell>
          <cell r="AZ51">
            <v>8.3999999999999964E-2</v>
          </cell>
          <cell r="BA51">
            <v>8.3999999999999964E-2</v>
          </cell>
          <cell r="BB51">
            <v>8.3999999999999964E-2</v>
          </cell>
          <cell r="BC51">
            <v>8.3999999999999964E-2</v>
          </cell>
          <cell r="BD51">
            <v>8.3999999999999964E-2</v>
          </cell>
          <cell r="BE51">
            <v>8.3999999999999964E-2</v>
          </cell>
          <cell r="BF51">
            <v>8.3999999999999964E-2</v>
          </cell>
          <cell r="BG51">
            <v>8.3999999999999964E-2</v>
          </cell>
          <cell r="BH51">
            <v>8.3999999999999964E-2</v>
          </cell>
          <cell r="BI51">
            <v>8.3999999999999964E-2</v>
          </cell>
        </row>
        <row r="52">
          <cell r="N52" t="e">
            <v>#DIV/0!</v>
          </cell>
          <cell r="O52" t="e">
            <v>#DIV/0!</v>
          </cell>
          <cell r="P52" t="e">
            <v>#DIV/0!</v>
          </cell>
          <cell r="Q52" t="e">
            <v>#DIV/0!</v>
          </cell>
          <cell r="R52" t="e">
            <v>#DIV/0!</v>
          </cell>
          <cell r="S52" t="e">
            <v>#DIV/0!</v>
          </cell>
          <cell r="T52" t="e">
            <v>#DIV/0!</v>
          </cell>
          <cell r="U52" t="e">
            <v>#DIV/0!</v>
          </cell>
          <cell r="V52" t="e">
            <v>#DIV/0!</v>
          </cell>
          <cell r="W52" t="e">
            <v>#DIV/0!</v>
          </cell>
          <cell r="X52" t="e">
            <v>#DIV/0!</v>
          </cell>
          <cell r="Y52" t="e">
            <v>#DIV/0!</v>
          </cell>
          <cell r="Z52" t="e">
            <v>#DIV/0!</v>
          </cell>
          <cell r="AA52" t="e">
            <v>#DIV/0!</v>
          </cell>
          <cell r="AB52">
            <v>0.90188822100123045</v>
          </cell>
          <cell r="AC52">
            <v>0.93700234821814832</v>
          </cell>
          <cell r="AD52">
            <v>0.91930495574129567</v>
          </cell>
          <cell r="AE52">
            <v>0.8711219576549043</v>
          </cell>
          <cell r="AF52">
            <v>0.89945697051224693</v>
          </cell>
          <cell r="AG52">
            <v>0.86596253855977801</v>
          </cell>
          <cell r="AH52">
            <v>0.90238637359905893</v>
          </cell>
          <cell r="AI52">
            <v>0.89788339184139843</v>
          </cell>
          <cell r="AJ52">
            <v>0.88040390986045436</v>
          </cell>
          <cell r="AK52">
            <v>0.8649940470715749</v>
          </cell>
          <cell r="AL52">
            <v>0.86532173560522507</v>
          </cell>
          <cell r="AM52">
            <v>0.9065925098482015</v>
          </cell>
          <cell r="AN52">
            <v>0.88434784623952378</v>
          </cell>
          <cell r="AO52">
            <v>0.91748965726992959</v>
          </cell>
          <cell r="AP52">
            <v>0.88225174385242988</v>
          </cell>
          <cell r="AQ52">
            <v>0.90785108973837803</v>
          </cell>
          <cell r="AR52">
            <v>0.92270947215114929</v>
          </cell>
          <cell r="AS52">
            <v>0.92710999057573096</v>
          </cell>
          <cell r="AT52">
            <v>0.92128453867732618</v>
          </cell>
          <cell r="AU52">
            <v>0.92210184707935716</v>
          </cell>
          <cell r="AV52">
            <v>0.91721716186381641</v>
          </cell>
          <cell r="AW52">
            <v>0.92</v>
          </cell>
          <cell r="AX52">
            <v>0.92</v>
          </cell>
          <cell r="AY52">
            <v>0.92</v>
          </cell>
          <cell r="AZ52">
            <v>0.92</v>
          </cell>
          <cell r="BA52">
            <v>0.92</v>
          </cell>
          <cell r="BB52">
            <v>0.92</v>
          </cell>
          <cell r="BC52">
            <v>0.92</v>
          </cell>
          <cell r="BD52">
            <v>0.92</v>
          </cell>
          <cell r="BE52">
            <v>0.92</v>
          </cell>
          <cell r="BF52">
            <v>0.92</v>
          </cell>
          <cell r="BG52">
            <v>0.92</v>
          </cell>
          <cell r="BH52">
            <v>0.92</v>
          </cell>
          <cell r="BI52">
            <v>0.92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 Analysis vs 99"/>
      <sheetName val="Prof. AnalysisANI"/>
      <sheetName val="Prof. AnalysisLRF"/>
      <sheetName val="Balance Sheet"/>
      <sheetName val="Income Statement"/>
      <sheetName val="NB Assumption"/>
      <sheetName val="GW-Bal"/>
      <sheetName val="CF Reserves"/>
      <sheetName val="Sheet1"/>
      <sheetName val="Combined%"/>
      <sheetName val="Income"/>
      <sheetName val="Sundry"/>
      <sheetName val="BalS-Local"/>
      <sheetName val="BalS-GECS"/>
      <sheetName val="IncS-Local"/>
      <sheetName val="IncS-GECS"/>
      <sheetName val="Asset-Req"/>
      <sheetName val="Income- Req"/>
      <sheetName val="Combined Portfolio"/>
      <sheetName val="General Reserves"/>
      <sheetName val="Orig. Portfolio"/>
      <sheetName val="Good Portfolio"/>
      <sheetName val="Bad Portfolio"/>
      <sheetName val="Sheet2"/>
      <sheetName val="Goodwi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_SUM"/>
      <sheetName val="Simulation_CD"/>
      <sheetName val="SF_Loan target"/>
      <sheetName val="COA_CD"/>
      <sheetName val="RS_CD"/>
      <sheetName val="Finance Summary_CD"/>
      <sheetName val="P&amp;L Model_CD"/>
      <sheetName val="KPIs_CD"/>
      <sheetName val="P&amp;L Model_2W"/>
      <sheetName val="Finance Summary_2W"/>
      <sheetName val="KPIs_2W"/>
      <sheetName val="Notes"/>
      <sheetName val="Simulation_2W"/>
      <sheetName val="1.I_4W_product"/>
      <sheetName val="PQR Aug-19"/>
      <sheetName val="COA_TW"/>
      <sheetName val="RS_2W"/>
      <sheetName val="FX"/>
      <sheetName val="PQR Sep_20"/>
      <sheetName val="Ticket size contribution"/>
    </sheetNames>
    <sheetDataSet>
      <sheetData sheetId="0"/>
      <sheetData sheetId="1"/>
      <sheetData sheetId="2">
        <row r="13">
          <cell r="C13">
            <v>1300</v>
          </cell>
        </row>
      </sheetData>
      <sheetData sheetId="3"/>
      <sheetData sheetId="4">
        <row r="1">
          <cell r="M1">
            <v>23172.5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workbookViewId="0">
      <selection activeCell="H1" sqref="H1"/>
    </sheetView>
  </sheetViews>
  <sheetFormatPr defaultRowHeight="15" x14ac:dyDescent="0.25"/>
  <cols>
    <col min="1" max="1" width="9.140625" style="21"/>
    <col min="2" max="2" width="45.85546875" style="107" bestFit="1" customWidth="1"/>
    <col min="3" max="3" width="18.42578125" style="107" customWidth="1"/>
    <col min="4" max="4" width="20.28515625" style="107" customWidth="1"/>
    <col min="5" max="5" width="32.140625" style="107" bestFit="1" customWidth="1"/>
    <col min="6" max="6" width="33" style="120" customWidth="1"/>
  </cols>
  <sheetData>
    <row r="1" spans="1:6" ht="15.75" thickBot="1" x14ac:dyDescent="0.3">
      <c r="A1" s="144" t="s">
        <v>235</v>
      </c>
      <c r="B1" s="145" t="s">
        <v>237</v>
      </c>
      <c r="C1" s="145" t="s">
        <v>233</v>
      </c>
      <c r="D1" s="145" t="s">
        <v>234</v>
      </c>
      <c r="E1" s="145" t="s">
        <v>239</v>
      </c>
      <c r="F1" s="146" t="s">
        <v>246</v>
      </c>
    </row>
    <row r="2" spans="1:6" ht="15.75" thickTop="1" x14ac:dyDescent="0.25">
      <c r="A2" s="139">
        <v>1</v>
      </c>
      <c r="B2" s="132" t="s">
        <v>215</v>
      </c>
      <c r="C2" s="133" t="s">
        <v>249</v>
      </c>
      <c r="D2" s="133" t="s">
        <v>249</v>
      </c>
      <c r="E2" s="132" t="s">
        <v>241</v>
      </c>
      <c r="F2" s="140" t="s">
        <v>248</v>
      </c>
    </row>
    <row r="3" spans="1:6" ht="45" x14ac:dyDescent="0.25">
      <c r="A3" s="141">
        <v>2</v>
      </c>
      <c r="B3" s="134" t="s">
        <v>253</v>
      </c>
      <c r="C3" s="135" t="s">
        <v>254</v>
      </c>
      <c r="D3" s="135" t="s">
        <v>254</v>
      </c>
      <c r="E3" s="134"/>
      <c r="F3" s="142" t="s">
        <v>255</v>
      </c>
    </row>
    <row r="4" spans="1:6" ht="30" x14ac:dyDescent="0.25">
      <c r="A4" s="141">
        <v>3</v>
      </c>
      <c r="B4" s="134" t="s">
        <v>214</v>
      </c>
      <c r="C4" s="136" t="s">
        <v>249</v>
      </c>
      <c r="D4" s="136" t="s">
        <v>249</v>
      </c>
      <c r="E4" s="132" t="s">
        <v>241</v>
      </c>
      <c r="F4" s="142" t="s">
        <v>260</v>
      </c>
    </row>
    <row r="5" spans="1:6" x14ac:dyDescent="0.25">
      <c r="A5" s="141">
        <v>4</v>
      </c>
      <c r="B5" s="134" t="s">
        <v>236</v>
      </c>
      <c r="C5" s="136" t="s">
        <v>249</v>
      </c>
      <c r="D5" s="136" t="s">
        <v>249</v>
      </c>
      <c r="E5" s="134" t="s">
        <v>240</v>
      </c>
      <c r="F5" s="142" t="s">
        <v>248</v>
      </c>
    </row>
    <row r="6" spans="1:6" x14ac:dyDescent="0.25">
      <c r="A6" s="141">
        <v>5</v>
      </c>
      <c r="B6" s="134" t="s">
        <v>238</v>
      </c>
      <c r="C6" s="136" t="s">
        <v>249</v>
      </c>
      <c r="D6" s="136" t="s">
        <v>249</v>
      </c>
      <c r="E6" s="134" t="s">
        <v>240</v>
      </c>
      <c r="F6" s="142" t="s">
        <v>248</v>
      </c>
    </row>
    <row r="7" spans="1:6" x14ac:dyDescent="0.25">
      <c r="A7" s="141">
        <v>6</v>
      </c>
      <c r="B7" s="134" t="s">
        <v>242</v>
      </c>
      <c r="C7" s="136" t="s">
        <v>249</v>
      </c>
      <c r="D7" s="136" t="s">
        <v>249</v>
      </c>
      <c r="E7" s="134" t="s">
        <v>243</v>
      </c>
      <c r="F7" s="142" t="s">
        <v>248</v>
      </c>
    </row>
    <row r="8" spans="1:6" x14ac:dyDescent="0.25">
      <c r="A8" s="141">
        <v>7</v>
      </c>
      <c r="B8" s="134" t="s">
        <v>244</v>
      </c>
      <c r="C8" s="136" t="s">
        <v>249</v>
      </c>
      <c r="D8" s="136" t="s">
        <v>249</v>
      </c>
      <c r="E8" s="134" t="s">
        <v>243</v>
      </c>
      <c r="F8" s="142" t="s">
        <v>248</v>
      </c>
    </row>
    <row r="9" spans="1:6" x14ac:dyDescent="0.25">
      <c r="A9" s="141">
        <v>8</v>
      </c>
      <c r="B9" s="134" t="s">
        <v>250</v>
      </c>
      <c r="C9" s="136" t="s">
        <v>249</v>
      </c>
      <c r="D9" s="136" t="s">
        <v>249</v>
      </c>
      <c r="E9" s="134" t="s">
        <v>243</v>
      </c>
      <c r="F9" s="142" t="s">
        <v>248</v>
      </c>
    </row>
    <row r="10" spans="1:6" x14ac:dyDescent="0.25">
      <c r="A10" s="141">
        <v>9</v>
      </c>
      <c r="B10" s="134" t="s">
        <v>251</v>
      </c>
      <c r="C10" s="136" t="s">
        <v>249</v>
      </c>
      <c r="D10" s="136" t="s">
        <v>249</v>
      </c>
      <c r="E10" s="134" t="s">
        <v>243</v>
      </c>
      <c r="F10" s="142" t="s">
        <v>248</v>
      </c>
    </row>
    <row r="11" spans="1:6" ht="180" x14ac:dyDescent="0.25">
      <c r="A11" s="141">
        <v>10</v>
      </c>
      <c r="B11" s="134" t="s">
        <v>247</v>
      </c>
      <c r="C11" s="136" t="s">
        <v>249</v>
      </c>
      <c r="D11" s="136" t="s">
        <v>249</v>
      </c>
      <c r="E11" s="134" t="s">
        <v>257</v>
      </c>
      <c r="F11" s="142" t="s">
        <v>256</v>
      </c>
    </row>
    <row r="12" spans="1:6" x14ac:dyDescent="0.25">
      <c r="A12" s="141">
        <v>11</v>
      </c>
      <c r="B12" s="134" t="s">
        <v>169</v>
      </c>
      <c r="C12" s="136" t="s">
        <v>249</v>
      </c>
      <c r="D12" s="136" t="s">
        <v>249</v>
      </c>
      <c r="E12" s="134" t="s">
        <v>245</v>
      </c>
      <c r="F12" s="142" t="s">
        <v>248</v>
      </c>
    </row>
    <row r="13" spans="1:6" ht="15.75" thickBot="1" x14ac:dyDescent="0.3">
      <c r="A13" s="147">
        <v>12</v>
      </c>
      <c r="B13" s="137" t="s">
        <v>258</v>
      </c>
      <c r="C13" s="138" t="s">
        <v>259</v>
      </c>
      <c r="D13" s="138" t="s">
        <v>259</v>
      </c>
      <c r="E13" s="137"/>
      <c r="F13" s="143"/>
    </row>
    <row r="14" spans="1:6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5"/>
  <sheetViews>
    <sheetView workbookViewId="0">
      <selection activeCell="C14" sqref="C14"/>
    </sheetView>
  </sheetViews>
  <sheetFormatPr defaultRowHeight="15" x14ac:dyDescent="0.25"/>
  <cols>
    <col min="1" max="1" width="29.140625" style="21" customWidth="1"/>
    <col min="2" max="2" width="12.42578125" style="21" bestFit="1" customWidth="1"/>
    <col min="3" max="3" width="14.85546875" style="21" bestFit="1" customWidth="1"/>
    <col min="4" max="4" width="11.5703125" style="21" bestFit="1" customWidth="1"/>
    <col min="5" max="5" width="11.85546875" style="21" bestFit="1" customWidth="1"/>
    <col min="6" max="6" width="10" style="21" bestFit="1" customWidth="1"/>
    <col min="7" max="7" width="16.140625" style="21" customWidth="1"/>
    <col min="8" max="8" width="12.7109375" style="21" customWidth="1"/>
    <col min="9" max="9" width="19.5703125" style="21" bestFit="1" customWidth="1"/>
    <col min="10" max="10" width="27.42578125" style="21" bestFit="1" customWidth="1"/>
    <col min="11" max="11" width="10.140625" style="21" bestFit="1" customWidth="1"/>
    <col min="12" max="12" width="14" style="21" customWidth="1"/>
    <col min="13" max="13" width="13.7109375" style="21" customWidth="1"/>
    <col min="14" max="14" width="22.28515625" style="159" customWidth="1"/>
    <col min="15" max="15" width="17.7109375" style="21" customWidth="1"/>
    <col min="16" max="21" width="9.85546875" style="21" bestFit="1" customWidth="1"/>
  </cols>
  <sheetData>
    <row r="1" spans="1:21" x14ac:dyDescent="0.25">
      <c r="A1" s="152" t="s">
        <v>252</v>
      </c>
    </row>
    <row r="2" spans="1:21" s="47" customFormat="1" ht="30" x14ac:dyDescent="0.25">
      <c r="A2" s="44" t="s">
        <v>116</v>
      </c>
      <c r="B2" s="44" t="s">
        <v>117</v>
      </c>
      <c r="C2" s="44" t="s">
        <v>118</v>
      </c>
      <c r="D2" s="44" t="s">
        <v>113</v>
      </c>
      <c r="E2" s="44"/>
      <c r="F2" s="44"/>
      <c r="G2" s="44" t="s">
        <v>119</v>
      </c>
      <c r="H2" s="45" t="s">
        <v>115</v>
      </c>
      <c r="I2" s="44" t="s">
        <v>120</v>
      </c>
      <c r="J2" s="44" t="s">
        <v>265</v>
      </c>
      <c r="K2" s="44" t="s">
        <v>277</v>
      </c>
      <c r="L2" s="44" t="s">
        <v>171</v>
      </c>
      <c r="M2" s="44" t="s">
        <v>170</v>
      </c>
      <c r="N2" s="160" t="s">
        <v>268</v>
      </c>
      <c r="O2" s="46" t="s">
        <v>169</v>
      </c>
      <c r="P2" s="44" t="s">
        <v>277</v>
      </c>
      <c r="Q2" s="44" t="s">
        <v>277</v>
      </c>
      <c r="R2" s="44" t="s">
        <v>277</v>
      </c>
      <c r="S2" s="44" t="s">
        <v>277</v>
      </c>
      <c r="T2" s="44" t="s">
        <v>277</v>
      </c>
      <c r="U2" s="44" t="s">
        <v>277</v>
      </c>
    </row>
    <row r="3" spans="1:21" x14ac:dyDescent="0.25">
      <c r="A3" s="171" t="s">
        <v>229</v>
      </c>
      <c r="B3" s="171"/>
      <c r="C3" s="171"/>
      <c r="D3" s="171"/>
      <c r="J3" s="23"/>
    </row>
    <row r="4" spans="1:21" x14ac:dyDescent="0.25">
      <c r="A4" s="24">
        <f>+'subvention+booking final'!C5</f>
        <v>44116</v>
      </c>
    </row>
    <row r="5" spans="1:21" s="4" customFormat="1" x14ac:dyDescent="0.25">
      <c r="A5" s="25" t="s">
        <v>93</v>
      </c>
      <c r="B5" s="25" t="s">
        <v>6</v>
      </c>
      <c r="C5" s="25" t="s">
        <v>94</v>
      </c>
      <c r="D5" s="25" t="s">
        <v>95</v>
      </c>
      <c r="E5" s="25" t="s">
        <v>96</v>
      </c>
      <c r="F5" s="25" t="s">
        <v>97</v>
      </c>
      <c r="G5" s="25" t="s">
        <v>98</v>
      </c>
      <c r="H5" s="25" t="s">
        <v>99</v>
      </c>
      <c r="I5" s="25" t="s">
        <v>100</v>
      </c>
      <c r="J5" s="25" t="s">
        <v>101</v>
      </c>
      <c r="K5" s="25" t="s">
        <v>102</v>
      </c>
      <c r="L5" s="25" t="s">
        <v>103</v>
      </c>
      <c r="M5" s="25" t="s">
        <v>104</v>
      </c>
      <c r="N5" s="158" t="s">
        <v>105</v>
      </c>
      <c r="O5" s="25" t="s">
        <v>106</v>
      </c>
      <c r="P5" s="25" t="s">
        <v>107</v>
      </c>
      <c r="Q5" s="25" t="s">
        <v>108</v>
      </c>
      <c r="R5" s="25" t="s">
        <v>109</v>
      </c>
      <c r="S5" s="25" t="s">
        <v>110</v>
      </c>
      <c r="T5" s="25" t="s">
        <v>111</v>
      </c>
      <c r="U5" s="25" t="s">
        <v>112</v>
      </c>
    </row>
    <row r="6" spans="1:21" ht="45" x14ac:dyDescent="0.25">
      <c r="A6" s="21" t="str">
        <f>+'subvention+booking final'!D6</f>
        <v xml:space="preserve">Bank GL      </v>
      </c>
      <c r="B6" s="155" t="str">
        <f>MONTH($A$4)&amp;YEAR($A$4)</f>
        <v>102020</v>
      </c>
      <c r="C6" s="21" t="str">
        <f>+DAY($A$4)&amp;MONTH($A$4)&amp;YEAR($A$4)</f>
        <v>12102020</v>
      </c>
      <c r="D6" s="21" t="s">
        <v>113</v>
      </c>
      <c r="E6" s="21">
        <f>'subvention+booking final'!F6</f>
        <v>638000</v>
      </c>
      <c r="F6" s="21">
        <f t="shared" ref="F6:F10" si="0">+E6</f>
        <v>638000</v>
      </c>
      <c r="G6" s="21" t="s">
        <v>114</v>
      </c>
      <c r="H6" s="22" t="s">
        <v>115</v>
      </c>
      <c r="I6" s="21" t="str">
        <f t="shared" ref="I6:I10" si="1">H6&amp;C6</f>
        <v>LMSS12102020</v>
      </c>
      <c r="J6" s="21" t="s">
        <v>123</v>
      </c>
      <c r="L6" s="21" t="s">
        <v>264</v>
      </c>
      <c r="M6" s="21" t="s">
        <v>266</v>
      </c>
      <c r="N6" s="159" t="s">
        <v>267</v>
      </c>
      <c r="O6" s="159" t="s">
        <v>276</v>
      </c>
    </row>
    <row r="7" spans="1:21" ht="45" x14ac:dyDescent="0.25">
      <c r="A7" s="21">
        <f>+'subvention+booking final'!D7</f>
        <v>3391401000</v>
      </c>
      <c r="B7" s="155" t="str">
        <f t="shared" ref="B7:B10" si="2">MONTH($A$4)&amp;YEAR($A$4)</f>
        <v>102020</v>
      </c>
      <c r="C7" s="21" t="str">
        <f t="shared" ref="C7:C10" si="3">+DAY($A$4)&amp;MONTH($A$4)&amp;YEAR($A$4)</f>
        <v>12102020</v>
      </c>
      <c r="D7" s="21" t="s">
        <v>113</v>
      </c>
      <c r="E7" s="21">
        <f>'subvention+booking final'!F7</f>
        <v>58000</v>
      </c>
      <c r="F7" s="21">
        <f t="shared" si="0"/>
        <v>58000</v>
      </c>
      <c r="G7" s="21" t="str">
        <f>+IF('subvention+booking final'!B7="Debit","D","C")</f>
        <v>C</v>
      </c>
      <c r="H7" s="22" t="s">
        <v>115</v>
      </c>
      <c r="I7" s="21" t="str">
        <f t="shared" si="1"/>
        <v>LMSS12102020</v>
      </c>
      <c r="J7" s="21" t="s">
        <v>123</v>
      </c>
      <c r="L7" s="21" t="s">
        <v>264</v>
      </c>
      <c r="M7" s="21" t="s">
        <v>266</v>
      </c>
      <c r="N7" s="159" t="s">
        <v>267</v>
      </c>
      <c r="O7" s="159" t="s">
        <v>276</v>
      </c>
    </row>
    <row r="8" spans="1:21" ht="45" x14ac:dyDescent="0.25">
      <c r="A8" s="21">
        <f>+'subvention+booking final'!D8</f>
        <v>4774080001</v>
      </c>
      <c r="B8" s="155" t="str">
        <f t="shared" si="2"/>
        <v>102020</v>
      </c>
      <c r="C8" s="21" t="str">
        <f t="shared" si="3"/>
        <v>12102020</v>
      </c>
      <c r="D8" s="21" t="s">
        <v>113</v>
      </c>
      <c r="E8" s="21">
        <f>'subvention+booking final'!F8</f>
        <v>580000</v>
      </c>
      <c r="F8" s="21">
        <f t="shared" si="0"/>
        <v>580000</v>
      </c>
      <c r="G8" s="21" t="str">
        <f>+IF('subvention+booking final'!B8="Debit","D","C")</f>
        <v>C</v>
      </c>
      <c r="H8" s="22" t="s">
        <v>115</v>
      </c>
      <c r="I8" s="21" t="str">
        <f t="shared" si="1"/>
        <v>LMSS12102020</v>
      </c>
      <c r="J8" s="21" t="s">
        <v>123</v>
      </c>
      <c r="L8" s="21" t="s">
        <v>264</v>
      </c>
      <c r="M8" s="21" t="s">
        <v>266</v>
      </c>
      <c r="N8" s="159" t="s">
        <v>267</v>
      </c>
      <c r="O8" s="159" t="s">
        <v>276</v>
      </c>
    </row>
    <row r="9" spans="1:21" ht="45" x14ac:dyDescent="0.25">
      <c r="A9" s="21">
        <f>+'subvention+booking final'!D10</f>
        <v>4774070001</v>
      </c>
      <c r="B9" s="155" t="str">
        <f t="shared" si="2"/>
        <v>102020</v>
      </c>
      <c r="C9" s="21" t="str">
        <f t="shared" si="3"/>
        <v>12102020</v>
      </c>
      <c r="D9" s="21" t="s">
        <v>113</v>
      </c>
      <c r="E9" s="21">
        <f>'subvention+booking final'!F10</f>
        <v>580000</v>
      </c>
      <c r="F9" s="21">
        <f t="shared" si="0"/>
        <v>580000</v>
      </c>
      <c r="G9" s="21" t="s">
        <v>114</v>
      </c>
      <c r="H9" s="22" t="s">
        <v>115</v>
      </c>
      <c r="I9" s="21" t="str">
        <f t="shared" si="1"/>
        <v>LMSS12102020</v>
      </c>
      <c r="J9" s="21" t="s">
        <v>123</v>
      </c>
      <c r="L9" s="21" t="s">
        <v>264</v>
      </c>
      <c r="M9" s="21" t="s">
        <v>266</v>
      </c>
      <c r="N9" s="159" t="s">
        <v>267</v>
      </c>
      <c r="O9" s="159" t="s">
        <v>276</v>
      </c>
    </row>
    <row r="10" spans="1:21" ht="45" x14ac:dyDescent="0.25">
      <c r="A10" s="21">
        <f>+'subvention+booking final'!D11</f>
        <v>3393010001</v>
      </c>
      <c r="B10" s="155" t="str">
        <f t="shared" si="2"/>
        <v>102020</v>
      </c>
      <c r="C10" s="21" t="str">
        <f t="shared" si="3"/>
        <v>12102020</v>
      </c>
      <c r="D10" s="21" t="s">
        <v>113</v>
      </c>
      <c r="E10" s="21">
        <f>'subvention+booking final'!F11</f>
        <v>580000</v>
      </c>
      <c r="F10" s="21">
        <f t="shared" si="0"/>
        <v>580000</v>
      </c>
      <c r="G10" s="21" t="s">
        <v>121</v>
      </c>
      <c r="H10" s="22" t="s">
        <v>115</v>
      </c>
      <c r="I10" s="21" t="str">
        <f t="shared" si="1"/>
        <v>LMSS12102020</v>
      </c>
      <c r="J10" s="21" t="s">
        <v>123</v>
      </c>
      <c r="L10" s="21" t="s">
        <v>264</v>
      </c>
      <c r="M10" s="21" t="s">
        <v>266</v>
      </c>
      <c r="N10" s="159" t="s">
        <v>267</v>
      </c>
      <c r="O10" s="159" t="s">
        <v>276</v>
      </c>
    </row>
    <row r="12" spans="1:21" x14ac:dyDescent="0.25">
      <c r="A12" s="24">
        <f>+'subvention+booking final'!C13</f>
        <v>44135</v>
      </c>
      <c r="B12" s="27" t="str">
        <f>+'subvention+booking final'!D13</f>
        <v>Note: generate GL at month end date. Starting amortisation at the month of first EMI</v>
      </c>
    </row>
    <row r="13" spans="1:21" s="4" customFormat="1" x14ac:dyDescent="0.25">
      <c r="A13" s="25" t="s">
        <v>93</v>
      </c>
      <c r="B13" s="25" t="s">
        <v>6</v>
      </c>
      <c r="C13" s="25" t="s">
        <v>94</v>
      </c>
      <c r="D13" s="25" t="s">
        <v>95</v>
      </c>
      <c r="E13" s="25" t="s">
        <v>96</v>
      </c>
      <c r="F13" s="25" t="s">
        <v>97</v>
      </c>
      <c r="G13" s="25" t="s">
        <v>98</v>
      </c>
      <c r="H13" s="25" t="s">
        <v>99</v>
      </c>
      <c r="I13" s="25" t="s">
        <v>100</v>
      </c>
      <c r="J13" s="25" t="s">
        <v>101</v>
      </c>
      <c r="K13" s="25" t="s">
        <v>102</v>
      </c>
      <c r="L13" s="25" t="s">
        <v>103</v>
      </c>
      <c r="M13" s="25" t="s">
        <v>104</v>
      </c>
      <c r="N13" s="158" t="s">
        <v>105</v>
      </c>
      <c r="O13" s="25" t="s">
        <v>106</v>
      </c>
      <c r="P13" s="25" t="s">
        <v>107</v>
      </c>
      <c r="Q13" s="25" t="s">
        <v>108</v>
      </c>
      <c r="R13" s="25" t="s">
        <v>109</v>
      </c>
      <c r="S13" s="25" t="s">
        <v>110</v>
      </c>
      <c r="T13" s="25" t="s">
        <v>111</v>
      </c>
      <c r="U13" s="25" t="s">
        <v>112</v>
      </c>
    </row>
    <row r="14" spans="1:21" ht="45" x14ac:dyDescent="0.25">
      <c r="A14" s="21">
        <f>+'subvention+booking final'!D14</f>
        <v>3393010001</v>
      </c>
      <c r="B14" s="155" t="str">
        <f>MONTH($A$12)&amp;YEAR($A$12)</f>
        <v>102020</v>
      </c>
      <c r="C14" s="21" t="str">
        <f>+DAY($A$12)&amp;MONTH($A$12)&amp;YEAR($A$12)</f>
        <v>31102020</v>
      </c>
      <c r="D14" s="21" t="s">
        <v>113</v>
      </c>
      <c r="E14" s="21">
        <f>'subvention+booking final'!F14</f>
        <v>75972</v>
      </c>
      <c r="F14" s="21">
        <f>+E14</f>
        <v>75972</v>
      </c>
      <c r="G14" s="21" t="s">
        <v>114</v>
      </c>
      <c r="H14" s="22" t="s">
        <v>115</v>
      </c>
      <c r="I14" s="21" t="str">
        <f t="shared" ref="I14:I15" si="4">H14&amp;C14</f>
        <v>LMSS31102020</v>
      </c>
      <c r="J14" s="21" t="s">
        <v>124</v>
      </c>
      <c r="L14" s="21" t="s">
        <v>264</v>
      </c>
      <c r="M14" s="21" t="s">
        <v>266</v>
      </c>
      <c r="N14" s="159" t="s">
        <v>267</v>
      </c>
      <c r="O14" s="159" t="s">
        <v>276</v>
      </c>
    </row>
    <row r="15" spans="1:21" ht="45" x14ac:dyDescent="0.25">
      <c r="A15" s="21">
        <f>+'subvention+booking final'!D15</f>
        <v>4774070001</v>
      </c>
      <c r="B15" s="155" t="str">
        <f>MONTH($A$12)&amp;YEAR($A$12)</f>
        <v>102020</v>
      </c>
      <c r="C15" s="21" t="str">
        <f>+DAY($A$12)&amp;MONTH($A$12)&amp;YEAR($A$12)</f>
        <v>31102020</v>
      </c>
      <c r="D15" s="21" t="s">
        <v>113</v>
      </c>
      <c r="E15" s="21">
        <f>'subvention+booking final'!F15</f>
        <v>75972</v>
      </c>
      <c r="F15" s="21">
        <f>+E15</f>
        <v>75972</v>
      </c>
      <c r="G15" s="21" t="s">
        <v>121</v>
      </c>
      <c r="H15" s="22" t="s">
        <v>115</v>
      </c>
      <c r="I15" s="21" t="str">
        <f t="shared" si="4"/>
        <v>LMSS31102020</v>
      </c>
      <c r="J15" s="21" t="s">
        <v>124</v>
      </c>
      <c r="L15" s="21" t="s">
        <v>264</v>
      </c>
      <c r="M15" s="21" t="s">
        <v>266</v>
      </c>
      <c r="N15" s="159" t="s">
        <v>267</v>
      </c>
      <c r="O15" s="159" t="s">
        <v>276</v>
      </c>
    </row>
    <row r="17" spans="1:21" x14ac:dyDescent="0.25">
      <c r="A17" s="24">
        <f>+'subvention+booking final'!C17</f>
        <v>44165</v>
      </c>
      <c r="B17" s="27" t="str">
        <f>+'subvention+booking final'!D17</f>
        <v>Note: generate GL at month end date</v>
      </c>
    </row>
    <row r="18" spans="1:21" s="4" customFormat="1" x14ac:dyDescent="0.25">
      <c r="A18" s="25" t="s">
        <v>93</v>
      </c>
      <c r="B18" s="25" t="s">
        <v>6</v>
      </c>
      <c r="C18" s="25" t="s">
        <v>94</v>
      </c>
      <c r="D18" s="25" t="s">
        <v>95</v>
      </c>
      <c r="E18" s="25" t="s">
        <v>96</v>
      </c>
      <c r="F18" s="25" t="s">
        <v>97</v>
      </c>
      <c r="G18" s="25" t="s">
        <v>98</v>
      </c>
      <c r="H18" s="25" t="s">
        <v>99</v>
      </c>
      <c r="I18" s="25" t="s">
        <v>100</v>
      </c>
      <c r="J18" s="25" t="s">
        <v>101</v>
      </c>
      <c r="K18" s="25" t="s">
        <v>102</v>
      </c>
      <c r="L18" s="25" t="s">
        <v>103</v>
      </c>
      <c r="M18" s="25" t="s">
        <v>104</v>
      </c>
      <c r="N18" s="158" t="s">
        <v>105</v>
      </c>
      <c r="O18" s="25" t="s">
        <v>106</v>
      </c>
      <c r="P18" s="25" t="s">
        <v>107</v>
      </c>
      <c r="Q18" s="25" t="s">
        <v>108</v>
      </c>
      <c r="R18" s="25" t="s">
        <v>109</v>
      </c>
      <c r="S18" s="25" t="s">
        <v>110</v>
      </c>
      <c r="T18" s="25" t="s">
        <v>111</v>
      </c>
      <c r="U18" s="25" t="s">
        <v>112</v>
      </c>
    </row>
    <row r="19" spans="1:21" ht="45" x14ac:dyDescent="0.25">
      <c r="A19" s="21">
        <f>+'subvention+booking final'!D18</f>
        <v>3393010001</v>
      </c>
      <c r="B19" s="155" t="str">
        <f>MONTH($A$17)&amp;YEAR($A$17)</f>
        <v>112020</v>
      </c>
      <c r="C19" s="21" t="str">
        <f>+DAY($A$17)&amp;MONTH($A$17)&amp;YEAR($A$17)</f>
        <v>30112020</v>
      </c>
      <c r="D19" s="21" t="s">
        <v>113</v>
      </c>
      <c r="E19" s="21">
        <f>'subvention+booking final'!F18</f>
        <v>72613</v>
      </c>
      <c r="F19" s="21">
        <f>+E19</f>
        <v>72613</v>
      </c>
      <c r="G19" s="21" t="s">
        <v>114</v>
      </c>
      <c r="H19" s="22" t="s">
        <v>115</v>
      </c>
      <c r="I19" s="21" t="str">
        <f t="shared" ref="I19:I20" si="5">H19&amp;C19</f>
        <v>LMSS30112020</v>
      </c>
      <c r="J19" s="21" t="s">
        <v>124</v>
      </c>
      <c r="L19" s="21" t="s">
        <v>264</v>
      </c>
      <c r="M19" s="21" t="s">
        <v>266</v>
      </c>
      <c r="N19" s="159" t="s">
        <v>267</v>
      </c>
      <c r="O19" s="159" t="s">
        <v>276</v>
      </c>
    </row>
    <row r="20" spans="1:21" ht="45" x14ac:dyDescent="0.25">
      <c r="A20" s="21">
        <f>+'subvention+booking final'!D19</f>
        <v>4774070001</v>
      </c>
      <c r="B20" s="155" t="str">
        <f>MONTH($A$17)&amp;YEAR($A$17)</f>
        <v>112020</v>
      </c>
      <c r="C20" s="21" t="str">
        <f>+DAY($A$17)&amp;MONTH($A$17)&amp;YEAR($A$17)</f>
        <v>30112020</v>
      </c>
      <c r="D20" s="21" t="s">
        <v>113</v>
      </c>
      <c r="E20" s="21">
        <f>'subvention+booking final'!F19</f>
        <v>72613</v>
      </c>
      <c r="F20" s="21">
        <f>+E20</f>
        <v>72613</v>
      </c>
      <c r="G20" s="21" t="s">
        <v>121</v>
      </c>
      <c r="H20" s="22" t="s">
        <v>115</v>
      </c>
      <c r="I20" s="21" t="str">
        <f t="shared" si="5"/>
        <v>LMSS30112020</v>
      </c>
      <c r="J20" s="21" t="s">
        <v>124</v>
      </c>
      <c r="L20" s="21" t="s">
        <v>264</v>
      </c>
      <c r="M20" s="21" t="s">
        <v>266</v>
      </c>
      <c r="N20" s="159" t="s">
        <v>267</v>
      </c>
      <c r="O20" s="159" t="s">
        <v>276</v>
      </c>
    </row>
    <row r="23" spans="1:21" x14ac:dyDescent="0.25">
      <c r="A23" s="26" t="str">
        <f>'subvention+booking final'!C21</f>
        <v>at WO/ET date</v>
      </c>
      <c r="B23" s="27" t="s">
        <v>262</v>
      </c>
      <c r="C23" s="156">
        <v>44180</v>
      </c>
    </row>
    <row r="24" spans="1:21" s="4" customFormat="1" x14ac:dyDescent="0.25">
      <c r="A24" s="25" t="s">
        <v>93</v>
      </c>
      <c r="B24" s="25" t="s">
        <v>6</v>
      </c>
      <c r="C24" s="25" t="s">
        <v>94</v>
      </c>
      <c r="D24" s="25" t="s">
        <v>95</v>
      </c>
      <c r="E24" s="25" t="s">
        <v>96</v>
      </c>
      <c r="F24" s="25" t="s">
        <v>97</v>
      </c>
      <c r="G24" s="25" t="s">
        <v>98</v>
      </c>
      <c r="H24" s="25" t="s">
        <v>99</v>
      </c>
      <c r="I24" s="25" t="s">
        <v>100</v>
      </c>
      <c r="J24" s="25" t="s">
        <v>101</v>
      </c>
      <c r="K24" s="25" t="s">
        <v>102</v>
      </c>
      <c r="L24" s="25" t="s">
        <v>103</v>
      </c>
      <c r="M24" s="25" t="s">
        <v>104</v>
      </c>
      <c r="N24" s="158" t="s">
        <v>105</v>
      </c>
      <c r="O24" s="25" t="s">
        <v>106</v>
      </c>
      <c r="P24" s="25" t="s">
        <v>107</v>
      </c>
      <c r="Q24" s="25" t="s">
        <v>108</v>
      </c>
      <c r="R24" s="25" t="s">
        <v>109</v>
      </c>
      <c r="S24" s="25" t="s">
        <v>110</v>
      </c>
      <c r="T24" s="25" t="s">
        <v>111</v>
      </c>
      <c r="U24" s="25" t="s">
        <v>112</v>
      </c>
    </row>
    <row r="25" spans="1:21" ht="45" x14ac:dyDescent="0.25">
      <c r="A25" s="21">
        <f>+'subvention+booking final'!D22</f>
        <v>3393010001</v>
      </c>
      <c r="B25" s="155" t="str">
        <f>MONTH($C$23)&amp;YEAR($C$23)</f>
        <v>122020</v>
      </c>
      <c r="C25" s="21" t="str">
        <f>+DAY($C$23)&amp;MONTH($C$23)&amp;YEAR($C$23)</f>
        <v>15122020</v>
      </c>
      <c r="D25" s="21" t="s">
        <v>113</v>
      </c>
      <c r="E25" s="21">
        <f>'subvention+booking final'!F22</f>
        <v>431415</v>
      </c>
      <c r="F25" s="21">
        <f>+E25</f>
        <v>431415</v>
      </c>
      <c r="G25" s="21" t="s">
        <v>114</v>
      </c>
      <c r="H25" s="22" t="s">
        <v>115</v>
      </c>
      <c r="I25" s="21" t="str">
        <f>+H25&amp;C25</f>
        <v>LMSS15122020</v>
      </c>
      <c r="J25" s="21" t="s">
        <v>124</v>
      </c>
      <c r="L25" s="21" t="s">
        <v>264</v>
      </c>
      <c r="M25" s="21" t="s">
        <v>266</v>
      </c>
      <c r="N25" s="159" t="s">
        <v>267</v>
      </c>
      <c r="O25" s="159" t="s">
        <v>276</v>
      </c>
    </row>
    <row r="26" spans="1:21" ht="45" x14ac:dyDescent="0.25">
      <c r="A26" s="21">
        <f>+'subvention+booking final'!D23</f>
        <v>4774070001</v>
      </c>
      <c r="B26" s="155" t="str">
        <f>MONTH($C$23)&amp;YEAR($C$23)</f>
        <v>122020</v>
      </c>
      <c r="C26" s="21" t="str">
        <f>+DAY($C$23)&amp;MONTH($C$23)&amp;YEAR($C$23)</f>
        <v>15122020</v>
      </c>
      <c r="D26" s="21" t="s">
        <v>113</v>
      </c>
      <c r="E26" s="21">
        <f>'subvention+booking final'!F23</f>
        <v>431415</v>
      </c>
      <c r="F26" s="21">
        <f>+E26</f>
        <v>431415</v>
      </c>
      <c r="G26" s="21" t="s">
        <v>121</v>
      </c>
      <c r="H26" s="22" t="s">
        <v>115</v>
      </c>
      <c r="I26" s="21" t="str">
        <f t="shared" ref="I26" si="6">+H26&amp;C26</f>
        <v>LMSS15122020</v>
      </c>
      <c r="J26" s="21" t="s">
        <v>124</v>
      </c>
      <c r="L26" s="21" t="s">
        <v>264</v>
      </c>
      <c r="M26" s="21" t="s">
        <v>266</v>
      </c>
      <c r="N26" s="159" t="s">
        <v>267</v>
      </c>
      <c r="O26" s="159" t="s">
        <v>276</v>
      </c>
    </row>
    <row r="27" spans="1:21" x14ac:dyDescent="0.25">
      <c r="B27" s="155"/>
      <c r="H27" s="22"/>
    </row>
    <row r="28" spans="1:21" x14ac:dyDescent="0.25">
      <c r="A28" s="24">
        <f>'subvention+booking final'!C25</f>
        <v>44104</v>
      </c>
      <c r="B28" s="27" t="str">
        <f>'subvention+booking final'!A25</f>
        <v>Closed at Maturity date</v>
      </c>
      <c r="C28" s="156"/>
    </row>
    <row r="29" spans="1:21" s="4" customFormat="1" x14ac:dyDescent="0.25">
      <c r="A29" s="25" t="s">
        <v>93</v>
      </c>
      <c r="B29" s="25" t="s">
        <v>6</v>
      </c>
      <c r="C29" s="25" t="s">
        <v>94</v>
      </c>
      <c r="D29" s="25" t="s">
        <v>95</v>
      </c>
      <c r="E29" s="25" t="s">
        <v>96</v>
      </c>
      <c r="F29" s="25" t="s">
        <v>97</v>
      </c>
      <c r="G29" s="25" t="s">
        <v>98</v>
      </c>
      <c r="H29" s="25" t="s">
        <v>99</v>
      </c>
      <c r="I29" s="25" t="s">
        <v>100</v>
      </c>
      <c r="J29" s="25" t="s">
        <v>101</v>
      </c>
      <c r="K29" s="25" t="s">
        <v>102</v>
      </c>
      <c r="L29" s="25" t="s">
        <v>103</v>
      </c>
      <c r="M29" s="25" t="s">
        <v>104</v>
      </c>
      <c r="N29" s="158" t="s">
        <v>105</v>
      </c>
      <c r="O29" s="25" t="s">
        <v>106</v>
      </c>
      <c r="P29" s="25" t="s">
        <v>107</v>
      </c>
      <c r="Q29" s="25" t="s">
        <v>108</v>
      </c>
      <c r="R29" s="25" t="s">
        <v>109</v>
      </c>
      <c r="S29" s="25" t="s">
        <v>110</v>
      </c>
      <c r="T29" s="25" t="s">
        <v>111</v>
      </c>
      <c r="U29" s="25" t="s">
        <v>112</v>
      </c>
    </row>
    <row r="30" spans="1:21" ht="45" x14ac:dyDescent="0.25">
      <c r="A30" s="21">
        <f>'subvention+booking final'!D26</f>
        <v>3393010001</v>
      </c>
      <c r="B30" s="155" t="str">
        <f>"0"&amp;MONTH($A$28)&amp;YEAR($A$28)</f>
        <v>092020</v>
      </c>
      <c r="C30" s="21" t="str">
        <f>+DAY($A$28)&amp;"0"&amp;MONTH($A$28)&amp;YEAR($A$28)</f>
        <v>30092020</v>
      </c>
      <c r="D30" s="21" t="s">
        <v>113</v>
      </c>
      <c r="E30" s="21">
        <f>'subvention+booking final'!F26</f>
        <v>10024</v>
      </c>
      <c r="F30" s="21">
        <f>+E30</f>
        <v>10024</v>
      </c>
      <c r="G30" s="21" t="s">
        <v>114</v>
      </c>
      <c r="H30" s="22" t="s">
        <v>115</v>
      </c>
      <c r="I30" s="21" t="str">
        <f>+H30&amp;C30</f>
        <v>LMSS30092020</v>
      </c>
      <c r="J30" s="21" t="s">
        <v>124</v>
      </c>
      <c r="L30" s="21" t="s">
        <v>264</v>
      </c>
      <c r="M30" s="21" t="s">
        <v>266</v>
      </c>
      <c r="N30" s="159" t="s">
        <v>267</v>
      </c>
      <c r="O30" s="159" t="s">
        <v>276</v>
      </c>
    </row>
    <row r="31" spans="1:21" ht="45" x14ac:dyDescent="0.25">
      <c r="A31" s="21">
        <f>'subvention+booking final'!D27</f>
        <v>4774070001</v>
      </c>
      <c r="B31" s="155" t="str">
        <f>"0"&amp;MONTH($A$28)&amp;YEAR($A$28)</f>
        <v>092020</v>
      </c>
      <c r="C31" s="21" t="str">
        <f>+DAY($A$28)&amp;"0"&amp;MONTH($A$28)&amp;YEAR($A$28)</f>
        <v>30092020</v>
      </c>
      <c r="D31" s="21" t="s">
        <v>113</v>
      </c>
      <c r="E31" s="21">
        <f>'subvention+booking final'!F27</f>
        <v>10024</v>
      </c>
      <c r="F31" s="21">
        <f>+E31</f>
        <v>10024</v>
      </c>
      <c r="G31" s="21" t="s">
        <v>121</v>
      </c>
      <c r="H31" s="22" t="s">
        <v>115</v>
      </c>
      <c r="I31" s="21" t="str">
        <f t="shared" ref="I31" si="7">+H31&amp;C31</f>
        <v>LMSS30092020</v>
      </c>
      <c r="J31" s="21" t="s">
        <v>124</v>
      </c>
      <c r="L31" s="21" t="s">
        <v>264</v>
      </c>
      <c r="M31" s="21" t="s">
        <v>266</v>
      </c>
      <c r="N31" s="159" t="s">
        <v>267</v>
      </c>
      <c r="O31" s="159" t="s">
        <v>276</v>
      </c>
    </row>
    <row r="32" spans="1:21" x14ac:dyDescent="0.25">
      <c r="B32" s="155"/>
      <c r="H32" s="22"/>
      <c r="O32" s="159"/>
    </row>
    <row r="33" spans="1:21" x14ac:dyDescent="0.25">
      <c r="A33" s="24">
        <f>'subvention+booking final'!C29</f>
        <v>44500</v>
      </c>
      <c r="B33" s="27" t="str">
        <f>'subvention+booking final'!A29</f>
        <v>Not Closed yet at Maturity date</v>
      </c>
      <c r="C33" s="156"/>
    </row>
    <row r="34" spans="1:21" s="4" customFormat="1" x14ac:dyDescent="0.25">
      <c r="A34" s="25" t="s">
        <v>93</v>
      </c>
      <c r="B34" s="25" t="s">
        <v>6</v>
      </c>
      <c r="C34" s="25" t="s">
        <v>94</v>
      </c>
      <c r="D34" s="25" t="s">
        <v>95</v>
      </c>
      <c r="E34" s="25" t="s">
        <v>96</v>
      </c>
      <c r="F34" s="25" t="s">
        <v>97</v>
      </c>
      <c r="G34" s="25" t="s">
        <v>98</v>
      </c>
      <c r="H34" s="25" t="s">
        <v>99</v>
      </c>
      <c r="I34" s="25" t="s">
        <v>100</v>
      </c>
      <c r="J34" s="25" t="s">
        <v>101</v>
      </c>
      <c r="K34" s="25" t="s">
        <v>102</v>
      </c>
      <c r="L34" s="25" t="s">
        <v>103</v>
      </c>
      <c r="M34" s="25" t="s">
        <v>104</v>
      </c>
      <c r="N34" s="158" t="s">
        <v>105</v>
      </c>
      <c r="O34" s="25" t="s">
        <v>106</v>
      </c>
      <c r="P34" s="25" t="s">
        <v>107</v>
      </c>
      <c r="Q34" s="25" t="s">
        <v>108</v>
      </c>
      <c r="R34" s="25" t="s">
        <v>109</v>
      </c>
      <c r="S34" s="25" t="s">
        <v>110</v>
      </c>
      <c r="T34" s="25" t="s">
        <v>111</v>
      </c>
      <c r="U34" s="25" t="s">
        <v>112</v>
      </c>
    </row>
    <row r="35" spans="1:21" ht="45" x14ac:dyDescent="0.25">
      <c r="A35" s="21">
        <f>'subvention+booking final'!D30</f>
        <v>3393010001</v>
      </c>
      <c r="B35" s="155" t="str">
        <f>MONTH($A$33)&amp;YEAR($A$33)</f>
        <v>102021</v>
      </c>
      <c r="C35" s="21" t="str">
        <f>+DAY($A$33)&amp;MONTH($A$33)&amp;YEAR($A$33)</f>
        <v>31102021</v>
      </c>
      <c r="D35" s="21" t="s">
        <v>113</v>
      </c>
      <c r="E35" s="21">
        <f>'subvention+booking final'!F30</f>
        <v>10024</v>
      </c>
      <c r="F35" s="21">
        <f>+E35</f>
        <v>10024</v>
      </c>
      <c r="G35" s="21" t="s">
        <v>114</v>
      </c>
      <c r="H35" s="22" t="s">
        <v>115</v>
      </c>
      <c r="I35" s="21" t="str">
        <f>+H35&amp;C35</f>
        <v>LMSS31102021</v>
      </c>
      <c r="J35" s="21" t="s">
        <v>124</v>
      </c>
      <c r="L35" s="21" t="s">
        <v>264</v>
      </c>
      <c r="M35" s="21" t="s">
        <v>266</v>
      </c>
      <c r="N35" s="159" t="s">
        <v>267</v>
      </c>
      <c r="O35" s="159" t="s">
        <v>276</v>
      </c>
    </row>
    <row r="36" spans="1:21" ht="45" x14ac:dyDescent="0.25">
      <c r="A36" s="21">
        <f>'subvention+booking final'!D31</f>
        <v>4774070001</v>
      </c>
      <c r="B36" s="155" t="str">
        <f>MONTH($A$33)&amp;YEAR($A$33)</f>
        <v>102021</v>
      </c>
      <c r="C36" s="21" t="str">
        <f>+DAY($A$33)&amp;MONTH($A$33)&amp;YEAR($A$33)</f>
        <v>31102021</v>
      </c>
      <c r="D36" s="21" t="s">
        <v>113</v>
      </c>
      <c r="E36" s="21">
        <f>'subvention+booking final'!F31</f>
        <v>10024</v>
      </c>
      <c r="F36" s="21">
        <f>+E36</f>
        <v>10024</v>
      </c>
      <c r="G36" s="21" t="s">
        <v>121</v>
      </c>
      <c r="H36" s="22" t="s">
        <v>115</v>
      </c>
      <c r="I36" s="21" t="str">
        <f t="shared" ref="I36" si="8">+H36&amp;C36</f>
        <v>LMSS31102021</v>
      </c>
      <c r="J36" s="21" t="s">
        <v>124</v>
      </c>
      <c r="L36" s="21" t="s">
        <v>264</v>
      </c>
      <c r="M36" s="21" t="s">
        <v>266</v>
      </c>
      <c r="N36" s="159" t="s">
        <v>267</v>
      </c>
      <c r="O36" s="159" t="s">
        <v>276</v>
      </c>
    </row>
    <row r="38" spans="1:21" s="111" customFormat="1" ht="6" customHeight="1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61"/>
      <c r="O38" s="113"/>
      <c r="P38" s="113"/>
      <c r="Q38" s="113"/>
      <c r="R38" s="113"/>
      <c r="S38" s="113"/>
      <c r="T38" s="113"/>
      <c r="U38" s="113"/>
    </row>
    <row r="40" spans="1:21" x14ac:dyDescent="0.25">
      <c r="A40" s="171" t="s">
        <v>230</v>
      </c>
      <c r="B40" s="171"/>
      <c r="C40" s="171"/>
      <c r="D40" s="171"/>
    </row>
    <row r="41" spans="1:21" x14ac:dyDescent="0.25">
      <c r="A41" s="24">
        <f>+'subvention+booking final'!C5</f>
        <v>44116</v>
      </c>
    </row>
    <row r="42" spans="1:21" s="4" customFormat="1" x14ac:dyDescent="0.25">
      <c r="A42" s="25" t="s">
        <v>93</v>
      </c>
      <c r="B42" s="25" t="s">
        <v>6</v>
      </c>
      <c r="C42" s="25" t="s">
        <v>94</v>
      </c>
      <c r="D42" s="25" t="s">
        <v>95</v>
      </c>
      <c r="E42" s="25" t="s">
        <v>96</v>
      </c>
      <c r="F42" s="25" t="s">
        <v>97</v>
      </c>
      <c r="G42" s="25" t="s">
        <v>98</v>
      </c>
      <c r="H42" s="25" t="s">
        <v>99</v>
      </c>
      <c r="I42" s="25" t="s">
        <v>100</v>
      </c>
      <c r="J42" s="25" t="s">
        <v>101</v>
      </c>
      <c r="K42" s="25" t="s">
        <v>102</v>
      </c>
      <c r="L42" s="25" t="s">
        <v>103</v>
      </c>
      <c r="M42" s="25" t="s">
        <v>104</v>
      </c>
      <c r="N42" s="158" t="s">
        <v>105</v>
      </c>
      <c r="O42" s="25" t="s">
        <v>106</v>
      </c>
      <c r="P42" s="25" t="s">
        <v>107</v>
      </c>
      <c r="Q42" s="25" t="s">
        <v>108</v>
      </c>
      <c r="R42" s="25" t="s">
        <v>109</v>
      </c>
      <c r="S42" s="25" t="s">
        <v>110</v>
      </c>
      <c r="T42" s="25" t="s">
        <v>111</v>
      </c>
      <c r="U42" s="25" t="s">
        <v>112</v>
      </c>
    </row>
    <row r="43" spans="1:21" ht="45" x14ac:dyDescent="0.25">
      <c r="A43" s="21" t="str">
        <f>'subvention+booking final'!G6</f>
        <v xml:space="preserve">Bank GL      </v>
      </c>
      <c r="B43" s="155" t="str">
        <f>MONTH($A$41)&amp;YEAR($A$41)</f>
        <v>102020</v>
      </c>
      <c r="C43" s="21" t="str">
        <f>+DAY($A$41)&amp;MONTH($A$41)&amp;YEAR($A$41)</f>
        <v>12102020</v>
      </c>
      <c r="D43" s="21" t="s">
        <v>113</v>
      </c>
      <c r="E43" s="21">
        <f>+'subvention+booking final'!I6</f>
        <v>580000</v>
      </c>
      <c r="F43" s="21">
        <f t="shared" ref="F43:F46" si="9">+E43</f>
        <v>580000</v>
      </c>
      <c r="G43" s="21" t="s">
        <v>114</v>
      </c>
      <c r="H43" s="22" t="s">
        <v>115</v>
      </c>
      <c r="I43" s="21" t="str">
        <f t="shared" ref="I43:I46" si="10">H43&amp;C43</f>
        <v>LMSS12102020</v>
      </c>
      <c r="J43" s="21" t="s">
        <v>123</v>
      </c>
      <c r="L43" s="21" t="s">
        <v>264</v>
      </c>
      <c r="M43" s="21" t="s">
        <v>266</v>
      </c>
      <c r="N43" s="159" t="s">
        <v>267</v>
      </c>
      <c r="O43" s="159" t="s">
        <v>276</v>
      </c>
    </row>
    <row r="44" spans="1:21" ht="45" x14ac:dyDescent="0.25">
      <c r="A44" s="21">
        <f>'subvention+booking final'!G8</f>
        <v>4774080000</v>
      </c>
      <c r="B44" s="155" t="str">
        <f t="shared" ref="B44:B46" si="11">MONTH($A$41)&amp;YEAR($A$41)</f>
        <v>102020</v>
      </c>
      <c r="C44" s="21" t="str">
        <f t="shared" ref="C44:C46" si="12">+DAY($A$41)&amp;MONTH($A$41)&amp;YEAR($A$41)</f>
        <v>12102020</v>
      </c>
      <c r="D44" s="21" t="s">
        <v>113</v>
      </c>
      <c r="E44" s="21">
        <f>+'subvention+booking final'!I8</f>
        <v>580000</v>
      </c>
      <c r="F44" s="21">
        <f t="shared" si="9"/>
        <v>580000</v>
      </c>
      <c r="G44" s="21" t="str">
        <f>+IF('subvention+booking final'!B43="Debit","D","C")</f>
        <v>C</v>
      </c>
      <c r="H44" s="22" t="s">
        <v>115</v>
      </c>
      <c r="I44" s="21" t="str">
        <f t="shared" si="10"/>
        <v>LMSS12102020</v>
      </c>
      <c r="J44" s="21" t="s">
        <v>123</v>
      </c>
      <c r="L44" s="21" t="s">
        <v>264</v>
      </c>
      <c r="M44" s="21" t="s">
        <v>266</v>
      </c>
      <c r="N44" s="159" t="s">
        <v>267</v>
      </c>
      <c r="O44" s="159" t="s">
        <v>276</v>
      </c>
    </row>
    <row r="45" spans="1:21" ht="45" x14ac:dyDescent="0.25">
      <c r="A45" s="21">
        <f>'subvention+booking final'!G10</f>
        <v>4774070000</v>
      </c>
      <c r="B45" s="155" t="str">
        <f t="shared" si="11"/>
        <v>102020</v>
      </c>
      <c r="C45" s="21" t="str">
        <f t="shared" si="12"/>
        <v>12102020</v>
      </c>
      <c r="D45" s="21" t="s">
        <v>113</v>
      </c>
      <c r="E45" s="21">
        <f>+'subvention+booking final'!I10</f>
        <v>580000</v>
      </c>
      <c r="F45" s="21">
        <f t="shared" si="9"/>
        <v>580000</v>
      </c>
      <c r="G45" s="21" t="s">
        <v>114</v>
      </c>
      <c r="H45" s="22" t="s">
        <v>115</v>
      </c>
      <c r="I45" s="21" t="str">
        <f t="shared" si="10"/>
        <v>LMSS12102020</v>
      </c>
      <c r="J45" s="21" t="s">
        <v>123</v>
      </c>
      <c r="L45" s="21" t="s">
        <v>264</v>
      </c>
      <c r="M45" s="21" t="s">
        <v>266</v>
      </c>
      <c r="N45" s="159" t="s">
        <v>267</v>
      </c>
      <c r="O45" s="159" t="s">
        <v>276</v>
      </c>
    </row>
    <row r="46" spans="1:21" ht="45" x14ac:dyDescent="0.25">
      <c r="A46" s="21">
        <f>'subvention+booking final'!G11</f>
        <v>3393010000</v>
      </c>
      <c r="B46" s="155" t="str">
        <f t="shared" si="11"/>
        <v>102020</v>
      </c>
      <c r="C46" s="21" t="str">
        <f t="shared" si="12"/>
        <v>12102020</v>
      </c>
      <c r="D46" s="21" t="s">
        <v>113</v>
      </c>
      <c r="E46" s="21">
        <f>+'subvention+booking final'!I11</f>
        <v>580000</v>
      </c>
      <c r="F46" s="21">
        <f t="shared" si="9"/>
        <v>580000</v>
      </c>
      <c r="G46" s="21" t="s">
        <v>121</v>
      </c>
      <c r="H46" s="22" t="s">
        <v>115</v>
      </c>
      <c r="I46" s="21" t="str">
        <f t="shared" si="10"/>
        <v>LMSS12102020</v>
      </c>
      <c r="J46" s="21" t="s">
        <v>123</v>
      </c>
      <c r="L46" s="21" t="s">
        <v>264</v>
      </c>
      <c r="M46" s="21" t="s">
        <v>266</v>
      </c>
      <c r="N46" s="159" t="s">
        <v>267</v>
      </c>
      <c r="O46" s="159" t="s">
        <v>276</v>
      </c>
    </row>
    <row r="48" spans="1:21" x14ac:dyDescent="0.25">
      <c r="A48" s="24">
        <f>+'subvention+booking final'!C13</f>
        <v>44135</v>
      </c>
      <c r="B48" s="27" t="str">
        <f>+'subvention+booking final'!D13</f>
        <v>Note: generate GL at month end date. Starting amortisation at the month of first EMI</v>
      </c>
    </row>
    <row r="49" spans="1:21" s="4" customFormat="1" x14ac:dyDescent="0.25">
      <c r="A49" s="25" t="s">
        <v>93</v>
      </c>
      <c r="B49" s="25" t="s">
        <v>6</v>
      </c>
      <c r="C49" s="25" t="s">
        <v>94</v>
      </c>
      <c r="D49" s="25" t="s">
        <v>95</v>
      </c>
      <c r="E49" s="25" t="s">
        <v>96</v>
      </c>
      <c r="F49" s="25" t="s">
        <v>97</v>
      </c>
      <c r="G49" s="25" t="s">
        <v>98</v>
      </c>
      <c r="H49" s="25" t="s">
        <v>99</v>
      </c>
      <c r="I49" s="25" t="s">
        <v>100</v>
      </c>
      <c r="J49" s="25" t="s">
        <v>101</v>
      </c>
      <c r="K49" s="25" t="s">
        <v>102</v>
      </c>
      <c r="L49" s="25" t="s">
        <v>103</v>
      </c>
      <c r="M49" s="25" t="s">
        <v>104</v>
      </c>
      <c r="N49" s="158" t="s">
        <v>105</v>
      </c>
      <c r="O49" s="25" t="s">
        <v>106</v>
      </c>
      <c r="P49" s="25" t="s">
        <v>107</v>
      </c>
      <c r="Q49" s="25" t="s">
        <v>108</v>
      </c>
      <c r="R49" s="25" t="s">
        <v>109</v>
      </c>
      <c r="S49" s="25" t="s">
        <v>110</v>
      </c>
      <c r="T49" s="25" t="s">
        <v>111</v>
      </c>
      <c r="U49" s="25" t="s">
        <v>112</v>
      </c>
    </row>
    <row r="50" spans="1:21" ht="45" x14ac:dyDescent="0.25">
      <c r="A50" s="21">
        <f>'subvention+booking final'!G14</f>
        <v>3393010000</v>
      </c>
      <c r="B50" s="155" t="str">
        <f>MONTH($A$48)&amp;YEAR($A$48)</f>
        <v>102020</v>
      </c>
      <c r="C50" s="21" t="str">
        <f>+DAY($A$48)&amp;MONTH($A$48)&amp;YEAR($A$48)</f>
        <v>31102020</v>
      </c>
      <c r="D50" s="21" t="s">
        <v>113</v>
      </c>
      <c r="E50" s="21">
        <f>'subvention+booking final'!I14</f>
        <v>75972</v>
      </c>
      <c r="F50" s="21">
        <f>+E50</f>
        <v>75972</v>
      </c>
      <c r="G50" s="21" t="s">
        <v>114</v>
      </c>
      <c r="H50" s="22" t="s">
        <v>115</v>
      </c>
      <c r="I50" s="21" t="str">
        <f t="shared" ref="I50:I51" si="13">H50&amp;C50</f>
        <v>LMSS31102020</v>
      </c>
      <c r="J50" s="21" t="s">
        <v>124</v>
      </c>
      <c r="L50" s="21" t="s">
        <v>264</v>
      </c>
      <c r="M50" s="21" t="s">
        <v>266</v>
      </c>
      <c r="N50" s="159" t="s">
        <v>267</v>
      </c>
      <c r="O50" s="159" t="s">
        <v>276</v>
      </c>
    </row>
    <row r="51" spans="1:21" ht="45" x14ac:dyDescent="0.25">
      <c r="A51" s="21">
        <f>'subvention+booking final'!G15</f>
        <v>4774070000</v>
      </c>
      <c r="B51" s="155" t="str">
        <f>MONTH($A$48)&amp;YEAR($A$48)</f>
        <v>102020</v>
      </c>
      <c r="C51" s="21" t="str">
        <f>+DAY($A$48)&amp;MONTH($A$48)&amp;YEAR($A$48)</f>
        <v>31102020</v>
      </c>
      <c r="D51" s="21" t="s">
        <v>113</v>
      </c>
      <c r="E51" s="21">
        <f>'subvention+booking final'!I15</f>
        <v>75972</v>
      </c>
      <c r="F51" s="21">
        <f>+E51</f>
        <v>75972</v>
      </c>
      <c r="G51" s="21" t="s">
        <v>121</v>
      </c>
      <c r="H51" s="22" t="s">
        <v>115</v>
      </c>
      <c r="I51" s="21" t="str">
        <f t="shared" si="13"/>
        <v>LMSS31102020</v>
      </c>
      <c r="J51" s="21" t="s">
        <v>124</v>
      </c>
      <c r="L51" s="21" t="s">
        <v>264</v>
      </c>
      <c r="M51" s="21" t="s">
        <v>266</v>
      </c>
      <c r="N51" s="159" t="s">
        <v>267</v>
      </c>
      <c r="O51" s="159" t="s">
        <v>276</v>
      </c>
    </row>
    <row r="53" spans="1:21" x14ac:dyDescent="0.25">
      <c r="A53" s="24">
        <f>+'subvention+booking final'!C17</f>
        <v>44165</v>
      </c>
      <c r="B53" s="27" t="str">
        <f>+'subvention+booking final'!D17</f>
        <v>Note: generate GL at month end date</v>
      </c>
    </row>
    <row r="54" spans="1:21" s="4" customFormat="1" x14ac:dyDescent="0.25">
      <c r="A54" s="25" t="s">
        <v>93</v>
      </c>
      <c r="B54" s="25" t="s">
        <v>6</v>
      </c>
      <c r="C54" s="25" t="s">
        <v>94</v>
      </c>
      <c r="D54" s="25" t="s">
        <v>95</v>
      </c>
      <c r="E54" s="25" t="s">
        <v>96</v>
      </c>
      <c r="F54" s="25" t="s">
        <v>97</v>
      </c>
      <c r="G54" s="25" t="s">
        <v>98</v>
      </c>
      <c r="H54" s="25" t="s">
        <v>99</v>
      </c>
      <c r="I54" s="25" t="s">
        <v>100</v>
      </c>
      <c r="J54" s="25" t="s">
        <v>101</v>
      </c>
      <c r="K54" s="25" t="s">
        <v>102</v>
      </c>
      <c r="L54" s="25" t="s">
        <v>103</v>
      </c>
      <c r="M54" s="25" t="s">
        <v>104</v>
      </c>
      <c r="N54" s="158" t="s">
        <v>105</v>
      </c>
      <c r="O54" s="25" t="s">
        <v>106</v>
      </c>
      <c r="P54" s="25" t="s">
        <v>107</v>
      </c>
      <c r="Q54" s="25" t="s">
        <v>108</v>
      </c>
      <c r="R54" s="25" t="s">
        <v>109</v>
      </c>
      <c r="S54" s="25" t="s">
        <v>110</v>
      </c>
      <c r="T54" s="25" t="s">
        <v>111</v>
      </c>
      <c r="U54" s="25" t="s">
        <v>112</v>
      </c>
    </row>
    <row r="55" spans="1:21" ht="45" x14ac:dyDescent="0.25">
      <c r="A55" s="21">
        <f>'subvention+booking final'!G18</f>
        <v>3393010000</v>
      </c>
      <c r="B55" s="155" t="str">
        <f>MONTH($A$53)&amp;YEAR($A$53)</f>
        <v>112020</v>
      </c>
      <c r="C55" s="21" t="str">
        <f>+DAY($A$53)&amp;MONTH($A$53)&amp;YEAR($A$53)</f>
        <v>30112020</v>
      </c>
      <c r="D55" s="21" t="s">
        <v>113</v>
      </c>
      <c r="E55" s="21">
        <f>'subvention+booking final'!I18</f>
        <v>72613</v>
      </c>
      <c r="F55" s="21">
        <f>+E55</f>
        <v>72613</v>
      </c>
      <c r="G55" s="21" t="s">
        <v>114</v>
      </c>
      <c r="H55" s="22" t="s">
        <v>115</v>
      </c>
      <c r="I55" s="21" t="str">
        <f t="shared" ref="I55:I56" si="14">H55&amp;C55</f>
        <v>LMSS30112020</v>
      </c>
      <c r="J55" s="21" t="s">
        <v>124</v>
      </c>
      <c r="L55" s="21" t="s">
        <v>264</v>
      </c>
      <c r="M55" s="21" t="s">
        <v>266</v>
      </c>
      <c r="N55" s="159" t="s">
        <v>267</v>
      </c>
      <c r="O55" s="159" t="s">
        <v>276</v>
      </c>
    </row>
    <row r="56" spans="1:21" ht="45" x14ac:dyDescent="0.25">
      <c r="A56" s="21">
        <f>'subvention+booking final'!G19</f>
        <v>4774070000</v>
      </c>
      <c r="B56" s="155" t="str">
        <f>MONTH($A$53)&amp;YEAR($A$53)</f>
        <v>112020</v>
      </c>
      <c r="C56" s="21" t="str">
        <f>+DAY($A$53)&amp;MONTH($A$53)&amp;YEAR($A$53)</f>
        <v>30112020</v>
      </c>
      <c r="D56" s="21" t="s">
        <v>113</v>
      </c>
      <c r="E56" s="21">
        <f>'subvention+booking final'!I19</f>
        <v>72613</v>
      </c>
      <c r="F56" s="21">
        <f>+E56</f>
        <v>72613</v>
      </c>
      <c r="G56" s="21" t="s">
        <v>121</v>
      </c>
      <c r="H56" s="22" t="s">
        <v>115</v>
      </c>
      <c r="I56" s="21" t="str">
        <f t="shared" si="14"/>
        <v>LMSS30112020</v>
      </c>
      <c r="J56" s="21" t="s">
        <v>124</v>
      </c>
      <c r="L56" s="21" t="s">
        <v>264</v>
      </c>
      <c r="M56" s="21" t="s">
        <v>266</v>
      </c>
      <c r="N56" s="159" t="s">
        <v>267</v>
      </c>
      <c r="O56" s="159" t="s">
        <v>276</v>
      </c>
    </row>
    <row r="59" spans="1:21" x14ac:dyDescent="0.25">
      <c r="A59" s="26" t="str">
        <f>+'subvention+booking final'!C21</f>
        <v>at WO/ET date</v>
      </c>
      <c r="B59" s="27" t="s">
        <v>262</v>
      </c>
      <c r="C59" s="156">
        <v>44180</v>
      </c>
    </row>
    <row r="60" spans="1:21" s="4" customFormat="1" x14ac:dyDescent="0.25">
      <c r="A60" s="25" t="s">
        <v>93</v>
      </c>
      <c r="B60" s="25" t="s">
        <v>6</v>
      </c>
      <c r="C60" s="25" t="s">
        <v>94</v>
      </c>
      <c r="D60" s="25" t="s">
        <v>95</v>
      </c>
      <c r="E60" s="25" t="s">
        <v>96</v>
      </c>
      <c r="F60" s="25" t="s">
        <v>97</v>
      </c>
      <c r="G60" s="25" t="s">
        <v>98</v>
      </c>
      <c r="H60" s="25" t="s">
        <v>99</v>
      </c>
      <c r="I60" s="25" t="s">
        <v>100</v>
      </c>
      <c r="J60" s="25" t="s">
        <v>101</v>
      </c>
      <c r="K60" s="25" t="s">
        <v>102</v>
      </c>
      <c r="L60" s="25" t="s">
        <v>103</v>
      </c>
      <c r="M60" s="25" t="s">
        <v>104</v>
      </c>
      <c r="N60" s="158" t="s">
        <v>105</v>
      </c>
      <c r="O60" s="25" t="s">
        <v>106</v>
      </c>
      <c r="P60" s="25" t="s">
        <v>107</v>
      </c>
      <c r="Q60" s="25" t="s">
        <v>108</v>
      </c>
      <c r="R60" s="25" t="s">
        <v>109</v>
      </c>
      <c r="S60" s="25" t="s">
        <v>110</v>
      </c>
      <c r="T60" s="25" t="s">
        <v>111</v>
      </c>
      <c r="U60" s="25" t="s">
        <v>112</v>
      </c>
    </row>
    <row r="61" spans="1:21" ht="45" x14ac:dyDescent="0.25">
      <c r="A61" s="21">
        <f>'subvention+booking final'!G22</f>
        <v>3393010000</v>
      </c>
      <c r="B61" s="155" t="str">
        <f>MONTH($C$59)&amp;YEAR($C$59)</f>
        <v>122020</v>
      </c>
      <c r="C61" s="21" t="str">
        <f>+DAY($C$59)&amp;MONTH($C$59)&amp;YEAR($C$59)</f>
        <v>15122020</v>
      </c>
      <c r="D61" s="21" t="s">
        <v>113</v>
      </c>
      <c r="E61" s="21">
        <f>'subvention+booking final'!I22</f>
        <v>431415</v>
      </c>
      <c r="F61" s="21">
        <f>+E61</f>
        <v>431415</v>
      </c>
      <c r="G61" s="21" t="s">
        <v>114</v>
      </c>
      <c r="H61" s="22" t="s">
        <v>115</v>
      </c>
      <c r="I61" s="21" t="str">
        <f>+H61&amp;C61</f>
        <v>LMSS15122020</v>
      </c>
      <c r="J61" s="21" t="s">
        <v>124</v>
      </c>
      <c r="L61" s="21" t="s">
        <v>264</v>
      </c>
      <c r="M61" s="21" t="s">
        <v>266</v>
      </c>
      <c r="N61" s="159" t="s">
        <v>267</v>
      </c>
      <c r="O61" s="159" t="s">
        <v>276</v>
      </c>
    </row>
    <row r="62" spans="1:21" ht="45" x14ac:dyDescent="0.25">
      <c r="A62" s="21">
        <f>'subvention+booking final'!G23</f>
        <v>4774070000</v>
      </c>
      <c r="B62" s="155" t="str">
        <f>MONTH($C$59)&amp;YEAR($C$59)</f>
        <v>122020</v>
      </c>
      <c r="C62" s="21" t="str">
        <f>+DAY($C$59)&amp;MONTH($C$59)&amp;YEAR($C$59)</f>
        <v>15122020</v>
      </c>
      <c r="D62" s="21" t="s">
        <v>113</v>
      </c>
      <c r="E62" s="21">
        <f>'subvention+booking final'!I23</f>
        <v>431415</v>
      </c>
      <c r="F62" s="21">
        <f>+E62</f>
        <v>431415</v>
      </c>
      <c r="G62" s="21" t="s">
        <v>121</v>
      </c>
      <c r="H62" s="22" t="s">
        <v>115</v>
      </c>
      <c r="I62" s="21" t="str">
        <f t="shared" ref="I62" si="15">+H62&amp;C62</f>
        <v>LMSS15122020</v>
      </c>
      <c r="J62" s="21" t="s">
        <v>124</v>
      </c>
      <c r="L62" s="21" t="s">
        <v>264</v>
      </c>
      <c r="M62" s="21" t="s">
        <v>266</v>
      </c>
      <c r="N62" s="159" t="s">
        <v>267</v>
      </c>
      <c r="O62" s="159" t="s">
        <v>276</v>
      </c>
    </row>
    <row r="63" spans="1:21" x14ac:dyDescent="0.25">
      <c r="B63" s="155"/>
      <c r="H63" s="22"/>
      <c r="O63" s="159"/>
    </row>
    <row r="64" spans="1:21" x14ac:dyDescent="0.25">
      <c r="A64" s="24">
        <f>'subvention+booking final'!C25</f>
        <v>44104</v>
      </c>
      <c r="B64" s="27" t="str">
        <f>'subvention+booking final'!A25</f>
        <v>Closed at Maturity date</v>
      </c>
      <c r="C64" s="156"/>
    </row>
    <row r="65" spans="1:21" s="4" customFormat="1" x14ac:dyDescent="0.25">
      <c r="A65" s="25" t="s">
        <v>93</v>
      </c>
      <c r="B65" s="25" t="s">
        <v>6</v>
      </c>
      <c r="C65" s="25" t="s">
        <v>94</v>
      </c>
      <c r="D65" s="25" t="s">
        <v>95</v>
      </c>
      <c r="E65" s="25" t="s">
        <v>96</v>
      </c>
      <c r="F65" s="25" t="s">
        <v>97</v>
      </c>
      <c r="G65" s="25" t="s">
        <v>98</v>
      </c>
      <c r="H65" s="25" t="s">
        <v>99</v>
      </c>
      <c r="I65" s="25" t="s">
        <v>100</v>
      </c>
      <c r="J65" s="25" t="s">
        <v>101</v>
      </c>
      <c r="K65" s="25" t="s">
        <v>102</v>
      </c>
      <c r="L65" s="25" t="s">
        <v>103</v>
      </c>
      <c r="M65" s="25" t="s">
        <v>104</v>
      </c>
      <c r="N65" s="158" t="s">
        <v>105</v>
      </c>
      <c r="O65" s="25" t="s">
        <v>106</v>
      </c>
      <c r="P65" s="25" t="s">
        <v>107</v>
      </c>
      <c r="Q65" s="25" t="s">
        <v>108</v>
      </c>
      <c r="R65" s="25" t="s">
        <v>109</v>
      </c>
      <c r="S65" s="25" t="s">
        <v>110</v>
      </c>
      <c r="T65" s="25" t="s">
        <v>111</v>
      </c>
      <c r="U65" s="25" t="s">
        <v>112</v>
      </c>
    </row>
    <row r="66" spans="1:21" ht="45" x14ac:dyDescent="0.25">
      <c r="A66" s="21">
        <f>'subvention+booking final'!G26</f>
        <v>3393010000</v>
      </c>
      <c r="B66" s="155" t="str">
        <f>"0"&amp;MONTH($A$64)&amp;YEAR($A$64)</f>
        <v>092020</v>
      </c>
      <c r="C66" s="21" t="str">
        <f>+DAY($A$64)&amp;"0"&amp;MONTH($A$64)&amp;YEAR($A$64)</f>
        <v>30092020</v>
      </c>
      <c r="D66" s="21" t="s">
        <v>113</v>
      </c>
      <c r="E66" s="21">
        <f>'subvention+booking final'!I30</f>
        <v>10024</v>
      </c>
      <c r="F66" s="21">
        <f>+E66</f>
        <v>10024</v>
      </c>
      <c r="G66" s="21" t="s">
        <v>114</v>
      </c>
      <c r="H66" s="22" t="s">
        <v>115</v>
      </c>
      <c r="I66" s="21" t="str">
        <f>+H66&amp;C66</f>
        <v>LMSS30092020</v>
      </c>
      <c r="J66" s="21" t="s">
        <v>124</v>
      </c>
      <c r="L66" s="21" t="s">
        <v>264</v>
      </c>
      <c r="M66" s="21" t="s">
        <v>266</v>
      </c>
      <c r="N66" s="159" t="s">
        <v>267</v>
      </c>
      <c r="O66" s="159" t="s">
        <v>276</v>
      </c>
    </row>
    <row r="67" spans="1:21" ht="45" x14ac:dyDescent="0.25">
      <c r="A67" s="21">
        <f>'subvention+booking final'!G27</f>
        <v>4774070000</v>
      </c>
      <c r="B67" s="155" t="str">
        <f>"0"&amp;MONTH($A$64)&amp;YEAR($A$64)</f>
        <v>092020</v>
      </c>
      <c r="C67" s="21" t="str">
        <f>+DAY($A$64)&amp;"0"&amp;MONTH($A$64)&amp;YEAR($A$64)</f>
        <v>30092020</v>
      </c>
      <c r="D67" s="21" t="s">
        <v>113</v>
      </c>
      <c r="E67" s="21">
        <f>'subvention+booking final'!I27</f>
        <v>10024</v>
      </c>
      <c r="F67" s="21">
        <f>+E67</f>
        <v>10024</v>
      </c>
      <c r="G67" s="21" t="s">
        <v>121</v>
      </c>
      <c r="H67" s="22" t="s">
        <v>115</v>
      </c>
      <c r="I67" s="21" t="str">
        <f t="shared" ref="I67" si="16">+H67&amp;C67</f>
        <v>LMSS30092020</v>
      </c>
      <c r="J67" s="21" t="s">
        <v>124</v>
      </c>
      <c r="L67" s="21" t="s">
        <v>264</v>
      </c>
      <c r="M67" s="21" t="s">
        <v>266</v>
      </c>
      <c r="N67" s="159" t="s">
        <v>267</v>
      </c>
      <c r="O67" s="159" t="s">
        <v>276</v>
      </c>
    </row>
    <row r="68" spans="1:21" x14ac:dyDescent="0.25">
      <c r="B68" s="155"/>
      <c r="H68" s="22"/>
      <c r="O68" s="159"/>
    </row>
    <row r="69" spans="1:21" x14ac:dyDescent="0.25">
      <c r="A69" s="24">
        <f>'subvention+booking final'!C29</f>
        <v>44500</v>
      </c>
      <c r="B69" s="27" t="str">
        <f>'subvention+booking final'!A29</f>
        <v>Not Closed yet at Maturity date</v>
      </c>
      <c r="C69" s="156"/>
    </row>
    <row r="70" spans="1:21" s="4" customFormat="1" x14ac:dyDescent="0.25">
      <c r="A70" s="25" t="s">
        <v>93</v>
      </c>
      <c r="B70" s="25" t="s">
        <v>6</v>
      </c>
      <c r="C70" s="25" t="s">
        <v>94</v>
      </c>
      <c r="D70" s="25" t="s">
        <v>95</v>
      </c>
      <c r="E70" s="25" t="s">
        <v>96</v>
      </c>
      <c r="F70" s="25" t="s">
        <v>97</v>
      </c>
      <c r="G70" s="25" t="s">
        <v>98</v>
      </c>
      <c r="H70" s="25" t="s">
        <v>99</v>
      </c>
      <c r="I70" s="25" t="s">
        <v>100</v>
      </c>
      <c r="J70" s="25" t="s">
        <v>101</v>
      </c>
      <c r="K70" s="25" t="s">
        <v>102</v>
      </c>
      <c r="L70" s="25" t="s">
        <v>103</v>
      </c>
      <c r="M70" s="25" t="s">
        <v>104</v>
      </c>
      <c r="N70" s="158" t="s">
        <v>105</v>
      </c>
      <c r="O70" s="25" t="s">
        <v>106</v>
      </c>
      <c r="P70" s="25" t="s">
        <v>107</v>
      </c>
      <c r="Q70" s="25" t="s">
        <v>108</v>
      </c>
      <c r="R70" s="25" t="s">
        <v>109</v>
      </c>
      <c r="S70" s="25" t="s">
        <v>110</v>
      </c>
      <c r="T70" s="25" t="s">
        <v>111</v>
      </c>
      <c r="U70" s="25" t="s">
        <v>112</v>
      </c>
    </row>
    <row r="71" spans="1:21" ht="45" x14ac:dyDescent="0.25">
      <c r="A71" s="21">
        <f>'subvention+booking final'!G30</f>
        <v>3393010000</v>
      </c>
      <c r="B71" s="155" t="str">
        <f>MONTH($A$69)&amp;YEAR($A$69)</f>
        <v>102021</v>
      </c>
      <c r="C71" s="21" t="str">
        <f>+DAY($A$69)&amp;MONTH($A$69)&amp;YEAR($A$69)</f>
        <v>31102021</v>
      </c>
      <c r="D71" s="21" t="s">
        <v>113</v>
      </c>
      <c r="E71" s="21">
        <f>'subvention+booking final'!I30</f>
        <v>10024</v>
      </c>
      <c r="F71" s="21">
        <f>+E71</f>
        <v>10024</v>
      </c>
      <c r="G71" s="21" t="s">
        <v>114</v>
      </c>
      <c r="H71" s="22" t="s">
        <v>115</v>
      </c>
      <c r="I71" s="21" t="str">
        <f>+H71&amp;C71</f>
        <v>LMSS31102021</v>
      </c>
      <c r="J71" s="21" t="s">
        <v>124</v>
      </c>
      <c r="L71" s="21" t="s">
        <v>264</v>
      </c>
      <c r="M71" s="21" t="s">
        <v>266</v>
      </c>
      <c r="N71" s="159" t="s">
        <v>267</v>
      </c>
      <c r="O71" s="159" t="s">
        <v>276</v>
      </c>
    </row>
    <row r="72" spans="1:21" ht="45" x14ac:dyDescent="0.25">
      <c r="A72" s="21">
        <f>'subvention+booking final'!G31</f>
        <v>4774070000</v>
      </c>
      <c r="B72" s="155" t="str">
        <f>MONTH($A$69)&amp;YEAR($A$69)</f>
        <v>102021</v>
      </c>
      <c r="C72" s="21" t="str">
        <f>+DAY($A$69)&amp;MONTH($A$69)&amp;YEAR($A$69)</f>
        <v>31102021</v>
      </c>
      <c r="D72" s="21" t="s">
        <v>113</v>
      </c>
      <c r="E72" s="21">
        <f>'subvention+booking final'!I31</f>
        <v>10024</v>
      </c>
      <c r="F72" s="21">
        <f>+E72</f>
        <v>10024</v>
      </c>
      <c r="G72" s="21" t="s">
        <v>121</v>
      </c>
      <c r="H72" s="22" t="s">
        <v>115</v>
      </c>
      <c r="I72" s="21" t="str">
        <f t="shared" ref="I72" si="17">+H72&amp;C72</f>
        <v>LMSS31102021</v>
      </c>
      <c r="J72" s="21" t="s">
        <v>124</v>
      </c>
      <c r="L72" s="21" t="s">
        <v>264</v>
      </c>
      <c r="M72" s="21" t="s">
        <v>266</v>
      </c>
      <c r="N72" s="159" t="s">
        <v>267</v>
      </c>
      <c r="O72" s="159" t="s">
        <v>276</v>
      </c>
    </row>
    <row r="73" spans="1:21" x14ac:dyDescent="0.25">
      <c r="B73" s="155"/>
      <c r="H73" s="22"/>
      <c r="O73" s="159"/>
    </row>
    <row r="75" spans="1:21" s="115" customFormat="1" ht="6.75" customHeight="1" x14ac:dyDescent="0.2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62"/>
      <c r="O75" s="114"/>
      <c r="P75" s="114"/>
      <c r="Q75" s="114"/>
      <c r="R75" s="114"/>
      <c r="S75" s="114"/>
      <c r="T75" s="114"/>
      <c r="U75" s="114"/>
    </row>
    <row r="76" spans="1:21" s="17" customFormat="1" x14ac:dyDescent="0.25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63"/>
      <c r="O76" s="116"/>
      <c r="P76" s="116"/>
      <c r="Q76" s="116"/>
      <c r="R76" s="116"/>
      <c r="S76" s="116"/>
      <c r="T76" s="116"/>
      <c r="U76" s="116"/>
    </row>
    <row r="77" spans="1:21" x14ac:dyDescent="0.25">
      <c r="A77" s="171" t="s">
        <v>231</v>
      </c>
      <c r="B77" s="171"/>
      <c r="C77" s="171"/>
      <c r="D77" s="171"/>
    </row>
    <row r="78" spans="1:21" x14ac:dyDescent="0.25">
      <c r="A78" s="24">
        <f>+'subvention+booking final'!C5</f>
        <v>44116</v>
      </c>
    </row>
    <row r="79" spans="1:21" s="4" customFormat="1" x14ac:dyDescent="0.25">
      <c r="A79" s="25" t="s">
        <v>93</v>
      </c>
      <c r="B79" s="25" t="s">
        <v>6</v>
      </c>
      <c r="C79" s="25" t="s">
        <v>94</v>
      </c>
      <c r="D79" s="25" t="s">
        <v>95</v>
      </c>
      <c r="E79" s="25" t="s">
        <v>96</v>
      </c>
      <c r="F79" s="25" t="s">
        <v>97</v>
      </c>
      <c r="G79" s="25" t="s">
        <v>98</v>
      </c>
      <c r="H79" s="25" t="s">
        <v>99</v>
      </c>
      <c r="I79" s="25" t="s">
        <v>100</v>
      </c>
      <c r="J79" s="25" t="s">
        <v>101</v>
      </c>
      <c r="K79" s="25" t="s">
        <v>102</v>
      </c>
      <c r="L79" s="25" t="s">
        <v>103</v>
      </c>
      <c r="M79" s="25" t="s">
        <v>104</v>
      </c>
      <c r="N79" s="158" t="s">
        <v>105</v>
      </c>
      <c r="O79" s="25" t="s">
        <v>106</v>
      </c>
      <c r="P79" s="25" t="s">
        <v>107</v>
      </c>
      <c r="Q79" s="25" t="s">
        <v>108</v>
      </c>
      <c r="R79" s="25" t="s">
        <v>109</v>
      </c>
      <c r="S79" s="25" t="s">
        <v>110</v>
      </c>
      <c r="T79" s="25" t="s">
        <v>111</v>
      </c>
      <c r="U79" s="25" t="s">
        <v>112</v>
      </c>
    </row>
    <row r="80" spans="1:21" ht="45" x14ac:dyDescent="0.25">
      <c r="A80" s="21">
        <f>'subvention+booking final'!K6</f>
        <v>1341020000</v>
      </c>
      <c r="B80" s="155" t="str">
        <f>MONTH($A$78)&amp;YEAR($A$78)</f>
        <v>102020</v>
      </c>
      <c r="C80" s="21" t="str">
        <f>+DAY($A$78)&amp;MONTH($A$78)&amp;YEAR($A$78)</f>
        <v>12102020</v>
      </c>
      <c r="D80" s="21" t="s">
        <v>113</v>
      </c>
      <c r="E80" s="21">
        <f>'subvention+booking final'!M6</f>
        <v>638000</v>
      </c>
      <c r="F80" s="21">
        <f t="shared" ref="F80:F84" si="18">+E80</f>
        <v>638000</v>
      </c>
      <c r="G80" s="21" t="s">
        <v>114</v>
      </c>
      <c r="H80" s="22" t="s">
        <v>115</v>
      </c>
      <c r="I80" s="21" t="str">
        <f t="shared" ref="I80:I84" si="19">H80&amp;C80</f>
        <v>LMSS12102020</v>
      </c>
      <c r="J80" s="21" t="s">
        <v>123</v>
      </c>
      <c r="L80" s="21" t="s">
        <v>264</v>
      </c>
      <c r="M80" s="21" t="s">
        <v>266</v>
      </c>
      <c r="N80" s="159" t="s">
        <v>267</v>
      </c>
      <c r="O80" s="159" t="s">
        <v>276</v>
      </c>
    </row>
    <row r="81" spans="1:21" ht="45" x14ac:dyDescent="0.25">
      <c r="A81" s="21">
        <f>'subvention+booking final'!K7</f>
        <v>3391401000</v>
      </c>
      <c r="B81" s="155" t="str">
        <f t="shared" ref="B81:B84" si="20">MONTH($A$78)&amp;YEAR($A$78)</f>
        <v>102020</v>
      </c>
      <c r="C81" s="21" t="str">
        <f t="shared" ref="C81:C84" si="21">+DAY($A$78)&amp;MONTH($A$78)&amp;YEAR($A$78)</f>
        <v>12102020</v>
      </c>
      <c r="D81" s="21" t="s">
        <v>113</v>
      </c>
      <c r="E81" s="21">
        <f>'subvention+booking final'!M7</f>
        <v>58000</v>
      </c>
      <c r="F81" s="21">
        <f t="shared" si="18"/>
        <v>58000</v>
      </c>
      <c r="G81" s="21" t="str">
        <f>+IF('subvention+booking final'!B68="Debit","D","C")</f>
        <v>C</v>
      </c>
      <c r="H81" s="22" t="s">
        <v>115</v>
      </c>
      <c r="I81" s="21" t="str">
        <f t="shared" si="19"/>
        <v>LMSS12102020</v>
      </c>
      <c r="J81" s="21" t="s">
        <v>123</v>
      </c>
      <c r="L81" s="21" t="s">
        <v>264</v>
      </c>
      <c r="M81" s="21" t="s">
        <v>266</v>
      </c>
      <c r="N81" s="159" t="s">
        <v>267</v>
      </c>
      <c r="O81" s="159" t="s">
        <v>276</v>
      </c>
    </row>
    <row r="82" spans="1:21" ht="45" x14ac:dyDescent="0.25">
      <c r="A82" s="21">
        <f>'subvention+booking final'!K8</f>
        <v>4774080001</v>
      </c>
      <c r="B82" s="155" t="str">
        <f t="shared" si="20"/>
        <v>102020</v>
      </c>
      <c r="C82" s="21" t="str">
        <f t="shared" si="21"/>
        <v>12102020</v>
      </c>
      <c r="D82" s="21" t="s">
        <v>113</v>
      </c>
      <c r="E82" s="21">
        <f>'subvention+booking final'!M8</f>
        <v>580000</v>
      </c>
      <c r="F82" s="21">
        <f t="shared" si="18"/>
        <v>580000</v>
      </c>
      <c r="G82" s="21" t="str">
        <f>+IF('subvention+booking final'!B69="Debit","D","C")</f>
        <v>C</v>
      </c>
      <c r="H82" s="22" t="s">
        <v>115</v>
      </c>
      <c r="I82" s="21" t="str">
        <f t="shared" si="19"/>
        <v>LMSS12102020</v>
      </c>
      <c r="J82" s="21" t="s">
        <v>123</v>
      </c>
      <c r="L82" s="21" t="s">
        <v>264</v>
      </c>
      <c r="M82" s="21" t="s">
        <v>266</v>
      </c>
      <c r="N82" s="159" t="s">
        <v>267</v>
      </c>
      <c r="O82" s="159" t="s">
        <v>276</v>
      </c>
    </row>
    <row r="83" spans="1:21" ht="45" x14ac:dyDescent="0.25">
      <c r="A83" s="21">
        <f>'subvention+booking final'!K10</f>
        <v>4774070001</v>
      </c>
      <c r="B83" s="155" t="str">
        <f t="shared" si="20"/>
        <v>102020</v>
      </c>
      <c r="C83" s="21" t="str">
        <f t="shared" si="21"/>
        <v>12102020</v>
      </c>
      <c r="D83" s="21" t="s">
        <v>113</v>
      </c>
      <c r="E83" s="21">
        <f>'subvention+booking final'!M10</f>
        <v>580000</v>
      </c>
      <c r="F83" s="21">
        <f t="shared" si="18"/>
        <v>580000</v>
      </c>
      <c r="G83" s="21" t="s">
        <v>114</v>
      </c>
      <c r="H83" s="22" t="s">
        <v>115</v>
      </c>
      <c r="I83" s="21" t="str">
        <f t="shared" si="19"/>
        <v>LMSS12102020</v>
      </c>
      <c r="J83" s="21" t="s">
        <v>123</v>
      </c>
      <c r="L83" s="21" t="s">
        <v>264</v>
      </c>
      <c r="M83" s="21" t="s">
        <v>266</v>
      </c>
      <c r="N83" s="159" t="s">
        <v>267</v>
      </c>
      <c r="O83" s="159" t="s">
        <v>276</v>
      </c>
    </row>
    <row r="84" spans="1:21" ht="45" x14ac:dyDescent="0.25">
      <c r="A84" s="21">
        <f>'subvention+booking final'!K11</f>
        <v>3393010001</v>
      </c>
      <c r="B84" s="155" t="str">
        <f t="shared" si="20"/>
        <v>102020</v>
      </c>
      <c r="C84" s="21" t="str">
        <f t="shared" si="21"/>
        <v>12102020</v>
      </c>
      <c r="D84" s="21" t="s">
        <v>113</v>
      </c>
      <c r="E84" s="21">
        <f>'subvention+booking final'!M11</f>
        <v>580000</v>
      </c>
      <c r="F84" s="21">
        <f t="shared" si="18"/>
        <v>580000</v>
      </c>
      <c r="G84" s="21" t="s">
        <v>121</v>
      </c>
      <c r="H84" s="22" t="s">
        <v>115</v>
      </c>
      <c r="I84" s="21" t="str">
        <f t="shared" si="19"/>
        <v>LMSS12102020</v>
      </c>
      <c r="J84" s="21" t="s">
        <v>123</v>
      </c>
      <c r="L84" s="21" t="s">
        <v>264</v>
      </c>
      <c r="M84" s="21" t="s">
        <v>266</v>
      </c>
      <c r="N84" s="159" t="s">
        <v>267</v>
      </c>
      <c r="O84" s="159" t="s">
        <v>276</v>
      </c>
    </row>
    <row r="86" spans="1:21" x14ac:dyDescent="0.25">
      <c r="A86" s="24">
        <f>+'subvention+booking final'!C13</f>
        <v>44135</v>
      </c>
      <c r="B86" s="27" t="str">
        <f>+'subvention+booking final'!D13</f>
        <v>Note: generate GL at month end date. Starting amortisation at the month of first EMI</v>
      </c>
    </row>
    <row r="87" spans="1:21" s="4" customFormat="1" x14ac:dyDescent="0.25">
      <c r="A87" s="25" t="s">
        <v>93</v>
      </c>
      <c r="B87" s="25" t="s">
        <v>6</v>
      </c>
      <c r="C87" s="25" t="s">
        <v>94</v>
      </c>
      <c r="D87" s="25" t="s">
        <v>95</v>
      </c>
      <c r="E87" s="25" t="s">
        <v>96</v>
      </c>
      <c r="F87" s="25" t="s">
        <v>97</v>
      </c>
      <c r="G87" s="25" t="s">
        <v>98</v>
      </c>
      <c r="H87" s="25" t="s">
        <v>99</v>
      </c>
      <c r="I87" s="25" t="s">
        <v>100</v>
      </c>
      <c r="J87" s="25" t="s">
        <v>101</v>
      </c>
      <c r="K87" s="25" t="s">
        <v>102</v>
      </c>
      <c r="L87" s="25" t="s">
        <v>103</v>
      </c>
      <c r="M87" s="25" t="s">
        <v>104</v>
      </c>
      <c r="N87" s="158" t="s">
        <v>105</v>
      </c>
      <c r="O87" s="25" t="s">
        <v>106</v>
      </c>
      <c r="P87" s="25" t="s">
        <v>107</v>
      </c>
      <c r="Q87" s="25" t="s">
        <v>108</v>
      </c>
      <c r="R87" s="25" t="s">
        <v>109</v>
      </c>
      <c r="S87" s="25" t="s">
        <v>110</v>
      </c>
      <c r="T87" s="25" t="s">
        <v>111</v>
      </c>
      <c r="U87" s="25" t="s">
        <v>112</v>
      </c>
    </row>
    <row r="88" spans="1:21" ht="45" x14ac:dyDescent="0.25">
      <c r="A88" s="21">
        <f>+'subvention+booking final'!D14</f>
        <v>3393010001</v>
      </c>
      <c r="B88" s="155" t="str">
        <f>MONTH($A$86)&amp;YEAR($A$86)</f>
        <v>102020</v>
      </c>
      <c r="C88" s="21" t="str">
        <f>+DAY($A$86)&amp;MONTH($A$86)&amp;YEAR($A$86)</f>
        <v>31102020</v>
      </c>
      <c r="D88" s="21" t="s">
        <v>113</v>
      </c>
      <c r="E88" s="21">
        <f>'subvention+booking final'!F14</f>
        <v>75972</v>
      </c>
      <c r="F88" s="21">
        <f>+E88</f>
        <v>75972</v>
      </c>
      <c r="G88" s="21" t="s">
        <v>114</v>
      </c>
      <c r="H88" s="22" t="s">
        <v>115</v>
      </c>
      <c r="I88" s="21" t="str">
        <f t="shared" ref="I88:I89" si="22">H88&amp;C88</f>
        <v>LMSS31102020</v>
      </c>
      <c r="J88" s="21" t="s">
        <v>124</v>
      </c>
      <c r="L88" s="21" t="s">
        <v>264</v>
      </c>
      <c r="M88" s="21" t="s">
        <v>266</v>
      </c>
      <c r="N88" s="159" t="s">
        <v>267</v>
      </c>
      <c r="O88" s="159" t="s">
        <v>276</v>
      </c>
    </row>
    <row r="89" spans="1:21" ht="45" x14ac:dyDescent="0.25">
      <c r="A89" s="21">
        <f>+'subvention+booking final'!D15</f>
        <v>4774070001</v>
      </c>
      <c r="B89" s="155" t="str">
        <f>MONTH($A$86)&amp;YEAR($A$86)</f>
        <v>102020</v>
      </c>
      <c r="C89" s="21" t="str">
        <f>+DAY($A$86)&amp;MONTH($A$86)&amp;YEAR($A$86)</f>
        <v>31102020</v>
      </c>
      <c r="D89" s="21" t="s">
        <v>113</v>
      </c>
      <c r="E89" s="21">
        <f>'subvention+booking final'!F15</f>
        <v>75972</v>
      </c>
      <c r="F89" s="21">
        <f>+E89</f>
        <v>75972</v>
      </c>
      <c r="G89" s="21" t="s">
        <v>121</v>
      </c>
      <c r="H89" s="22" t="s">
        <v>115</v>
      </c>
      <c r="I89" s="21" t="str">
        <f t="shared" si="22"/>
        <v>LMSS31102020</v>
      </c>
      <c r="J89" s="21" t="s">
        <v>124</v>
      </c>
      <c r="L89" s="21" t="s">
        <v>264</v>
      </c>
      <c r="M89" s="21" t="s">
        <v>266</v>
      </c>
      <c r="N89" s="159" t="s">
        <v>267</v>
      </c>
      <c r="O89" s="159" t="s">
        <v>276</v>
      </c>
    </row>
    <row r="91" spans="1:21" x14ac:dyDescent="0.25">
      <c r="A91" s="24">
        <f>+'subvention+booking final'!C17</f>
        <v>44165</v>
      </c>
      <c r="B91" s="27" t="str">
        <f>+'subvention+booking final'!D17</f>
        <v>Note: generate GL at month end date</v>
      </c>
    </row>
    <row r="92" spans="1:21" s="4" customFormat="1" x14ac:dyDescent="0.25">
      <c r="A92" s="25" t="s">
        <v>93</v>
      </c>
      <c r="B92" s="25" t="s">
        <v>6</v>
      </c>
      <c r="C92" s="25" t="s">
        <v>94</v>
      </c>
      <c r="D92" s="25" t="s">
        <v>95</v>
      </c>
      <c r="E92" s="25" t="s">
        <v>96</v>
      </c>
      <c r="F92" s="25" t="s">
        <v>97</v>
      </c>
      <c r="G92" s="25" t="s">
        <v>98</v>
      </c>
      <c r="H92" s="25" t="s">
        <v>99</v>
      </c>
      <c r="I92" s="25" t="s">
        <v>100</v>
      </c>
      <c r="J92" s="25" t="s">
        <v>101</v>
      </c>
      <c r="K92" s="25" t="s">
        <v>102</v>
      </c>
      <c r="L92" s="25" t="s">
        <v>103</v>
      </c>
      <c r="M92" s="25" t="s">
        <v>104</v>
      </c>
      <c r="N92" s="158" t="s">
        <v>105</v>
      </c>
      <c r="O92" s="25" t="s">
        <v>106</v>
      </c>
      <c r="P92" s="25" t="s">
        <v>107</v>
      </c>
      <c r="Q92" s="25" t="s">
        <v>108</v>
      </c>
      <c r="R92" s="25" t="s">
        <v>109</v>
      </c>
      <c r="S92" s="25" t="s">
        <v>110</v>
      </c>
      <c r="T92" s="25" t="s">
        <v>111</v>
      </c>
      <c r="U92" s="25" t="s">
        <v>112</v>
      </c>
    </row>
    <row r="93" spans="1:21" ht="45" x14ac:dyDescent="0.25">
      <c r="A93" s="21">
        <f>+'subvention+booking final'!D18</f>
        <v>3393010001</v>
      </c>
      <c r="B93" s="155" t="str">
        <f>MONTH($A$91)&amp;YEAR($A$91)</f>
        <v>112020</v>
      </c>
      <c r="C93" s="21" t="str">
        <f>+DAY($A$91)&amp;MONTH($A$91)&amp;YEAR($A$91)</f>
        <v>30112020</v>
      </c>
      <c r="D93" s="21" t="s">
        <v>113</v>
      </c>
      <c r="E93" s="21">
        <f>'subvention+booking final'!F18</f>
        <v>72613</v>
      </c>
      <c r="F93" s="21">
        <f>+E93</f>
        <v>72613</v>
      </c>
      <c r="G93" s="21" t="s">
        <v>114</v>
      </c>
      <c r="H93" s="22" t="s">
        <v>115</v>
      </c>
      <c r="I93" s="21" t="str">
        <f t="shared" ref="I93:I94" si="23">H93&amp;C93</f>
        <v>LMSS30112020</v>
      </c>
      <c r="J93" s="21" t="s">
        <v>124</v>
      </c>
      <c r="L93" s="21" t="s">
        <v>264</v>
      </c>
      <c r="M93" s="21" t="s">
        <v>266</v>
      </c>
      <c r="N93" s="159" t="s">
        <v>267</v>
      </c>
      <c r="O93" s="159" t="s">
        <v>276</v>
      </c>
    </row>
    <row r="94" spans="1:21" ht="45" x14ac:dyDescent="0.25">
      <c r="A94" s="21">
        <f>+'subvention+booking final'!D19</f>
        <v>4774070001</v>
      </c>
      <c r="B94" s="155" t="str">
        <f>MONTH($A$91)&amp;YEAR($A$91)</f>
        <v>112020</v>
      </c>
      <c r="C94" s="21" t="str">
        <f>+DAY($A$91)&amp;MONTH($A$91)&amp;YEAR($A$91)</f>
        <v>30112020</v>
      </c>
      <c r="D94" s="21" t="s">
        <v>113</v>
      </c>
      <c r="E94" s="21">
        <f>'subvention+booking final'!F19</f>
        <v>72613</v>
      </c>
      <c r="F94" s="21">
        <f>+E94</f>
        <v>72613</v>
      </c>
      <c r="G94" s="21" t="s">
        <v>121</v>
      </c>
      <c r="H94" s="22" t="s">
        <v>115</v>
      </c>
      <c r="I94" s="21" t="str">
        <f t="shared" si="23"/>
        <v>LMSS30112020</v>
      </c>
      <c r="J94" s="21" t="s">
        <v>124</v>
      </c>
      <c r="L94" s="21" t="s">
        <v>264</v>
      </c>
      <c r="M94" s="21" t="s">
        <v>266</v>
      </c>
      <c r="N94" s="159" t="s">
        <v>267</v>
      </c>
      <c r="O94" s="159" t="s">
        <v>276</v>
      </c>
    </row>
    <row r="97" spans="1:21" x14ac:dyDescent="0.25">
      <c r="A97" s="26" t="str">
        <f>+'subvention+booking final'!C21</f>
        <v>at WO/ET date</v>
      </c>
      <c r="B97" s="27" t="s">
        <v>262</v>
      </c>
      <c r="C97" s="156">
        <v>44180</v>
      </c>
    </row>
    <row r="98" spans="1:21" s="4" customFormat="1" x14ac:dyDescent="0.25">
      <c r="A98" s="25" t="s">
        <v>93</v>
      </c>
      <c r="B98" s="25" t="s">
        <v>6</v>
      </c>
      <c r="C98" s="25" t="s">
        <v>94</v>
      </c>
      <c r="D98" s="25" t="s">
        <v>95</v>
      </c>
      <c r="E98" s="25" t="s">
        <v>96</v>
      </c>
      <c r="F98" s="25" t="s">
        <v>97</v>
      </c>
      <c r="G98" s="25" t="s">
        <v>98</v>
      </c>
      <c r="H98" s="25" t="s">
        <v>99</v>
      </c>
      <c r="I98" s="25" t="s">
        <v>100</v>
      </c>
      <c r="J98" s="25" t="s">
        <v>101</v>
      </c>
      <c r="K98" s="25" t="s">
        <v>102</v>
      </c>
      <c r="L98" s="25" t="s">
        <v>103</v>
      </c>
      <c r="M98" s="25" t="s">
        <v>104</v>
      </c>
      <c r="N98" s="158" t="s">
        <v>105</v>
      </c>
      <c r="O98" s="25" t="s">
        <v>106</v>
      </c>
      <c r="P98" s="25" t="s">
        <v>107</v>
      </c>
      <c r="Q98" s="25" t="s">
        <v>108</v>
      </c>
      <c r="R98" s="25" t="s">
        <v>109</v>
      </c>
      <c r="S98" s="25" t="s">
        <v>110</v>
      </c>
      <c r="T98" s="25" t="s">
        <v>111</v>
      </c>
      <c r="U98" s="25" t="s">
        <v>112</v>
      </c>
    </row>
    <row r="99" spans="1:21" ht="45" x14ac:dyDescent="0.25">
      <c r="A99" s="21">
        <f>+'subvention+booking final'!D22</f>
        <v>3393010001</v>
      </c>
      <c r="B99" s="155" t="str">
        <f>MONTH($C$97)&amp;YEAR($C$97)</f>
        <v>122020</v>
      </c>
      <c r="C99" s="21" t="str">
        <f>+DAY($C$97)&amp;MONTH($C$97)&amp;YEAR($C$97)</f>
        <v>15122020</v>
      </c>
      <c r="D99" s="21" t="s">
        <v>113</v>
      </c>
      <c r="E99" s="21">
        <f>'subvention+booking final'!F22</f>
        <v>431415</v>
      </c>
      <c r="F99" s="21">
        <f>+E99</f>
        <v>431415</v>
      </c>
      <c r="G99" s="21" t="s">
        <v>114</v>
      </c>
      <c r="H99" s="22" t="s">
        <v>115</v>
      </c>
      <c r="I99" s="21" t="str">
        <f>+H99&amp;C99</f>
        <v>LMSS15122020</v>
      </c>
      <c r="J99" s="21" t="s">
        <v>124</v>
      </c>
      <c r="L99" s="21" t="s">
        <v>264</v>
      </c>
      <c r="M99" s="21" t="s">
        <v>266</v>
      </c>
      <c r="N99" s="159" t="s">
        <v>267</v>
      </c>
      <c r="O99" s="159" t="s">
        <v>276</v>
      </c>
    </row>
    <row r="100" spans="1:21" ht="45" x14ac:dyDescent="0.25">
      <c r="A100" s="21">
        <f>+'subvention+booking final'!D23</f>
        <v>4774070001</v>
      </c>
      <c r="B100" s="155" t="str">
        <f>MONTH($C$97)&amp;YEAR($C$97)</f>
        <v>122020</v>
      </c>
      <c r="C100" s="21" t="str">
        <f>+DAY($C$97)&amp;MONTH($C$97)&amp;YEAR($C$97)</f>
        <v>15122020</v>
      </c>
      <c r="D100" s="21" t="s">
        <v>113</v>
      </c>
      <c r="E100" s="21">
        <f>'subvention+booking final'!F23</f>
        <v>431415</v>
      </c>
      <c r="F100" s="21">
        <f>+E100</f>
        <v>431415</v>
      </c>
      <c r="G100" s="21" t="s">
        <v>121</v>
      </c>
      <c r="H100" s="22" t="s">
        <v>115</v>
      </c>
      <c r="I100" s="21" t="str">
        <f t="shared" ref="I100" si="24">+H100&amp;C100</f>
        <v>LMSS15122020</v>
      </c>
      <c r="J100" s="21" t="s">
        <v>124</v>
      </c>
      <c r="L100" s="21" t="s">
        <v>264</v>
      </c>
      <c r="M100" s="21" t="s">
        <v>266</v>
      </c>
      <c r="N100" s="159" t="s">
        <v>267</v>
      </c>
      <c r="O100" s="159" t="s">
        <v>276</v>
      </c>
    </row>
    <row r="101" spans="1:21" x14ac:dyDescent="0.25">
      <c r="B101" s="108"/>
      <c r="H101" s="22"/>
    </row>
    <row r="102" spans="1:21" x14ac:dyDescent="0.25">
      <c r="A102" s="24">
        <f>'subvention+booking final'!C25</f>
        <v>44104</v>
      </c>
      <c r="B102" s="27" t="str">
        <f>'subvention+booking final'!A25</f>
        <v>Closed at Maturity date</v>
      </c>
      <c r="C102" s="156"/>
    </row>
    <row r="103" spans="1:21" s="4" customFormat="1" x14ac:dyDescent="0.25">
      <c r="A103" s="25" t="s">
        <v>93</v>
      </c>
      <c r="B103" s="25" t="s">
        <v>6</v>
      </c>
      <c r="C103" s="25" t="s">
        <v>94</v>
      </c>
      <c r="D103" s="25" t="s">
        <v>95</v>
      </c>
      <c r="E103" s="25" t="s">
        <v>96</v>
      </c>
      <c r="F103" s="25" t="s">
        <v>97</v>
      </c>
      <c r="G103" s="25" t="s">
        <v>98</v>
      </c>
      <c r="H103" s="25" t="s">
        <v>99</v>
      </c>
      <c r="I103" s="25" t="s">
        <v>100</v>
      </c>
      <c r="J103" s="25" t="s">
        <v>101</v>
      </c>
      <c r="K103" s="25" t="s">
        <v>102</v>
      </c>
      <c r="L103" s="25" t="s">
        <v>103</v>
      </c>
      <c r="M103" s="25" t="s">
        <v>104</v>
      </c>
      <c r="N103" s="158" t="s">
        <v>105</v>
      </c>
      <c r="O103" s="25" t="s">
        <v>106</v>
      </c>
      <c r="P103" s="25" t="s">
        <v>107</v>
      </c>
      <c r="Q103" s="25" t="s">
        <v>108</v>
      </c>
      <c r="R103" s="25" t="s">
        <v>109</v>
      </c>
      <c r="S103" s="25" t="s">
        <v>110</v>
      </c>
      <c r="T103" s="25" t="s">
        <v>111</v>
      </c>
      <c r="U103" s="25" t="s">
        <v>112</v>
      </c>
    </row>
    <row r="104" spans="1:21" ht="45" x14ac:dyDescent="0.25">
      <c r="A104" s="21">
        <f>'subvention+booking final'!K26</f>
        <v>3393010001</v>
      </c>
      <c r="B104" s="155" t="str">
        <f>"0"&amp;MONTH($A$102)&amp;YEAR($A$102)</f>
        <v>092020</v>
      </c>
      <c r="C104" s="21" t="str">
        <f>+DAY($A$102)&amp;"0"&amp;MONTH($A$102)&amp;YEAR($A$102)</f>
        <v>30092020</v>
      </c>
      <c r="D104" s="21" t="s">
        <v>113</v>
      </c>
      <c r="E104" s="21">
        <f>'subvention+booking final'!M26</f>
        <v>10024</v>
      </c>
      <c r="F104" s="21">
        <f>+E104</f>
        <v>10024</v>
      </c>
      <c r="G104" s="21" t="s">
        <v>114</v>
      </c>
      <c r="H104" s="22" t="s">
        <v>115</v>
      </c>
      <c r="I104" s="21" t="str">
        <f>+H104&amp;C104</f>
        <v>LMSS30092020</v>
      </c>
      <c r="J104" s="21" t="s">
        <v>124</v>
      </c>
      <c r="L104" s="21" t="s">
        <v>264</v>
      </c>
      <c r="M104" s="21" t="s">
        <v>266</v>
      </c>
      <c r="N104" s="159" t="s">
        <v>267</v>
      </c>
      <c r="O104" s="159" t="s">
        <v>276</v>
      </c>
    </row>
    <row r="105" spans="1:21" ht="45" x14ac:dyDescent="0.25">
      <c r="A105" s="21">
        <f>'subvention+booking final'!K27</f>
        <v>4774070001</v>
      </c>
      <c r="B105" s="155" t="str">
        <f>"0"&amp;MONTH($A$102)&amp;YEAR($A$102)</f>
        <v>092020</v>
      </c>
      <c r="C105" s="21" t="str">
        <f>+DAY($A$102)&amp;"0"&amp;MONTH($A$102)&amp;YEAR($A$102)</f>
        <v>30092020</v>
      </c>
      <c r="D105" s="21" t="s">
        <v>113</v>
      </c>
      <c r="E105" s="21">
        <f>'subvention+booking final'!M27</f>
        <v>10024</v>
      </c>
      <c r="F105" s="21">
        <f>+E105</f>
        <v>10024</v>
      </c>
      <c r="G105" s="21" t="s">
        <v>121</v>
      </c>
      <c r="H105" s="22" t="s">
        <v>115</v>
      </c>
      <c r="I105" s="21" t="str">
        <f t="shared" ref="I105" si="25">+H105&amp;C105</f>
        <v>LMSS30092020</v>
      </c>
      <c r="J105" s="21" t="s">
        <v>124</v>
      </c>
      <c r="L105" s="21" t="s">
        <v>264</v>
      </c>
      <c r="M105" s="21" t="s">
        <v>266</v>
      </c>
      <c r="N105" s="159" t="s">
        <v>267</v>
      </c>
      <c r="O105" s="159" t="s">
        <v>276</v>
      </c>
    </row>
    <row r="106" spans="1:21" x14ac:dyDescent="0.25">
      <c r="B106" s="155"/>
      <c r="H106" s="22"/>
      <c r="O106" s="159"/>
    </row>
    <row r="107" spans="1:21" x14ac:dyDescent="0.25">
      <c r="A107" s="24">
        <f>'subvention+booking final'!C29</f>
        <v>44500</v>
      </c>
      <c r="B107" s="27" t="str">
        <f>'subvention+booking final'!A29</f>
        <v>Not Closed yet at Maturity date</v>
      </c>
      <c r="C107" s="156"/>
    </row>
    <row r="108" spans="1:21" s="4" customFormat="1" x14ac:dyDescent="0.25">
      <c r="A108" s="25" t="s">
        <v>93</v>
      </c>
      <c r="B108" s="25" t="s">
        <v>6</v>
      </c>
      <c r="C108" s="25" t="s">
        <v>94</v>
      </c>
      <c r="D108" s="25" t="s">
        <v>95</v>
      </c>
      <c r="E108" s="25" t="s">
        <v>96</v>
      </c>
      <c r="F108" s="25" t="s">
        <v>97</v>
      </c>
      <c r="G108" s="25" t="s">
        <v>98</v>
      </c>
      <c r="H108" s="25" t="s">
        <v>99</v>
      </c>
      <c r="I108" s="25" t="s">
        <v>100</v>
      </c>
      <c r="J108" s="25" t="s">
        <v>101</v>
      </c>
      <c r="K108" s="25" t="s">
        <v>102</v>
      </c>
      <c r="L108" s="25" t="s">
        <v>103</v>
      </c>
      <c r="M108" s="25" t="s">
        <v>104</v>
      </c>
      <c r="N108" s="158" t="s">
        <v>105</v>
      </c>
      <c r="O108" s="25" t="s">
        <v>106</v>
      </c>
      <c r="P108" s="25" t="s">
        <v>107</v>
      </c>
      <c r="Q108" s="25" t="s">
        <v>108</v>
      </c>
      <c r="R108" s="25" t="s">
        <v>109</v>
      </c>
      <c r="S108" s="25" t="s">
        <v>110</v>
      </c>
      <c r="T108" s="25" t="s">
        <v>111</v>
      </c>
      <c r="U108" s="25" t="s">
        <v>112</v>
      </c>
    </row>
    <row r="109" spans="1:21" ht="45" x14ac:dyDescent="0.25">
      <c r="A109" s="21">
        <f>'subvention+booking final'!K30</f>
        <v>3393010001</v>
      </c>
      <c r="B109" s="155" t="str">
        <f>MONTH($A$69)&amp;YEAR($A$69)</f>
        <v>102021</v>
      </c>
      <c r="C109" s="21" t="str">
        <f>+DAY($A$69)&amp;MONTH($A$69)&amp;YEAR($A$69)</f>
        <v>31102021</v>
      </c>
      <c r="D109" s="21" t="s">
        <v>113</v>
      </c>
      <c r="E109" s="21">
        <f>'subvention+booking final'!M30</f>
        <v>10024</v>
      </c>
      <c r="F109" s="21">
        <f>+E109</f>
        <v>10024</v>
      </c>
      <c r="G109" s="21" t="s">
        <v>114</v>
      </c>
      <c r="H109" s="22" t="s">
        <v>115</v>
      </c>
      <c r="I109" s="21" t="str">
        <f>+H109&amp;C109</f>
        <v>LMSS31102021</v>
      </c>
      <c r="J109" s="21" t="s">
        <v>124</v>
      </c>
      <c r="L109" s="21" t="s">
        <v>264</v>
      </c>
      <c r="M109" s="21" t="s">
        <v>266</v>
      </c>
      <c r="N109" s="159" t="s">
        <v>267</v>
      </c>
      <c r="O109" s="159" t="s">
        <v>276</v>
      </c>
    </row>
    <row r="110" spans="1:21" ht="45" x14ac:dyDescent="0.25">
      <c r="A110" s="21">
        <f>'subvention+booking final'!K31</f>
        <v>4774070001</v>
      </c>
      <c r="B110" s="155" t="str">
        <f>MONTH($A$69)&amp;YEAR($A$69)</f>
        <v>102021</v>
      </c>
      <c r="C110" s="21" t="str">
        <f>+DAY($A$69)&amp;MONTH($A$69)&amp;YEAR($A$69)</f>
        <v>31102021</v>
      </c>
      <c r="D110" s="21" t="s">
        <v>113</v>
      </c>
      <c r="E110" s="21">
        <f>'subvention+booking final'!M31</f>
        <v>10024</v>
      </c>
      <c r="F110" s="21">
        <f>+E110</f>
        <v>10024</v>
      </c>
      <c r="G110" s="21" t="s">
        <v>121</v>
      </c>
      <c r="H110" s="22" t="s">
        <v>115</v>
      </c>
      <c r="I110" s="21" t="str">
        <f t="shared" ref="I110" si="26">+H110&amp;C110</f>
        <v>LMSS31102021</v>
      </c>
      <c r="J110" s="21" t="s">
        <v>124</v>
      </c>
      <c r="L110" s="21" t="s">
        <v>264</v>
      </c>
      <c r="M110" s="21" t="s">
        <v>266</v>
      </c>
      <c r="N110" s="159" t="s">
        <v>267</v>
      </c>
      <c r="O110" s="159" t="s">
        <v>276</v>
      </c>
    </row>
    <row r="111" spans="1:21" x14ac:dyDescent="0.25">
      <c r="B111" s="108"/>
      <c r="H111" s="22"/>
    </row>
    <row r="112" spans="1:21" ht="30" x14ac:dyDescent="0.25">
      <c r="A112" s="165" t="str">
        <f>'subvention+booking final'!C33</f>
        <v>at the date when OP upload Collected subvention amount</v>
      </c>
      <c r="B112" s="27" t="s">
        <v>262</v>
      </c>
      <c r="C112" s="156">
        <v>44216</v>
      </c>
    </row>
    <row r="113" spans="1:21" s="4" customFormat="1" x14ac:dyDescent="0.25">
      <c r="A113" s="25" t="s">
        <v>93</v>
      </c>
      <c r="B113" s="25" t="s">
        <v>6</v>
      </c>
      <c r="C113" s="25" t="s">
        <v>94</v>
      </c>
      <c r="D113" s="25" t="s">
        <v>95</v>
      </c>
      <c r="E113" s="25" t="s">
        <v>96</v>
      </c>
      <c r="F113" s="25" t="s">
        <v>97</v>
      </c>
      <c r="G113" s="25" t="s">
        <v>98</v>
      </c>
      <c r="H113" s="25" t="s">
        <v>99</v>
      </c>
      <c r="I113" s="25" t="s">
        <v>100</v>
      </c>
      <c r="J113" s="25" t="s">
        <v>101</v>
      </c>
      <c r="K113" s="25" t="s">
        <v>102</v>
      </c>
      <c r="L113" s="25" t="s">
        <v>103</v>
      </c>
      <c r="M113" s="25" t="s">
        <v>104</v>
      </c>
      <c r="N113" s="158" t="s">
        <v>105</v>
      </c>
      <c r="O113" s="25" t="s">
        <v>106</v>
      </c>
      <c r="P113" s="25" t="s">
        <v>107</v>
      </c>
      <c r="Q113" s="25" t="s">
        <v>108</v>
      </c>
      <c r="R113" s="25" t="s">
        <v>109</v>
      </c>
      <c r="S113" s="25" t="s">
        <v>110</v>
      </c>
      <c r="T113" s="25" t="s">
        <v>111</v>
      </c>
      <c r="U113" s="25" t="s">
        <v>112</v>
      </c>
    </row>
    <row r="114" spans="1:21" ht="45" x14ac:dyDescent="0.25">
      <c r="A114" s="21" t="str">
        <f>'subvention+booking final'!K34</f>
        <v>Bank GL</v>
      </c>
      <c r="B114" s="155" t="str">
        <f>"0"&amp;MONTH($C$112)&amp;YEAR($C$112)</f>
        <v>012021</v>
      </c>
      <c r="C114" s="21" t="str">
        <f>+DAY($C$112)&amp;"0"&amp;MONTH($C$112)&amp;YEAR($C$112)</f>
        <v>20012021</v>
      </c>
      <c r="D114" s="21" t="s">
        <v>113</v>
      </c>
      <c r="E114" s="21">
        <f>'subvention+booking final'!M34</f>
        <v>638000</v>
      </c>
      <c r="F114" s="21">
        <f>+E114</f>
        <v>638000</v>
      </c>
      <c r="G114" s="21" t="s">
        <v>114</v>
      </c>
      <c r="H114" s="22" t="s">
        <v>115</v>
      </c>
      <c r="I114" s="21" t="str">
        <f>+H114&amp;C114</f>
        <v>LMSS20012021</v>
      </c>
      <c r="J114" s="21" t="s">
        <v>124</v>
      </c>
      <c r="L114" s="21" t="s">
        <v>264</v>
      </c>
      <c r="M114" s="21" t="s">
        <v>266</v>
      </c>
      <c r="N114" s="159" t="s">
        <v>267</v>
      </c>
      <c r="O114" s="159" t="s">
        <v>276</v>
      </c>
    </row>
    <row r="115" spans="1:21" ht="45" x14ac:dyDescent="0.25">
      <c r="A115" s="21">
        <f>'subvention+booking final'!K35</f>
        <v>1341020000</v>
      </c>
      <c r="B115" s="155" t="str">
        <f>"0"&amp;MONTH($C$112)&amp;YEAR($C$112)</f>
        <v>012021</v>
      </c>
      <c r="C115" s="21" t="str">
        <f>+DAY($C$112)&amp;"0"&amp;MONTH($C$112)&amp;YEAR($C$112)</f>
        <v>20012021</v>
      </c>
      <c r="D115" s="21" t="s">
        <v>113</v>
      </c>
      <c r="E115" s="21">
        <f>'subvention+booking final'!M35</f>
        <v>638000</v>
      </c>
      <c r="F115" s="21">
        <f>+E115</f>
        <v>638000</v>
      </c>
      <c r="G115" s="21" t="s">
        <v>121</v>
      </c>
      <c r="H115" s="22" t="s">
        <v>115</v>
      </c>
      <c r="I115" s="21" t="str">
        <f t="shared" ref="I115" si="27">+H115&amp;C115</f>
        <v>LMSS20012021</v>
      </c>
      <c r="J115" s="21" t="s">
        <v>124</v>
      </c>
      <c r="L115" s="21" t="s">
        <v>264</v>
      </c>
      <c r="M115" s="21" t="s">
        <v>266</v>
      </c>
      <c r="N115" s="159" t="s">
        <v>267</v>
      </c>
      <c r="O115" s="159" t="s">
        <v>276</v>
      </c>
    </row>
    <row r="117" spans="1:21" s="118" customFormat="1" ht="6.75" customHeight="1" x14ac:dyDescent="0.25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64"/>
      <c r="O117" s="117"/>
      <c r="P117" s="117"/>
      <c r="Q117" s="117"/>
      <c r="R117" s="117"/>
      <c r="S117" s="117"/>
      <c r="T117" s="117"/>
      <c r="U117" s="117"/>
    </row>
    <row r="119" spans="1:21" x14ac:dyDescent="0.25">
      <c r="A119" s="171" t="s">
        <v>232</v>
      </c>
      <c r="B119" s="171"/>
      <c r="C119" s="171"/>
      <c r="D119" s="171"/>
    </row>
    <row r="120" spans="1:21" x14ac:dyDescent="0.25">
      <c r="A120" s="24">
        <f>+'subvention+booking final'!C5</f>
        <v>44116</v>
      </c>
    </row>
    <row r="121" spans="1:21" s="4" customFormat="1" x14ac:dyDescent="0.25">
      <c r="A121" s="25" t="s">
        <v>93</v>
      </c>
      <c r="B121" s="25" t="s">
        <v>6</v>
      </c>
      <c r="C121" s="25" t="s">
        <v>94</v>
      </c>
      <c r="D121" s="25" t="s">
        <v>95</v>
      </c>
      <c r="E121" s="25" t="s">
        <v>96</v>
      </c>
      <c r="F121" s="25" t="s">
        <v>97</v>
      </c>
      <c r="G121" s="25" t="s">
        <v>98</v>
      </c>
      <c r="H121" s="25" t="s">
        <v>99</v>
      </c>
      <c r="I121" s="25" t="s">
        <v>100</v>
      </c>
      <c r="J121" s="25" t="s">
        <v>101</v>
      </c>
      <c r="K121" s="25" t="s">
        <v>102</v>
      </c>
      <c r="L121" s="25" t="s">
        <v>103</v>
      </c>
      <c r="M121" s="25" t="s">
        <v>104</v>
      </c>
      <c r="N121" s="158" t="s">
        <v>105</v>
      </c>
      <c r="O121" s="25" t="s">
        <v>106</v>
      </c>
      <c r="P121" s="25" t="s">
        <v>107</v>
      </c>
      <c r="Q121" s="25" t="s">
        <v>108</v>
      </c>
      <c r="R121" s="25" t="s">
        <v>109</v>
      </c>
      <c r="S121" s="25" t="s">
        <v>110</v>
      </c>
      <c r="T121" s="25" t="s">
        <v>111</v>
      </c>
      <c r="U121" s="25" t="s">
        <v>112</v>
      </c>
    </row>
    <row r="122" spans="1:21" ht="45" x14ac:dyDescent="0.25">
      <c r="A122" s="21">
        <f>'subvention+booking final'!N6</f>
        <v>1341020000</v>
      </c>
      <c r="B122" s="155" t="str">
        <f>MONTH($A$120)&amp;YEAR($A$120)</f>
        <v>102020</v>
      </c>
      <c r="C122" s="21" t="str">
        <f>+DAY($A$120)&amp;MONTH($A$120)&amp;YEAR($A$120)</f>
        <v>12102020</v>
      </c>
      <c r="D122" s="21" t="s">
        <v>113</v>
      </c>
      <c r="E122" s="21">
        <f>'subvention+booking final'!P6</f>
        <v>580000</v>
      </c>
      <c r="F122" s="21">
        <f t="shared" ref="F122:F125" si="28">+E122</f>
        <v>580000</v>
      </c>
      <c r="G122" s="21" t="s">
        <v>114</v>
      </c>
      <c r="H122" s="22" t="s">
        <v>115</v>
      </c>
      <c r="I122" s="21" t="str">
        <f t="shared" ref="I122:I125" si="29">H122&amp;C122</f>
        <v>LMSS12102020</v>
      </c>
      <c r="J122" s="21" t="s">
        <v>123</v>
      </c>
      <c r="L122" s="21" t="s">
        <v>264</v>
      </c>
      <c r="M122" s="21" t="s">
        <v>266</v>
      </c>
      <c r="N122" s="159" t="s">
        <v>267</v>
      </c>
      <c r="O122" s="159" t="s">
        <v>276</v>
      </c>
    </row>
    <row r="123" spans="1:21" ht="45" x14ac:dyDescent="0.25">
      <c r="A123" s="21">
        <f>'subvention+booking final'!N8</f>
        <v>4774080000</v>
      </c>
      <c r="B123" s="155" t="str">
        <f t="shared" ref="B123:B125" si="30">MONTH($A$120)&amp;YEAR($A$120)</f>
        <v>102020</v>
      </c>
      <c r="C123" s="21" t="str">
        <f t="shared" ref="C123:C125" si="31">+DAY($A$120)&amp;MONTH($A$120)&amp;YEAR($A$120)</f>
        <v>12102020</v>
      </c>
      <c r="D123" s="21" t="s">
        <v>113</v>
      </c>
      <c r="E123" s="21">
        <f>'subvention+booking final'!P8</f>
        <v>580000</v>
      </c>
      <c r="F123" s="21">
        <f t="shared" si="28"/>
        <v>580000</v>
      </c>
      <c r="G123" s="21" t="str">
        <f>+IF('subvention+booking final'!B96="Debit","D","C")</f>
        <v>C</v>
      </c>
      <c r="H123" s="22" t="s">
        <v>115</v>
      </c>
      <c r="I123" s="21" t="str">
        <f t="shared" si="29"/>
        <v>LMSS12102020</v>
      </c>
      <c r="J123" s="21" t="s">
        <v>123</v>
      </c>
      <c r="L123" s="21" t="s">
        <v>264</v>
      </c>
      <c r="M123" s="21" t="s">
        <v>266</v>
      </c>
      <c r="N123" s="159" t="s">
        <v>267</v>
      </c>
      <c r="O123" s="159" t="s">
        <v>276</v>
      </c>
    </row>
    <row r="124" spans="1:21" ht="45" x14ac:dyDescent="0.25">
      <c r="A124" s="21">
        <f>'subvention+booking final'!N10</f>
        <v>4774070000</v>
      </c>
      <c r="B124" s="155" t="str">
        <f t="shared" si="30"/>
        <v>102020</v>
      </c>
      <c r="C124" s="21" t="str">
        <f t="shared" si="31"/>
        <v>12102020</v>
      </c>
      <c r="D124" s="21" t="s">
        <v>113</v>
      </c>
      <c r="E124" s="21">
        <f>'subvention+booking final'!P10</f>
        <v>580000</v>
      </c>
      <c r="F124" s="21">
        <f t="shared" si="28"/>
        <v>580000</v>
      </c>
      <c r="G124" s="21" t="s">
        <v>114</v>
      </c>
      <c r="H124" s="22" t="s">
        <v>115</v>
      </c>
      <c r="I124" s="21" t="str">
        <f t="shared" si="29"/>
        <v>LMSS12102020</v>
      </c>
      <c r="J124" s="21" t="s">
        <v>123</v>
      </c>
      <c r="L124" s="21" t="s">
        <v>264</v>
      </c>
      <c r="M124" s="21" t="s">
        <v>266</v>
      </c>
      <c r="N124" s="159" t="s">
        <v>267</v>
      </c>
      <c r="O124" s="159" t="s">
        <v>276</v>
      </c>
    </row>
    <row r="125" spans="1:21" ht="45" x14ac:dyDescent="0.25">
      <c r="A125" s="21">
        <f>'subvention+booking final'!N11</f>
        <v>3393010000</v>
      </c>
      <c r="B125" s="155" t="str">
        <f t="shared" si="30"/>
        <v>102020</v>
      </c>
      <c r="C125" s="21" t="str">
        <f t="shared" si="31"/>
        <v>12102020</v>
      </c>
      <c r="D125" s="21" t="s">
        <v>113</v>
      </c>
      <c r="E125" s="21">
        <f>'subvention+booking final'!P11</f>
        <v>580000</v>
      </c>
      <c r="F125" s="21">
        <f t="shared" si="28"/>
        <v>580000</v>
      </c>
      <c r="G125" s="21" t="s">
        <v>121</v>
      </c>
      <c r="H125" s="22" t="s">
        <v>115</v>
      </c>
      <c r="I125" s="21" t="str">
        <f t="shared" si="29"/>
        <v>LMSS12102020</v>
      </c>
      <c r="J125" s="21" t="s">
        <v>123</v>
      </c>
      <c r="L125" s="21" t="s">
        <v>264</v>
      </c>
      <c r="M125" s="21" t="s">
        <v>266</v>
      </c>
      <c r="N125" s="159" t="s">
        <v>267</v>
      </c>
      <c r="O125" s="159" t="s">
        <v>276</v>
      </c>
    </row>
    <row r="127" spans="1:21" x14ac:dyDescent="0.25">
      <c r="A127" s="24">
        <f>+'subvention+booking final'!C13</f>
        <v>44135</v>
      </c>
      <c r="B127" s="27" t="str">
        <f>+'subvention+booking final'!D13</f>
        <v>Note: generate GL at month end date. Starting amortisation at the month of first EMI</v>
      </c>
    </row>
    <row r="128" spans="1:21" s="4" customFormat="1" x14ac:dyDescent="0.25">
      <c r="A128" s="25" t="s">
        <v>93</v>
      </c>
      <c r="B128" s="25" t="s">
        <v>6</v>
      </c>
      <c r="C128" s="25" t="s">
        <v>94</v>
      </c>
      <c r="D128" s="25" t="s">
        <v>95</v>
      </c>
      <c r="E128" s="25" t="s">
        <v>96</v>
      </c>
      <c r="F128" s="25" t="s">
        <v>97</v>
      </c>
      <c r="G128" s="25" t="s">
        <v>98</v>
      </c>
      <c r="H128" s="25" t="s">
        <v>99</v>
      </c>
      <c r="I128" s="25" t="s">
        <v>100</v>
      </c>
      <c r="J128" s="25" t="s">
        <v>101</v>
      </c>
      <c r="K128" s="25" t="s">
        <v>102</v>
      </c>
      <c r="L128" s="25" t="s">
        <v>103</v>
      </c>
      <c r="M128" s="25" t="s">
        <v>104</v>
      </c>
      <c r="N128" s="158" t="s">
        <v>105</v>
      </c>
      <c r="O128" s="25" t="s">
        <v>106</v>
      </c>
      <c r="P128" s="25" t="s">
        <v>107</v>
      </c>
      <c r="Q128" s="25" t="s">
        <v>108</v>
      </c>
      <c r="R128" s="25" t="s">
        <v>109</v>
      </c>
      <c r="S128" s="25" t="s">
        <v>110</v>
      </c>
      <c r="T128" s="25" t="s">
        <v>111</v>
      </c>
      <c r="U128" s="25" t="s">
        <v>112</v>
      </c>
    </row>
    <row r="129" spans="1:21" ht="45" x14ac:dyDescent="0.25">
      <c r="A129" s="21">
        <f>'subvention+booking final'!N14</f>
        <v>3393010000</v>
      </c>
      <c r="B129" s="155" t="str">
        <f>MONTH($A$127)&amp;YEAR($A$127)</f>
        <v>102020</v>
      </c>
      <c r="C129" s="21" t="str">
        <f>+DAY($A$127)&amp;MONTH($A$127)&amp;YEAR($A$127)</f>
        <v>31102020</v>
      </c>
      <c r="D129" s="21" t="s">
        <v>113</v>
      </c>
      <c r="E129" s="21">
        <f>'subvention+booking final'!P14</f>
        <v>75972</v>
      </c>
      <c r="F129" s="21">
        <f>+E129</f>
        <v>75972</v>
      </c>
      <c r="G129" s="21" t="s">
        <v>114</v>
      </c>
      <c r="H129" s="22" t="s">
        <v>115</v>
      </c>
      <c r="I129" s="21" t="str">
        <f t="shared" ref="I129:I130" si="32">H129&amp;C129</f>
        <v>LMSS31102020</v>
      </c>
      <c r="J129" s="21" t="s">
        <v>124</v>
      </c>
      <c r="L129" s="21" t="s">
        <v>264</v>
      </c>
      <c r="M129" s="21" t="s">
        <v>266</v>
      </c>
      <c r="N129" s="159" t="s">
        <v>267</v>
      </c>
      <c r="O129" s="159" t="s">
        <v>276</v>
      </c>
    </row>
    <row r="130" spans="1:21" ht="45" x14ac:dyDescent="0.25">
      <c r="A130" s="21">
        <f>'subvention+booking final'!N15</f>
        <v>4774070000</v>
      </c>
      <c r="B130" s="155" t="str">
        <f>MONTH($A$127)&amp;YEAR($A$127)</f>
        <v>102020</v>
      </c>
      <c r="C130" s="21" t="str">
        <f>+DAY($A$127)&amp;MONTH($A$127)&amp;YEAR($A$127)</f>
        <v>31102020</v>
      </c>
      <c r="D130" s="21" t="s">
        <v>113</v>
      </c>
      <c r="E130" s="21">
        <f>'subvention+booking final'!P15</f>
        <v>75972</v>
      </c>
      <c r="F130" s="21">
        <f>+E130</f>
        <v>75972</v>
      </c>
      <c r="G130" s="21" t="s">
        <v>121</v>
      </c>
      <c r="H130" s="22" t="s">
        <v>115</v>
      </c>
      <c r="I130" s="21" t="str">
        <f t="shared" si="32"/>
        <v>LMSS31102020</v>
      </c>
      <c r="J130" s="21" t="s">
        <v>124</v>
      </c>
      <c r="L130" s="21" t="s">
        <v>264</v>
      </c>
      <c r="M130" s="21" t="s">
        <v>266</v>
      </c>
      <c r="N130" s="159" t="s">
        <v>267</v>
      </c>
      <c r="O130" s="159" t="s">
        <v>276</v>
      </c>
    </row>
    <row r="132" spans="1:21" x14ac:dyDescent="0.25">
      <c r="A132" s="24">
        <f>+'subvention+booking final'!C17</f>
        <v>44165</v>
      </c>
      <c r="B132" s="27" t="str">
        <f>+'subvention+booking final'!D17</f>
        <v>Note: generate GL at month end date</v>
      </c>
    </row>
    <row r="133" spans="1:21" s="4" customFormat="1" x14ac:dyDescent="0.25">
      <c r="A133" s="25" t="s">
        <v>93</v>
      </c>
      <c r="B133" s="25" t="s">
        <v>6</v>
      </c>
      <c r="C133" s="25" t="s">
        <v>94</v>
      </c>
      <c r="D133" s="25" t="s">
        <v>95</v>
      </c>
      <c r="E133" s="25" t="s">
        <v>96</v>
      </c>
      <c r="F133" s="25" t="s">
        <v>97</v>
      </c>
      <c r="G133" s="25" t="s">
        <v>98</v>
      </c>
      <c r="H133" s="25" t="s">
        <v>99</v>
      </c>
      <c r="I133" s="25" t="s">
        <v>100</v>
      </c>
      <c r="J133" s="25" t="s">
        <v>101</v>
      </c>
      <c r="K133" s="25" t="s">
        <v>102</v>
      </c>
      <c r="L133" s="25" t="s">
        <v>103</v>
      </c>
      <c r="M133" s="25" t="s">
        <v>104</v>
      </c>
      <c r="N133" s="158" t="s">
        <v>105</v>
      </c>
      <c r="O133" s="25" t="s">
        <v>106</v>
      </c>
      <c r="P133" s="25" t="s">
        <v>107</v>
      </c>
      <c r="Q133" s="25" t="s">
        <v>108</v>
      </c>
      <c r="R133" s="25" t="s">
        <v>109</v>
      </c>
      <c r="S133" s="25" t="s">
        <v>110</v>
      </c>
      <c r="T133" s="25" t="s">
        <v>111</v>
      </c>
      <c r="U133" s="25" t="s">
        <v>112</v>
      </c>
    </row>
    <row r="134" spans="1:21" ht="45" x14ac:dyDescent="0.25">
      <c r="A134" s="21">
        <f>'subvention+booking final'!N18</f>
        <v>3393010000</v>
      </c>
      <c r="B134" s="155" t="str">
        <f>MONTH($A$132)&amp;YEAR($A$132)</f>
        <v>112020</v>
      </c>
      <c r="C134" s="21" t="str">
        <f>+DAY($A$132)&amp;MONTH($A$132)&amp;YEAR($A$132)</f>
        <v>30112020</v>
      </c>
      <c r="D134" s="21" t="s">
        <v>113</v>
      </c>
      <c r="E134" s="21">
        <f>'subvention+booking final'!P18</f>
        <v>72613</v>
      </c>
      <c r="F134" s="21">
        <f>+E134</f>
        <v>72613</v>
      </c>
      <c r="G134" s="21" t="s">
        <v>114</v>
      </c>
      <c r="H134" s="22" t="s">
        <v>115</v>
      </c>
      <c r="I134" s="21" t="str">
        <f t="shared" ref="I134:I135" si="33">H134&amp;C134</f>
        <v>LMSS30112020</v>
      </c>
      <c r="J134" s="21" t="s">
        <v>124</v>
      </c>
      <c r="L134" s="21" t="s">
        <v>264</v>
      </c>
      <c r="M134" s="21" t="s">
        <v>266</v>
      </c>
      <c r="N134" s="159" t="s">
        <v>267</v>
      </c>
      <c r="O134" s="159" t="s">
        <v>276</v>
      </c>
    </row>
    <row r="135" spans="1:21" ht="45" x14ac:dyDescent="0.25">
      <c r="A135" s="21">
        <f>'subvention+booking final'!N19</f>
        <v>4774070000</v>
      </c>
      <c r="B135" s="155" t="str">
        <f>MONTH($A$132)&amp;YEAR($A$132)</f>
        <v>112020</v>
      </c>
      <c r="C135" s="21" t="str">
        <f>+DAY($A$132)&amp;MONTH($A$132)&amp;YEAR($A$132)</f>
        <v>30112020</v>
      </c>
      <c r="D135" s="21" t="s">
        <v>113</v>
      </c>
      <c r="E135" s="21">
        <f>'subvention+booking final'!P19</f>
        <v>72613</v>
      </c>
      <c r="F135" s="21">
        <f>+E135</f>
        <v>72613</v>
      </c>
      <c r="G135" s="21" t="s">
        <v>121</v>
      </c>
      <c r="H135" s="22" t="s">
        <v>115</v>
      </c>
      <c r="I135" s="21" t="str">
        <f t="shared" si="33"/>
        <v>LMSS30112020</v>
      </c>
      <c r="J135" s="21" t="s">
        <v>124</v>
      </c>
      <c r="L135" s="21" t="s">
        <v>264</v>
      </c>
      <c r="M135" s="21" t="s">
        <v>266</v>
      </c>
      <c r="N135" s="159" t="s">
        <v>267</v>
      </c>
      <c r="O135" s="159" t="s">
        <v>276</v>
      </c>
    </row>
    <row r="137" spans="1:21" x14ac:dyDescent="0.25">
      <c r="A137" s="26" t="str">
        <f>+'subvention+booking final'!C21</f>
        <v>at WO/ET date</v>
      </c>
      <c r="B137" s="27" t="s">
        <v>262</v>
      </c>
      <c r="C137" s="156">
        <v>44180</v>
      </c>
    </row>
    <row r="138" spans="1:21" s="4" customFormat="1" x14ac:dyDescent="0.25">
      <c r="A138" s="25" t="s">
        <v>93</v>
      </c>
      <c r="B138" s="25" t="s">
        <v>6</v>
      </c>
      <c r="C138" s="25" t="s">
        <v>94</v>
      </c>
      <c r="D138" s="25" t="s">
        <v>95</v>
      </c>
      <c r="E138" s="25" t="s">
        <v>96</v>
      </c>
      <c r="F138" s="25" t="s">
        <v>97</v>
      </c>
      <c r="G138" s="25" t="s">
        <v>98</v>
      </c>
      <c r="H138" s="25" t="s">
        <v>99</v>
      </c>
      <c r="I138" s="25" t="s">
        <v>100</v>
      </c>
      <c r="J138" s="25" t="s">
        <v>101</v>
      </c>
      <c r="K138" s="25" t="s">
        <v>102</v>
      </c>
      <c r="L138" s="25" t="s">
        <v>103</v>
      </c>
      <c r="M138" s="25" t="s">
        <v>104</v>
      </c>
      <c r="N138" s="158" t="s">
        <v>105</v>
      </c>
      <c r="O138" s="25" t="s">
        <v>106</v>
      </c>
      <c r="P138" s="25" t="s">
        <v>107</v>
      </c>
      <c r="Q138" s="25" t="s">
        <v>108</v>
      </c>
      <c r="R138" s="25" t="s">
        <v>109</v>
      </c>
      <c r="S138" s="25" t="s">
        <v>110</v>
      </c>
      <c r="T138" s="25" t="s">
        <v>111</v>
      </c>
      <c r="U138" s="25" t="s">
        <v>112</v>
      </c>
    </row>
    <row r="139" spans="1:21" ht="45" x14ac:dyDescent="0.25">
      <c r="A139" s="21">
        <f>'subvention+booking final'!N22</f>
        <v>3393010000</v>
      </c>
      <c r="B139" s="155" t="str">
        <f>MONTH($C$137)&amp;YEAR($C$137)</f>
        <v>122020</v>
      </c>
      <c r="C139" s="21" t="str">
        <f>+DAY($C$137)&amp;MONTH($C$137)&amp;YEAR($C$137)</f>
        <v>15122020</v>
      </c>
      <c r="D139" s="21" t="s">
        <v>113</v>
      </c>
      <c r="E139" s="21">
        <f>'subvention+booking final'!P22</f>
        <v>431415</v>
      </c>
      <c r="F139" s="21">
        <f>+E139</f>
        <v>431415</v>
      </c>
      <c r="G139" s="21" t="s">
        <v>114</v>
      </c>
      <c r="H139" s="22" t="s">
        <v>115</v>
      </c>
      <c r="I139" s="21" t="str">
        <f>+H139&amp;C139</f>
        <v>LMSS15122020</v>
      </c>
      <c r="J139" s="21" t="s">
        <v>124</v>
      </c>
      <c r="L139" s="21" t="s">
        <v>264</v>
      </c>
      <c r="M139" s="21" t="s">
        <v>266</v>
      </c>
      <c r="N139" s="159" t="s">
        <v>267</v>
      </c>
      <c r="O139" s="159" t="s">
        <v>276</v>
      </c>
    </row>
    <row r="140" spans="1:21" ht="45" x14ac:dyDescent="0.25">
      <c r="A140" s="21">
        <f>'subvention+booking final'!N23</f>
        <v>4774070000</v>
      </c>
      <c r="B140" s="155" t="str">
        <f>MONTH($C$137)&amp;YEAR($C$137)</f>
        <v>122020</v>
      </c>
      <c r="C140" s="21" t="str">
        <f>+DAY($C$137)&amp;MONTH($C$137)&amp;YEAR($C$137)</f>
        <v>15122020</v>
      </c>
      <c r="D140" s="21" t="s">
        <v>113</v>
      </c>
      <c r="E140" s="21">
        <f>'subvention+booking final'!P23</f>
        <v>431415</v>
      </c>
      <c r="F140" s="21">
        <f>+E140</f>
        <v>431415</v>
      </c>
      <c r="G140" s="21" t="s">
        <v>121</v>
      </c>
      <c r="H140" s="22" t="s">
        <v>115</v>
      </c>
      <c r="I140" s="21" t="str">
        <f t="shared" ref="I140" si="34">+H140&amp;C140</f>
        <v>LMSS15122020</v>
      </c>
      <c r="J140" s="21" t="s">
        <v>124</v>
      </c>
      <c r="L140" s="21" t="s">
        <v>264</v>
      </c>
      <c r="M140" s="21" t="s">
        <v>266</v>
      </c>
      <c r="N140" s="159" t="s">
        <v>267</v>
      </c>
      <c r="O140" s="159" t="s">
        <v>276</v>
      </c>
    </row>
    <row r="142" spans="1:21" x14ac:dyDescent="0.25">
      <c r="A142" s="24">
        <f>'subvention+booking final'!C25</f>
        <v>44104</v>
      </c>
      <c r="B142" s="27" t="str">
        <f>'subvention+booking final'!A25</f>
        <v>Closed at Maturity date</v>
      </c>
      <c r="C142" s="156"/>
    </row>
    <row r="143" spans="1:21" s="4" customFormat="1" x14ac:dyDescent="0.25">
      <c r="A143" s="25" t="s">
        <v>93</v>
      </c>
      <c r="B143" s="25" t="s">
        <v>6</v>
      </c>
      <c r="C143" s="25" t="s">
        <v>94</v>
      </c>
      <c r="D143" s="25" t="s">
        <v>95</v>
      </c>
      <c r="E143" s="25" t="s">
        <v>96</v>
      </c>
      <c r="F143" s="25" t="s">
        <v>97</v>
      </c>
      <c r="G143" s="25" t="s">
        <v>98</v>
      </c>
      <c r="H143" s="25" t="s">
        <v>99</v>
      </c>
      <c r="I143" s="25" t="s">
        <v>100</v>
      </c>
      <c r="J143" s="25" t="s">
        <v>101</v>
      </c>
      <c r="K143" s="25" t="s">
        <v>102</v>
      </c>
      <c r="L143" s="25" t="s">
        <v>103</v>
      </c>
      <c r="M143" s="25" t="s">
        <v>104</v>
      </c>
      <c r="N143" s="158" t="s">
        <v>105</v>
      </c>
      <c r="O143" s="25" t="s">
        <v>106</v>
      </c>
      <c r="P143" s="25" t="s">
        <v>107</v>
      </c>
      <c r="Q143" s="25" t="s">
        <v>108</v>
      </c>
      <c r="R143" s="25" t="s">
        <v>109</v>
      </c>
      <c r="S143" s="25" t="s">
        <v>110</v>
      </c>
      <c r="T143" s="25" t="s">
        <v>111</v>
      </c>
      <c r="U143" s="25" t="s">
        <v>112</v>
      </c>
    </row>
    <row r="144" spans="1:21" ht="45" x14ac:dyDescent="0.25">
      <c r="A144" s="21">
        <f>'subvention+booking final'!N30</f>
        <v>3393010000</v>
      </c>
      <c r="B144" s="155" t="str">
        <f>"0"&amp;MONTH($A$142)&amp;YEAR($A$142)</f>
        <v>092020</v>
      </c>
      <c r="C144" s="21" t="str">
        <f>+DAY($A$142)&amp;"0"&amp;MONTH($A$142)&amp;YEAR($A$142)</f>
        <v>30092020</v>
      </c>
      <c r="D144" s="21" t="s">
        <v>113</v>
      </c>
      <c r="E144" s="21">
        <f>'subvention+booking final'!P26</f>
        <v>10024</v>
      </c>
      <c r="F144" s="21">
        <f>+E144</f>
        <v>10024</v>
      </c>
      <c r="G144" s="21" t="s">
        <v>114</v>
      </c>
      <c r="H144" s="22" t="s">
        <v>115</v>
      </c>
      <c r="I144" s="21" t="str">
        <f>+H144&amp;C144</f>
        <v>LMSS30092020</v>
      </c>
      <c r="J144" s="21" t="s">
        <v>124</v>
      </c>
      <c r="L144" s="21" t="s">
        <v>264</v>
      </c>
      <c r="M144" s="21" t="s">
        <v>266</v>
      </c>
      <c r="N144" s="159" t="s">
        <v>267</v>
      </c>
      <c r="O144" s="159" t="s">
        <v>276</v>
      </c>
    </row>
    <row r="145" spans="1:21" ht="45" x14ac:dyDescent="0.25">
      <c r="A145" s="21">
        <f>'subvention+booking final'!N31</f>
        <v>4774070000</v>
      </c>
      <c r="B145" s="155" t="str">
        <f>"0"&amp;MONTH($A$142)&amp;YEAR($A$142)</f>
        <v>092020</v>
      </c>
      <c r="C145" s="21" t="str">
        <f>+DAY($A$142)&amp;"0"&amp;MONTH($A$142)&amp;YEAR($A$142)</f>
        <v>30092020</v>
      </c>
      <c r="D145" s="21" t="s">
        <v>113</v>
      </c>
      <c r="E145" s="21">
        <f>'subvention+booking final'!P27</f>
        <v>10024</v>
      </c>
      <c r="F145" s="21">
        <f>+E145</f>
        <v>10024</v>
      </c>
      <c r="G145" s="21" t="s">
        <v>121</v>
      </c>
      <c r="H145" s="22" t="s">
        <v>115</v>
      </c>
      <c r="I145" s="21" t="str">
        <f t="shared" ref="I145" si="35">+H145&amp;C145</f>
        <v>LMSS30092020</v>
      </c>
      <c r="J145" s="21" t="s">
        <v>124</v>
      </c>
      <c r="L145" s="21" t="s">
        <v>264</v>
      </c>
      <c r="M145" s="21" t="s">
        <v>266</v>
      </c>
      <c r="N145" s="159" t="s">
        <v>267</v>
      </c>
      <c r="O145" s="159" t="s">
        <v>276</v>
      </c>
    </row>
    <row r="146" spans="1:21" x14ac:dyDescent="0.25">
      <c r="B146" s="155"/>
      <c r="H146" s="22"/>
      <c r="O146" s="159"/>
    </row>
    <row r="147" spans="1:21" x14ac:dyDescent="0.25">
      <c r="A147" s="24">
        <f>'subvention+booking final'!C29</f>
        <v>44500</v>
      </c>
      <c r="B147" s="27" t="str">
        <f>'subvention+booking final'!A29</f>
        <v>Not Closed yet at Maturity date</v>
      </c>
      <c r="C147" s="156"/>
    </row>
    <row r="148" spans="1:21" s="4" customFormat="1" x14ac:dyDescent="0.25">
      <c r="A148" s="25" t="s">
        <v>93</v>
      </c>
      <c r="B148" s="25" t="s">
        <v>6</v>
      </c>
      <c r="C148" s="25" t="s">
        <v>94</v>
      </c>
      <c r="D148" s="25" t="s">
        <v>95</v>
      </c>
      <c r="E148" s="25" t="s">
        <v>96</v>
      </c>
      <c r="F148" s="25" t="s">
        <v>97</v>
      </c>
      <c r="G148" s="25" t="s">
        <v>98</v>
      </c>
      <c r="H148" s="25" t="s">
        <v>99</v>
      </c>
      <c r="I148" s="25" t="s">
        <v>100</v>
      </c>
      <c r="J148" s="25" t="s">
        <v>101</v>
      </c>
      <c r="K148" s="25" t="s">
        <v>102</v>
      </c>
      <c r="L148" s="25" t="s">
        <v>103</v>
      </c>
      <c r="M148" s="25" t="s">
        <v>104</v>
      </c>
      <c r="N148" s="158" t="s">
        <v>105</v>
      </c>
      <c r="O148" s="25" t="s">
        <v>106</v>
      </c>
      <c r="P148" s="25" t="s">
        <v>107</v>
      </c>
      <c r="Q148" s="25" t="s">
        <v>108</v>
      </c>
      <c r="R148" s="25" t="s">
        <v>109</v>
      </c>
      <c r="S148" s="25" t="s">
        <v>110</v>
      </c>
      <c r="T148" s="25" t="s">
        <v>111</v>
      </c>
      <c r="U148" s="25" t="s">
        <v>112</v>
      </c>
    </row>
    <row r="149" spans="1:21" ht="45" x14ac:dyDescent="0.25">
      <c r="A149" s="21">
        <f>'subvention+booking final'!N30</f>
        <v>3393010000</v>
      </c>
      <c r="B149" s="155" t="str">
        <f>MONTH($A$147)&amp;YEAR($A$147)</f>
        <v>102021</v>
      </c>
      <c r="C149" s="21" t="str">
        <f>+DAY($A$147)&amp;MONTH($A$147)&amp;YEAR($A$147)</f>
        <v>31102021</v>
      </c>
      <c r="D149" s="21" t="s">
        <v>113</v>
      </c>
      <c r="E149" s="21">
        <f>'subvention+booking final'!P30</f>
        <v>10024</v>
      </c>
      <c r="F149" s="21">
        <f>+E149</f>
        <v>10024</v>
      </c>
      <c r="G149" s="21" t="s">
        <v>114</v>
      </c>
      <c r="H149" s="22" t="s">
        <v>115</v>
      </c>
      <c r="I149" s="21" t="str">
        <f>+H149&amp;C149</f>
        <v>LMSS31102021</v>
      </c>
      <c r="J149" s="21" t="s">
        <v>124</v>
      </c>
      <c r="L149" s="21" t="s">
        <v>264</v>
      </c>
      <c r="M149" s="21" t="s">
        <v>266</v>
      </c>
      <c r="N149" s="159" t="s">
        <v>267</v>
      </c>
      <c r="O149" s="159" t="s">
        <v>276</v>
      </c>
    </row>
    <row r="150" spans="1:21" ht="45" x14ac:dyDescent="0.25">
      <c r="A150" s="21">
        <f>'subvention+booking final'!N31</f>
        <v>4774070000</v>
      </c>
      <c r="B150" s="155" t="str">
        <f>MONTH($A$147)&amp;YEAR($A$147)</f>
        <v>102021</v>
      </c>
      <c r="C150" s="21" t="str">
        <f>+DAY($A$147)&amp;MONTH($A$147)&amp;YEAR($A$147)</f>
        <v>31102021</v>
      </c>
      <c r="D150" s="21" t="s">
        <v>113</v>
      </c>
      <c r="E150" s="21">
        <f>'subvention+booking final'!P31</f>
        <v>10024</v>
      </c>
      <c r="F150" s="21">
        <f>+E150</f>
        <v>10024</v>
      </c>
      <c r="G150" s="21" t="s">
        <v>121</v>
      </c>
      <c r="H150" s="22" t="s">
        <v>115</v>
      </c>
      <c r="I150" s="21" t="str">
        <f t="shared" ref="I150" si="36">+H150&amp;C150</f>
        <v>LMSS31102021</v>
      </c>
      <c r="J150" s="21" t="s">
        <v>124</v>
      </c>
      <c r="L150" s="21" t="s">
        <v>264</v>
      </c>
      <c r="M150" s="21" t="s">
        <v>266</v>
      </c>
      <c r="N150" s="159" t="s">
        <v>267</v>
      </c>
      <c r="O150" s="159" t="s">
        <v>276</v>
      </c>
    </row>
    <row r="152" spans="1:21" x14ac:dyDescent="0.25">
      <c r="A152" s="119" t="str">
        <f>'subvention+booking final'!C33</f>
        <v>at the date when OP upload Collected subvention amount</v>
      </c>
      <c r="B152" s="27" t="s">
        <v>262</v>
      </c>
      <c r="C152" s="156">
        <v>44216</v>
      </c>
    </row>
    <row r="153" spans="1:21" s="4" customFormat="1" x14ac:dyDescent="0.25">
      <c r="A153" s="25" t="s">
        <v>93</v>
      </c>
      <c r="B153" s="25" t="s">
        <v>6</v>
      </c>
      <c r="C153" s="25" t="s">
        <v>94</v>
      </c>
      <c r="D153" s="25" t="s">
        <v>95</v>
      </c>
      <c r="E153" s="25" t="s">
        <v>96</v>
      </c>
      <c r="F153" s="25" t="s">
        <v>97</v>
      </c>
      <c r="G153" s="25" t="s">
        <v>98</v>
      </c>
      <c r="H153" s="25" t="s">
        <v>99</v>
      </c>
      <c r="I153" s="25" t="s">
        <v>100</v>
      </c>
      <c r="J153" s="25" t="s">
        <v>101</v>
      </c>
      <c r="K153" s="25" t="s">
        <v>102</v>
      </c>
      <c r="L153" s="25" t="s">
        <v>103</v>
      </c>
      <c r="M153" s="25" t="s">
        <v>104</v>
      </c>
      <c r="N153" s="158" t="s">
        <v>105</v>
      </c>
      <c r="O153" s="25" t="s">
        <v>106</v>
      </c>
      <c r="P153" s="25" t="s">
        <v>107</v>
      </c>
      <c r="Q153" s="25" t="s">
        <v>108</v>
      </c>
      <c r="R153" s="25" t="s">
        <v>109</v>
      </c>
      <c r="S153" s="25" t="s">
        <v>110</v>
      </c>
      <c r="T153" s="25" t="s">
        <v>111</v>
      </c>
      <c r="U153" s="25" t="s">
        <v>112</v>
      </c>
    </row>
    <row r="154" spans="1:21" ht="45" x14ac:dyDescent="0.25">
      <c r="A154" s="21" t="str">
        <f>'subvention+booking final'!K34</f>
        <v>Bank GL</v>
      </c>
      <c r="B154" s="157" t="s">
        <v>218</v>
      </c>
      <c r="C154" s="21">
        <v>20012021</v>
      </c>
      <c r="D154" s="21" t="s">
        <v>113</v>
      </c>
      <c r="E154" s="21">
        <f>'subvention+booking final'!P34</f>
        <v>580000</v>
      </c>
      <c r="F154" s="21">
        <f>+E154</f>
        <v>580000</v>
      </c>
      <c r="G154" s="21" t="s">
        <v>114</v>
      </c>
      <c r="H154" s="22" t="s">
        <v>115</v>
      </c>
      <c r="I154" s="21" t="str">
        <f>+H154&amp;C154</f>
        <v>LMSS20012021</v>
      </c>
      <c r="J154" s="21" t="s">
        <v>124</v>
      </c>
      <c r="L154" s="21" t="s">
        <v>264</v>
      </c>
      <c r="M154" s="21" t="s">
        <v>266</v>
      </c>
      <c r="N154" s="159" t="s">
        <v>267</v>
      </c>
      <c r="O154" s="159" t="s">
        <v>276</v>
      </c>
    </row>
    <row r="155" spans="1:21" ht="45" x14ac:dyDescent="0.25">
      <c r="A155" s="21">
        <f>'subvention+booking final'!K35</f>
        <v>1341020000</v>
      </c>
      <c r="B155" s="108" t="s">
        <v>218</v>
      </c>
      <c r="C155" s="21">
        <v>20012021</v>
      </c>
      <c r="D155" s="21" t="s">
        <v>113</v>
      </c>
      <c r="E155" s="21">
        <f>'subvention+booking final'!P35</f>
        <v>580000</v>
      </c>
      <c r="F155" s="21">
        <f>+E155</f>
        <v>580000</v>
      </c>
      <c r="G155" s="21" t="s">
        <v>121</v>
      </c>
      <c r="H155" s="22" t="s">
        <v>115</v>
      </c>
      <c r="I155" s="21" t="str">
        <f t="shared" ref="I155" si="37">+H155&amp;C155</f>
        <v>LMSS20012021</v>
      </c>
      <c r="J155" s="21" t="s">
        <v>124</v>
      </c>
      <c r="L155" s="21" t="s">
        <v>264</v>
      </c>
      <c r="M155" s="21" t="s">
        <v>266</v>
      </c>
      <c r="N155" s="159" t="s">
        <v>267</v>
      </c>
      <c r="O155" s="159" t="s">
        <v>276</v>
      </c>
    </row>
  </sheetData>
  <mergeCells count="4">
    <mergeCell ref="A3:D3"/>
    <mergeCell ref="A40:D40"/>
    <mergeCell ref="A77:D77"/>
    <mergeCell ref="A119:D1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44"/>
  <sheetViews>
    <sheetView zoomScale="80" zoomScaleNormal="8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K2" sqref="K2:P2"/>
    </sheetView>
  </sheetViews>
  <sheetFormatPr defaultRowHeight="15" x14ac:dyDescent="0.25"/>
  <cols>
    <col min="2" max="2" width="29.28515625" customWidth="1"/>
    <col min="3" max="3" width="21.42578125" style="148" customWidth="1"/>
    <col min="4" max="4" width="16" customWidth="1"/>
    <col min="5" max="5" width="44.7109375" bestFit="1" customWidth="1"/>
    <col min="6" max="6" width="13.5703125" customWidth="1"/>
    <col min="7" max="7" width="16.42578125" customWidth="1"/>
    <col min="8" max="8" width="47.140625" bestFit="1" customWidth="1"/>
    <col min="9" max="9" width="14.7109375" customWidth="1"/>
    <col min="10" max="10" width="1.5703125" style="111" customWidth="1"/>
    <col min="11" max="11" width="16.28515625" customWidth="1"/>
    <col min="12" max="12" width="47.140625" bestFit="1" customWidth="1"/>
    <col min="13" max="13" width="16.28515625" customWidth="1"/>
    <col min="14" max="14" width="18" customWidth="1"/>
    <col min="15" max="15" width="45.5703125" customWidth="1"/>
    <col min="16" max="16" width="16.28515625" customWidth="1"/>
  </cols>
  <sheetData>
    <row r="2" spans="1:16" x14ac:dyDescent="0.25">
      <c r="D2" s="172" t="s">
        <v>223</v>
      </c>
      <c r="E2" s="172"/>
      <c r="F2" s="172"/>
      <c r="G2" s="172"/>
      <c r="H2" s="172"/>
      <c r="I2" s="172"/>
      <c r="K2" s="173" t="s">
        <v>222</v>
      </c>
      <c r="L2" s="173"/>
      <c r="M2" s="173"/>
      <c r="N2" s="173"/>
      <c r="O2" s="173"/>
      <c r="P2" s="173"/>
    </row>
    <row r="3" spans="1:16" s="107" customFormat="1" x14ac:dyDescent="0.25">
      <c r="A3" s="25" t="s">
        <v>76</v>
      </c>
      <c r="B3" s="25" t="s">
        <v>77</v>
      </c>
      <c r="C3" s="149"/>
      <c r="D3" s="25" t="s">
        <v>78</v>
      </c>
      <c r="E3" s="25" t="s">
        <v>79</v>
      </c>
      <c r="F3" s="121" t="s">
        <v>91</v>
      </c>
      <c r="G3" s="122" t="s">
        <v>78</v>
      </c>
      <c r="H3" s="25" t="s">
        <v>79</v>
      </c>
      <c r="I3" s="121" t="s">
        <v>91</v>
      </c>
      <c r="J3" s="112"/>
      <c r="K3" s="25" t="s">
        <v>78</v>
      </c>
      <c r="L3" s="25" t="s">
        <v>79</v>
      </c>
      <c r="M3" s="121" t="s">
        <v>91</v>
      </c>
      <c r="N3" s="122" t="s">
        <v>78</v>
      </c>
      <c r="O3" s="25" t="s">
        <v>79</v>
      </c>
      <c r="P3" s="121" t="s">
        <v>91</v>
      </c>
    </row>
    <row r="4" spans="1:16" s="107" customFormat="1" x14ac:dyDescent="0.25">
      <c r="C4" s="148"/>
      <c r="D4" s="174" t="s">
        <v>272</v>
      </c>
      <c r="E4" s="174"/>
      <c r="F4" s="175"/>
      <c r="G4" s="176" t="s">
        <v>273</v>
      </c>
      <c r="H4" s="174"/>
      <c r="I4" s="174"/>
      <c r="J4" s="112"/>
      <c r="K4" s="177" t="s">
        <v>274</v>
      </c>
      <c r="L4" s="177"/>
      <c r="M4" s="177"/>
      <c r="N4" s="178" t="s">
        <v>273</v>
      </c>
      <c r="O4" s="177"/>
      <c r="P4" s="177"/>
    </row>
    <row r="5" spans="1:16" x14ac:dyDescent="0.25">
      <c r="A5" s="4" t="s">
        <v>80</v>
      </c>
      <c r="C5" s="150">
        <f>+SAMPLE!C4</f>
        <v>44116</v>
      </c>
      <c r="F5" s="2"/>
      <c r="G5" s="123"/>
      <c r="M5" s="2"/>
      <c r="N5" s="124"/>
      <c r="O5" s="2"/>
    </row>
    <row r="6" spans="1:16" x14ac:dyDescent="0.25">
      <c r="A6">
        <v>1</v>
      </c>
      <c r="B6" t="s">
        <v>125</v>
      </c>
      <c r="D6" s="129" t="s">
        <v>83</v>
      </c>
      <c r="E6" s="126" t="s">
        <v>227</v>
      </c>
      <c r="F6" s="130">
        <f>(F7+F8)</f>
        <v>638000</v>
      </c>
      <c r="G6" s="125" t="s">
        <v>83</v>
      </c>
      <c r="H6" s="126" t="s">
        <v>227</v>
      </c>
      <c r="I6" s="128">
        <f>+I7+I8</f>
        <v>580000</v>
      </c>
      <c r="K6" s="129">
        <v>1341020000</v>
      </c>
      <c r="L6" s="126" t="s">
        <v>224</v>
      </c>
      <c r="M6" s="130">
        <f>(M7+M8)</f>
        <v>638000</v>
      </c>
      <c r="N6" s="125">
        <v>1341020000</v>
      </c>
      <c r="O6" s="126" t="s">
        <v>224</v>
      </c>
      <c r="P6" s="128">
        <f>+P7+P8</f>
        <v>580000</v>
      </c>
    </row>
    <row r="7" spans="1:16" x14ac:dyDescent="0.25">
      <c r="A7">
        <v>1</v>
      </c>
      <c r="B7" t="s">
        <v>82</v>
      </c>
      <c r="D7" s="126">
        <v>3391401000</v>
      </c>
      <c r="E7" s="126" t="s">
        <v>84</v>
      </c>
      <c r="F7" s="131">
        <f>F8*10%</f>
        <v>58000</v>
      </c>
      <c r="G7" s="127"/>
      <c r="H7" s="126"/>
      <c r="I7" s="126"/>
      <c r="K7" s="126">
        <v>3391401000</v>
      </c>
      <c r="L7" s="126" t="s">
        <v>84</v>
      </c>
      <c r="M7" s="131">
        <f>M8*10%</f>
        <v>58000</v>
      </c>
      <c r="N7" s="127"/>
      <c r="O7" s="126"/>
      <c r="P7" s="110"/>
    </row>
    <row r="8" spans="1:16" x14ac:dyDescent="0.25">
      <c r="A8">
        <v>1</v>
      </c>
      <c r="B8" t="s">
        <v>82</v>
      </c>
      <c r="D8" s="126">
        <v>4774080001</v>
      </c>
      <c r="E8" s="126" t="s">
        <v>85</v>
      </c>
      <c r="F8" s="131">
        <f>SAMPLE!C10</f>
        <v>580000</v>
      </c>
      <c r="G8" s="127">
        <v>4774080000</v>
      </c>
      <c r="H8" s="126" t="s">
        <v>85</v>
      </c>
      <c r="I8" s="128">
        <f>+F8</f>
        <v>580000</v>
      </c>
      <c r="K8" s="126">
        <v>4774080001</v>
      </c>
      <c r="L8" s="126" t="s">
        <v>85</v>
      </c>
      <c r="M8" s="131">
        <f>+SAMPLE!C10</f>
        <v>580000</v>
      </c>
      <c r="N8" s="127">
        <v>4774080000</v>
      </c>
      <c r="O8" s="126" t="s">
        <v>85</v>
      </c>
      <c r="P8" s="1">
        <f>+M8</f>
        <v>580000</v>
      </c>
    </row>
    <row r="9" spans="1:16" x14ac:dyDescent="0.25">
      <c r="D9" s="126"/>
      <c r="E9" s="126"/>
      <c r="F9" s="131"/>
      <c r="G9" s="127"/>
      <c r="H9" s="126"/>
      <c r="I9" s="126"/>
      <c r="K9" s="126"/>
      <c r="L9" s="126"/>
      <c r="M9" s="131"/>
      <c r="N9" s="127"/>
      <c r="O9" s="126"/>
    </row>
    <row r="10" spans="1:16" x14ac:dyDescent="0.25">
      <c r="A10">
        <v>1</v>
      </c>
      <c r="B10" t="s">
        <v>81</v>
      </c>
      <c r="D10" s="126">
        <v>4774070001</v>
      </c>
      <c r="E10" s="126" t="s">
        <v>86</v>
      </c>
      <c r="F10" s="131">
        <f>F8</f>
        <v>580000</v>
      </c>
      <c r="G10" s="127">
        <v>4774070000</v>
      </c>
      <c r="H10" s="126" t="s">
        <v>86</v>
      </c>
      <c r="I10" s="128">
        <f>+F10</f>
        <v>580000</v>
      </c>
      <c r="K10" s="126">
        <v>4774070001</v>
      </c>
      <c r="L10" s="126" t="s">
        <v>86</v>
      </c>
      <c r="M10" s="131">
        <f>M8</f>
        <v>580000</v>
      </c>
      <c r="N10" s="127">
        <v>4774070000</v>
      </c>
      <c r="O10" s="126" t="s">
        <v>86</v>
      </c>
      <c r="P10" s="1">
        <f>+M10</f>
        <v>580000</v>
      </c>
    </row>
    <row r="11" spans="1:16" x14ac:dyDescent="0.25">
      <c r="A11">
        <v>1</v>
      </c>
      <c r="B11" t="s">
        <v>82</v>
      </c>
      <c r="D11" s="126">
        <v>3393010001</v>
      </c>
      <c r="E11" s="126" t="s">
        <v>87</v>
      </c>
      <c r="F11" s="131">
        <f>F10</f>
        <v>580000</v>
      </c>
      <c r="G11" s="127">
        <v>3393010000</v>
      </c>
      <c r="H11" s="126" t="s">
        <v>87</v>
      </c>
      <c r="I11" s="128">
        <f>+F11</f>
        <v>580000</v>
      </c>
      <c r="K11" s="126">
        <v>3393010001</v>
      </c>
      <c r="L11" s="126" t="s">
        <v>87</v>
      </c>
      <c r="M11" s="131">
        <f>M10</f>
        <v>580000</v>
      </c>
      <c r="N11" s="127">
        <v>3393010000</v>
      </c>
      <c r="O11" s="126" t="s">
        <v>87</v>
      </c>
      <c r="P11" s="1">
        <f>+M11</f>
        <v>580000</v>
      </c>
    </row>
    <row r="12" spans="1:16" x14ac:dyDescent="0.25">
      <c r="D12" s="126"/>
      <c r="E12" s="126"/>
      <c r="F12" s="131"/>
      <c r="G12" s="127"/>
      <c r="H12" s="126"/>
      <c r="I12" s="126"/>
      <c r="K12" s="126"/>
      <c r="L12" s="126"/>
      <c r="M12" s="131"/>
      <c r="N12" s="127"/>
      <c r="O12" s="126"/>
    </row>
    <row r="13" spans="1:16" x14ac:dyDescent="0.25">
      <c r="A13" s="4" t="s">
        <v>88</v>
      </c>
      <c r="C13" s="150">
        <v>44135</v>
      </c>
      <c r="D13" s="126" t="s">
        <v>269</v>
      </c>
      <c r="E13" s="126"/>
      <c r="F13" s="130"/>
      <c r="G13" s="127"/>
      <c r="H13" s="126"/>
      <c r="I13" s="126"/>
      <c r="K13" s="126"/>
      <c r="L13" s="126"/>
      <c r="M13" s="130"/>
      <c r="N13" s="127"/>
      <c r="O13" s="126"/>
    </row>
    <row r="14" spans="1:16" x14ac:dyDescent="0.25">
      <c r="A14">
        <v>2</v>
      </c>
      <c r="B14" t="s">
        <v>81</v>
      </c>
      <c r="C14" s="150"/>
      <c r="D14" s="126">
        <v>3393010001</v>
      </c>
      <c r="E14" s="126" t="s">
        <v>87</v>
      </c>
      <c r="F14" s="130">
        <f>F15</f>
        <v>75972</v>
      </c>
      <c r="G14" s="127">
        <v>3393010000</v>
      </c>
      <c r="H14" s="126" t="s">
        <v>87</v>
      </c>
      <c r="I14" s="128">
        <f>+F14</f>
        <v>75972</v>
      </c>
      <c r="K14" s="126">
        <v>3393010001</v>
      </c>
      <c r="L14" s="126" t="s">
        <v>87</v>
      </c>
      <c r="M14" s="130">
        <f>M15</f>
        <v>75972</v>
      </c>
      <c r="N14" s="127">
        <v>3393010000</v>
      </c>
      <c r="O14" s="126" t="s">
        <v>87</v>
      </c>
      <c r="P14" s="1">
        <f>+M14</f>
        <v>75972</v>
      </c>
    </row>
    <row r="15" spans="1:16" x14ac:dyDescent="0.25">
      <c r="A15">
        <v>2</v>
      </c>
      <c r="B15" t="s">
        <v>82</v>
      </c>
      <c r="D15" s="126">
        <v>4774070001</v>
      </c>
      <c r="E15" s="126" t="s">
        <v>86</v>
      </c>
      <c r="F15" s="130">
        <f>-Formular_Sub_amortization!P12</f>
        <v>75972</v>
      </c>
      <c r="G15" s="127">
        <v>4774070000</v>
      </c>
      <c r="H15" s="126" t="s">
        <v>86</v>
      </c>
      <c r="I15" s="128">
        <f>+F15</f>
        <v>75972</v>
      </c>
      <c r="K15" s="126">
        <v>4774070001</v>
      </c>
      <c r="L15" s="126" t="s">
        <v>86</v>
      </c>
      <c r="M15" s="130">
        <f>-Formular_Sub_amortization!P12</f>
        <v>75972</v>
      </c>
      <c r="N15" s="127">
        <v>4774070000</v>
      </c>
      <c r="O15" s="126" t="s">
        <v>86</v>
      </c>
      <c r="P15" s="1">
        <f>+M15</f>
        <v>75972</v>
      </c>
    </row>
    <row r="16" spans="1:16" x14ac:dyDescent="0.25">
      <c r="D16" s="126"/>
      <c r="E16" s="126"/>
      <c r="F16" s="130"/>
      <c r="G16" s="127"/>
      <c r="H16" s="126"/>
      <c r="I16" s="126"/>
      <c r="K16" s="126"/>
      <c r="L16" s="126"/>
      <c r="M16" s="130"/>
      <c r="N16" s="127"/>
      <c r="O16" s="126"/>
    </row>
    <row r="17" spans="1:16" x14ac:dyDescent="0.25">
      <c r="A17" s="4" t="s">
        <v>89</v>
      </c>
      <c r="C17" s="150">
        <v>44165</v>
      </c>
      <c r="D17" s="126" t="s">
        <v>122</v>
      </c>
      <c r="E17" s="126"/>
      <c r="F17" s="130"/>
      <c r="G17" s="127"/>
      <c r="H17" s="126"/>
      <c r="I17" s="126"/>
      <c r="K17" s="126"/>
      <c r="L17" s="126"/>
      <c r="M17" s="130"/>
      <c r="N17" s="127"/>
      <c r="O17" s="126"/>
    </row>
    <row r="18" spans="1:16" x14ac:dyDescent="0.25">
      <c r="A18">
        <v>3</v>
      </c>
      <c r="B18" t="s">
        <v>81</v>
      </c>
      <c r="D18" s="126">
        <v>3393010001</v>
      </c>
      <c r="E18" s="126" t="s">
        <v>87</v>
      </c>
      <c r="F18" s="130">
        <f>+F19</f>
        <v>72613</v>
      </c>
      <c r="G18" s="127">
        <v>3393010000</v>
      </c>
      <c r="H18" s="126" t="s">
        <v>87</v>
      </c>
      <c r="I18" s="128">
        <f>+F18</f>
        <v>72613</v>
      </c>
      <c r="K18" s="126">
        <v>3393010001</v>
      </c>
      <c r="L18" s="126" t="s">
        <v>87</v>
      </c>
      <c r="M18" s="130">
        <f>+M19</f>
        <v>72613</v>
      </c>
      <c r="N18" s="127">
        <v>3393010000</v>
      </c>
      <c r="O18" s="126" t="s">
        <v>87</v>
      </c>
      <c r="P18" s="1">
        <f>+M18</f>
        <v>72613</v>
      </c>
    </row>
    <row r="19" spans="1:16" x14ac:dyDescent="0.25">
      <c r="A19">
        <v>3</v>
      </c>
      <c r="B19" t="s">
        <v>82</v>
      </c>
      <c r="D19" s="126">
        <v>4774070001</v>
      </c>
      <c r="E19" s="126" t="s">
        <v>86</v>
      </c>
      <c r="F19" s="130">
        <f>-Formular_Sub_amortization!P13</f>
        <v>72613</v>
      </c>
      <c r="G19" s="127">
        <v>4774070000</v>
      </c>
      <c r="H19" s="126" t="s">
        <v>86</v>
      </c>
      <c r="I19" s="128">
        <f>+F19</f>
        <v>72613</v>
      </c>
      <c r="K19" s="126">
        <v>4774070001</v>
      </c>
      <c r="L19" s="126" t="s">
        <v>86</v>
      </c>
      <c r="M19" s="130">
        <f>-Formular_Sub_amortization!P13</f>
        <v>72613</v>
      </c>
      <c r="N19" s="127">
        <v>4774070000</v>
      </c>
      <c r="O19" s="126" t="s">
        <v>86</v>
      </c>
      <c r="P19" s="1">
        <f>+M19</f>
        <v>72613</v>
      </c>
    </row>
    <row r="20" spans="1:16" x14ac:dyDescent="0.25">
      <c r="D20" s="126"/>
      <c r="E20" s="126"/>
      <c r="F20" s="130"/>
      <c r="G20" s="127"/>
      <c r="H20" s="126"/>
      <c r="I20" s="126"/>
      <c r="K20" s="126"/>
      <c r="L20" s="126"/>
      <c r="M20" s="130"/>
      <c r="N20" s="127"/>
      <c r="O20" s="126"/>
    </row>
    <row r="21" spans="1:16" x14ac:dyDescent="0.25">
      <c r="A21" s="4" t="s">
        <v>270</v>
      </c>
      <c r="C21" s="151" t="s">
        <v>92</v>
      </c>
      <c r="D21" s="126"/>
      <c r="E21" s="126"/>
      <c r="F21" s="130"/>
      <c r="G21" s="127"/>
      <c r="H21" s="126"/>
      <c r="I21" s="126"/>
      <c r="K21" s="126"/>
      <c r="L21" s="126"/>
      <c r="M21" s="130"/>
      <c r="N21" s="127"/>
      <c r="O21" s="126"/>
    </row>
    <row r="22" spans="1:16" x14ac:dyDescent="0.25">
      <c r="A22">
        <v>4</v>
      </c>
      <c r="B22" t="s">
        <v>81</v>
      </c>
      <c r="D22" s="126">
        <v>3393010001</v>
      </c>
      <c r="E22" s="126" t="s">
        <v>90</v>
      </c>
      <c r="F22" s="130">
        <f>+F23</f>
        <v>431415</v>
      </c>
      <c r="G22" s="127">
        <v>3393010000</v>
      </c>
      <c r="H22" s="126" t="s">
        <v>90</v>
      </c>
      <c r="I22" s="128">
        <f>+F22</f>
        <v>431415</v>
      </c>
      <c r="K22" s="126">
        <v>3393010001</v>
      </c>
      <c r="L22" s="126" t="s">
        <v>90</v>
      </c>
      <c r="M22" s="130">
        <f>+M23</f>
        <v>431415</v>
      </c>
      <c r="N22" s="127">
        <v>3393010000</v>
      </c>
      <c r="O22" s="126" t="s">
        <v>90</v>
      </c>
      <c r="P22" s="1">
        <f>+M22</f>
        <v>431415</v>
      </c>
    </row>
    <row r="23" spans="1:16" x14ac:dyDescent="0.25">
      <c r="A23">
        <v>4</v>
      </c>
      <c r="B23" t="s">
        <v>82</v>
      </c>
      <c r="D23" s="126">
        <v>4774070001</v>
      </c>
      <c r="E23" s="126" t="s">
        <v>86</v>
      </c>
      <c r="F23" s="130">
        <f>-SUM(Formular_Sub_amortization!P14:P23)</f>
        <v>431415</v>
      </c>
      <c r="G23" s="127">
        <v>4774070000</v>
      </c>
      <c r="H23" s="126" t="s">
        <v>86</v>
      </c>
      <c r="I23" s="128">
        <f>+F23</f>
        <v>431415</v>
      </c>
      <c r="K23" s="126">
        <v>4774070001</v>
      </c>
      <c r="L23" s="126" t="s">
        <v>86</v>
      </c>
      <c r="M23" s="130">
        <f>-SUM(Formular_Sub_amortization!P14:P23)</f>
        <v>431415</v>
      </c>
      <c r="N23" s="127">
        <v>4774070000</v>
      </c>
      <c r="O23" s="126" t="s">
        <v>86</v>
      </c>
      <c r="P23" s="1">
        <f>+M23</f>
        <v>431415</v>
      </c>
    </row>
    <row r="24" spans="1:16" x14ac:dyDescent="0.25">
      <c r="D24" s="126"/>
      <c r="E24" s="126"/>
      <c r="F24" s="130"/>
      <c r="G24" s="127"/>
      <c r="H24" s="126"/>
      <c r="I24" s="126"/>
      <c r="K24" s="126"/>
      <c r="L24" s="126"/>
      <c r="M24" s="126"/>
      <c r="N24" s="123"/>
    </row>
    <row r="25" spans="1:16" x14ac:dyDescent="0.25">
      <c r="A25" s="4" t="s">
        <v>271</v>
      </c>
      <c r="C25" s="150">
        <v>44104</v>
      </c>
      <c r="D25" s="126"/>
      <c r="E25" s="126"/>
      <c r="F25" s="130"/>
      <c r="G25" s="127"/>
      <c r="H25" s="126"/>
      <c r="I25" s="126"/>
      <c r="K25" s="126"/>
      <c r="L25" s="126"/>
      <c r="M25" s="126"/>
      <c r="N25" s="123"/>
    </row>
    <row r="26" spans="1:16" x14ac:dyDescent="0.25">
      <c r="A26">
        <v>4</v>
      </c>
      <c r="B26" t="s">
        <v>81</v>
      </c>
      <c r="D26" s="126">
        <v>3393010001</v>
      </c>
      <c r="E26" s="126" t="s">
        <v>90</v>
      </c>
      <c r="F26" s="130">
        <f>-Formular_Sub_amortization!P23</f>
        <v>10024</v>
      </c>
      <c r="G26" s="127">
        <v>3393010000</v>
      </c>
      <c r="H26" s="126" t="s">
        <v>90</v>
      </c>
      <c r="I26" s="130">
        <f>-Formular_Sub_amortization!P23</f>
        <v>10024</v>
      </c>
      <c r="K26" s="126">
        <v>3393010001</v>
      </c>
      <c r="L26" s="126" t="s">
        <v>90</v>
      </c>
      <c r="M26" s="130">
        <f>-Formular_Sub_amortization!P23</f>
        <v>10024</v>
      </c>
      <c r="N26" s="127">
        <v>3393010000</v>
      </c>
      <c r="O26" s="126" t="s">
        <v>90</v>
      </c>
      <c r="P26" s="2">
        <f>-Formular_Sub_amortization!P23</f>
        <v>10024</v>
      </c>
    </row>
    <row r="27" spans="1:16" x14ac:dyDescent="0.25">
      <c r="A27">
        <v>4</v>
      </c>
      <c r="B27" t="s">
        <v>82</v>
      </c>
      <c r="D27" s="126">
        <v>4774070001</v>
      </c>
      <c r="E27" s="126" t="s">
        <v>86</v>
      </c>
      <c r="F27" s="130">
        <f>+F26</f>
        <v>10024</v>
      </c>
      <c r="G27" s="127">
        <v>4774070000</v>
      </c>
      <c r="H27" s="126" t="s">
        <v>86</v>
      </c>
      <c r="I27" s="130">
        <f>+I26</f>
        <v>10024</v>
      </c>
      <c r="K27" s="126">
        <v>4774070001</v>
      </c>
      <c r="L27" s="126" t="s">
        <v>86</v>
      </c>
      <c r="M27" s="130">
        <f>+M26</f>
        <v>10024</v>
      </c>
      <c r="N27" s="127">
        <v>4774070000</v>
      </c>
      <c r="O27" s="126" t="s">
        <v>86</v>
      </c>
      <c r="P27" s="2">
        <f>+P26</f>
        <v>10024</v>
      </c>
    </row>
    <row r="28" spans="1:16" x14ac:dyDescent="0.25">
      <c r="D28" s="126"/>
      <c r="E28" s="126"/>
      <c r="F28" s="130"/>
      <c r="G28" s="127"/>
      <c r="H28" s="126"/>
      <c r="I28" s="130"/>
      <c r="K28" s="126"/>
      <c r="L28" s="126"/>
      <c r="M28" s="130"/>
      <c r="N28" s="127"/>
      <c r="O28" s="126"/>
      <c r="P28" s="2"/>
    </row>
    <row r="29" spans="1:16" x14ac:dyDescent="0.25">
      <c r="A29" s="4" t="s">
        <v>275</v>
      </c>
      <c r="C29" s="166">
        <v>44500</v>
      </c>
      <c r="D29" s="126"/>
      <c r="E29" s="126"/>
      <c r="F29" s="130"/>
      <c r="G29" s="127"/>
      <c r="H29" s="126"/>
      <c r="I29" s="126"/>
      <c r="K29" s="126"/>
      <c r="L29" s="126"/>
      <c r="M29" s="126"/>
      <c r="N29" s="123"/>
    </row>
    <row r="30" spans="1:16" x14ac:dyDescent="0.25">
      <c r="A30">
        <v>4</v>
      </c>
      <c r="B30" t="s">
        <v>81</v>
      </c>
      <c r="D30" s="126">
        <v>3393010001</v>
      </c>
      <c r="E30" s="126" t="s">
        <v>90</v>
      </c>
      <c r="F30" s="130">
        <f>-Formular_Sub_amortization!P23</f>
        <v>10024</v>
      </c>
      <c r="G30" s="127">
        <v>3393010000</v>
      </c>
      <c r="H30" s="126" t="s">
        <v>90</v>
      </c>
      <c r="I30" s="130">
        <f>-Formular_Sub_amortization!P23</f>
        <v>10024</v>
      </c>
      <c r="K30" s="126">
        <v>3393010001</v>
      </c>
      <c r="L30" s="126" t="s">
        <v>90</v>
      </c>
      <c r="M30" s="130">
        <f>-Formular_Sub_amortization!P23</f>
        <v>10024</v>
      </c>
      <c r="N30" s="127">
        <v>3393010000</v>
      </c>
      <c r="O30" s="126" t="s">
        <v>90</v>
      </c>
      <c r="P30" s="2">
        <f>-Formular_Sub_amortization!P23</f>
        <v>10024</v>
      </c>
    </row>
    <row r="31" spans="1:16" x14ac:dyDescent="0.25">
      <c r="A31">
        <v>4</v>
      </c>
      <c r="B31" t="s">
        <v>82</v>
      </c>
      <c r="D31" s="126">
        <v>4774070001</v>
      </c>
      <c r="E31" s="126" t="s">
        <v>86</v>
      </c>
      <c r="F31" s="130">
        <f>+F30</f>
        <v>10024</v>
      </c>
      <c r="G31" s="127">
        <v>4774070000</v>
      </c>
      <c r="H31" s="126" t="s">
        <v>86</v>
      </c>
      <c r="I31" s="130">
        <f>+I30</f>
        <v>10024</v>
      </c>
      <c r="K31" s="126">
        <v>4774070001</v>
      </c>
      <c r="L31" s="126" t="s">
        <v>86</v>
      </c>
      <c r="M31" s="130">
        <f>+M30</f>
        <v>10024</v>
      </c>
      <c r="N31" s="127">
        <v>4774070000</v>
      </c>
      <c r="O31" s="126" t="s">
        <v>86</v>
      </c>
      <c r="P31" s="2">
        <f>+P30</f>
        <v>10024</v>
      </c>
    </row>
    <row r="32" spans="1:16" x14ac:dyDescent="0.25">
      <c r="D32" s="126"/>
      <c r="E32" s="126"/>
      <c r="F32" s="130"/>
      <c r="G32" s="127"/>
      <c r="H32" s="126"/>
      <c r="I32" s="126"/>
      <c r="K32" s="126"/>
      <c r="L32" s="126"/>
      <c r="M32" s="126"/>
      <c r="N32" s="123"/>
    </row>
    <row r="33" spans="1:16" x14ac:dyDescent="0.25">
      <c r="A33" s="4" t="s">
        <v>225</v>
      </c>
      <c r="C33" s="151" t="s">
        <v>226</v>
      </c>
      <c r="G33" s="127"/>
      <c r="H33" s="126"/>
      <c r="I33" s="126"/>
      <c r="K33" s="126"/>
      <c r="L33" s="126"/>
      <c r="M33" s="126"/>
      <c r="N33" s="123"/>
    </row>
    <row r="34" spans="1:16" x14ac:dyDescent="0.25">
      <c r="A34">
        <v>6</v>
      </c>
      <c r="B34" t="s">
        <v>81</v>
      </c>
      <c r="G34" s="123"/>
      <c r="K34" s="129" t="s">
        <v>228</v>
      </c>
      <c r="L34" s="126" t="s">
        <v>227</v>
      </c>
      <c r="M34" s="128">
        <f>+M6</f>
        <v>638000</v>
      </c>
      <c r="N34" s="125" t="s">
        <v>228</v>
      </c>
      <c r="O34" s="126" t="s">
        <v>227</v>
      </c>
      <c r="P34" s="128">
        <f>+P6</f>
        <v>580000</v>
      </c>
    </row>
    <row r="35" spans="1:16" x14ac:dyDescent="0.25">
      <c r="A35">
        <v>6</v>
      </c>
      <c r="B35" t="s">
        <v>82</v>
      </c>
      <c r="G35" s="123"/>
      <c r="K35" s="126">
        <v>1341020000</v>
      </c>
      <c r="L35" s="126" t="s">
        <v>224</v>
      </c>
      <c r="M35" s="128">
        <f>+M34</f>
        <v>638000</v>
      </c>
      <c r="N35" s="127">
        <v>1341020000</v>
      </c>
      <c r="O35" s="126" t="s">
        <v>224</v>
      </c>
      <c r="P35" s="128">
        <f>+P34</f>
        <v>580000</v>
      </c>
    </row>
    <row r="36" spans="1:16" x14ac:dyDescent="0.25">
      <c r="G36" s="123"/>
      <c r="N36" s="123"/>
    </row>
    <row r="37" spans="1:16" x14ac:dyDescent="0.25">
      <c r="A37" s="4"/>
      <c r="G37" s="123"/>
      <c r="N37" s="123"/>
    </row>
    <row r="38" spans="1:16" x14ac:dyDescent="0.25">
      <c r="G38" s="123"/>
      <c r="N38" s="123"/>
    </row>
    <row r="39" spans="1:16" x14ac:dyDescent="0.25">
      <c r="N39" s="123"/>
    </row>
    <row r="40" spans="1:16" x14ac:dyDescent="0.25">
      <c r="N40" s="123"/>
    </row>
    <row r="41" spans="1:16" x14ac:dyDescent="0.25">
      <c r="N41" s="123"/>
    </row>
    <row r="42" spans="1:16" x14ac:dyDescent="0.25">
      <c r="N42" s="123"/>
    </row>
    <row r="43" spans="1:16" x14ac:dyDescent="0.25">
      <c r="N43" s="123"/>
    </row>
    <row r="44" spans="1:16" x14ac:dyDescent="0.25">
      <c r="N44" s="123"/>
    </row>
  </sheetData>
  <mergeCells count="6">
    <mergeCell ref="D2:I2"/>
    <mergeCell ref="K2:P2"/>
    <mergeCell ref="D4:F4"/>
    <mergeCell ref="G4:I4"/>
    <mergeCell ref="K4:M4"/>
    <mergeCell ref="N4:P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showGridLines="0" zoomScale="85" zoomScaleNormal="8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1" sqref="C11"/>
    </sheetView>
  </sheetViews>
  <sheetFormatPr defaultColWidth="8.85546875" defaultRowHeight="15" outlineLevelCol="1" x14ac:dyDescent="0.25"/>
  <cols>
    <col min="1" max="1" width="11.28515625" style="58" customWidth="1"/>
    <col min="2" max="2" width="14.28515625" style="59" customWidth="1" outlineLevel="1"/>
    <col min="3" max="3" width="14.7109375" style="58" customWidth="1"/>
    <col min="4" max="4" width="16.28515625" style="58" customWidth="1"/>
    <col min="5" max="5" width="10.5703125" style="58" bestFit="1" customWidth="1"/>
    <col min="6" max="6" width="12.140625" style="58" customWidth="1"/>
    <col min="7" max="7" width="14.5703125" style="58" customWidth="1"/>
    <col min="8" max="8" width="11.85546875" style="58" hidden="1" customWidth="1"/>
    <col min="9" max="9" width="13.7109375" style="58" hidden="1" customWidth="1"/>
    <col min="10" max="10" width="12.28515625" style="58" bestFit="1" customWidth="1"/>
    <col min="11" max="11" width="15" style="58" customWidth="1"/>
    <col min="12" max="12" width="16" style="58" bestFit="1" customWidth="1"/>
    <col min="13" max="14" width="10.5703125" style="58" bestFit="1" customWidth="1"/>
    <col min="15" max="15" width="10.7109375" style="58" customWidth="1"/>
    <col min="16" max="16" width="12.85546875" style="58" customWidth="1"/>
    <col min="17" max="17" width="11.85546875" style="58" bestFit="1" customWidth="1"/>
    <col min="18" max="18" width="7.85546875" style="58" bestFit="1" customWidth="1"/>
    <col min="19" max="19" width="2.42578125" style="61" customWidth="1"/>
    <col min="20" max="20" width="10.85546875" style="58" bestFit="1" customWidth="1"/>
    <col min="21" max="21" width="13.42578125" style="58" customWidth="1"/>
    <col min="22" max="16384" width="8.85546875" style="58"/>
  </cols>
  <sheetData>
    <row r="1" spans="1:22" s="48" customFormat="1" x14ac:dyDescent="0.25">
      <c r="A1" s="48" t="s">
        <v>172</v>
      </c>
      <c r="B1" s="49">
        <f>+SAMPLE!C4</f>
        <v>44116</v>
      </c>
      <c r="S1" s="50"/>
    </row>
    <row r="2" spans="1:22" s="48" customFormat="1" ht="30" x14ac:dyDescent="0.25">
      <c r="A2" s="48" t="s">
        <v>173</v>
      </c>
      <c r="B2" s="51">
        <f>+SAMPLE!C9</f>
        <v>50000000</v>
      </c>
      <c r="S2" s="50"/>
    </row>
    <row r="3" spans="1:22" s="48" customFormat="1" ht="30" x14ac:dyDescent="0.25">
      <c r="A3" s="48" t="s">
        <v>174</v>
      </c>
      <c r="B3" s="51">
        <f>+SAMPLE!C7</f>
        <v>12</v>
      </c>
      <c r="C3" s="109" t="s">
        <v>220</v>
      </c>
      <c r="D3" s="53">
        <f>-SAMPLE!C10</f>
        <v>-580000</v>
      </c>
      <c r="E3" s="54">
        <f>D3/FX</f>
        <v>-25.029668788434567</v>
      </c>
      <c r="S3" s="50"/>
    </row>
    <row r="4" spans="1:22" s="48" customFormat="1" ht="30" x14ac:dyDescent="0.25">
      <c r="A4" s="48" t="s">
        <v>175</v>
      </c>
      <c r="B4" s="55">
        <f>D4/12</f>
        <v>4.1666666666666664E-2</v>
      </c>
      <c r="C4" s="52" t="s">
        <v>176</v>
      </c>
      <c r="D4" s="56">
        <f>+SAMPLE!C8</f>
        <v>0.5</v>
      </c>
      <c r="F4" s="52" t="s">
        <v>177</v>
      </c>
      <c r="G4" s="55">
        <f>RATE(B3,B5,J10)</f>
        <v>4.3692931445345765E-2</v>
      </c>
      <c r="I4" s="52" t="s">
        <v>178</v>
      </c>
      <c r="J4" s="57"/>
      <c r="S4" s="50"/>
    </row>
    <row r="5" spans="1:22" s="48" customFormat="1" x14ac:dyDescent="0.25">
      <c r="A5" s="48" t="s">
        <v>179</v>
      </c>
      <c r="B5" s="51">
        <f>ROUND(-PMT(B4,B3,B2),0)</f>
        <v>5379256</v>
      </c>
      <c r="C5" s="52"/>
      <c r="F5" s="52" t="s">
        <v>180</v>
      </c>
      <c r="G5" s="54">
        <f>NPV(G4,J11:J46)+J10</f>
        <v>0</v>
      </c>
      <c r="S5" s="50"/>
    </row>
    <row r="6" spans="1:22" x14ac:dyDescent="0.25">
      <c r="G6" s="60"/>
    </row>
    <row r="7" spans="1:22" x14ac:dyDescent="0.25">
      <c r="G7" s="179" t="s">
        <v>181</v>
      </c>
      <c r="H7" s="179"/>
      <c r="I7" s="179"/>
      <c r="J7" s="62"/>
      <c r="K7" s="62"/>
      <c r="L7" s="62"/>
      <c r="M7" s="62"/>
      <c r="N7" s="62"/>
      <c r="O7" s="62"/>
      <c r="P7" s="180" t="s">
        <v>182</v>
      </c>
      <c r="Q7" s="180"/>
      <c r="R7" s="180"/>
      <c r="S7" s="62"/>
      <c r="T7" s="181" t="s">
        <v>279</v>
      </c>
      <c r="U7" s="181"/>
    </row>
    <row r="8" spans="1:22" ht="45" x14ac:dyDescent="0.25">
      <c r="A8" s="63" t="s">
        <v>183</v>
      </c>
      <c r="B8" s="64" t="s">
        <v>184</v>
      </c>
      <c r="C8" s="63" t="s">
        <v>185</v>
      </c>
      <c r="D8" s="63" t="s">
        <v>186</v>
      </c>
      <c r="E8" s="63" t="s">
        <v>187</v>
      </c>
      <c r="F8" s="63" t="s">
        <v>188</v>
      </c>
      <c r="G8" s="65" t="s">
        <v>213</v>
      </c>
      <c r="H8" s="65" t="s">
        <v>189</v>
      </c>
      <c r="I8" s="65" t="s">
        <v>190</v>
      </c>
      <c r="J8" s="63" t="s">
        <v>191</v>
      </c>
      <c r="K8" s="63" t="s">
        <v>192</v>
      </c>
      <c r="L8" s="63" t="s">
        <v>193</v>
      </c>
      <c r="M8" s="63" t="s">
        <v>187</v>
      </c>
      <c r="N8" s="63" t="s">
        <v>194</v>
      </c>
      <c r="O8" s="63" t="s">
        <v>195</v>
      </c>
      <c r="P8" s="66" t="s">
        <v>0</v>
      </c>
      <c r="Q8" s="66" t="s">
        <v>221</v>
      </c>
      <c r="R8" s="66" t="s">
        <v>261</v>
      </c>
      <c r="S8" s="67"/>
      <c r="T8" s="169" t="s">
        <v>278</v>
      </c>
      <c r="U8" s="170" t="s">
        <v>220</v>
      </c>
    </row>
    <row r="9" spans="1:22" s="72" customFormat="1" x14ac:dyDescent="0.25">
      <c r="A9" s="68" t="s">
        <v>196</v>
      </c>
      <c r="B9" s="69"/>
      <c r="C9" s="68" t="s">
        <v>197</v>
      </c>
      <c r="D9" s="68" t="s">
        <v>198</v>
      </c>
      <c r="E9" s="68" t="s">
        <v>199</v>
      </c>
      <c r="F9" s="68" t="s">
        <v>200</v>
      </c>
      <c r="G9" s="70" t="s">
        <v>201</v>
      </c>
      <c r="H9" s="70" t="s">
        <v>202</v>
      </c>
      <c r="I9" s="70" t="s">
        <v>203</v>
      </c>
      <c r="J9" s="68" t="s">
        <v>204</v>
      </c>
      <c r="K9" s="68" t="s">
        <v>205</v>
      </c>
      <c r="L9" s="68" t="s">
        <v>206</v>
      </c>
      <c r="M9" s="68" t="s">
        <v>207</v>
      </c>
      <c r="N9" s="68" t="s">
        <v>208</v>
      </c>
      <c r="O9" s="68" t="s">
        <v>209</v>
      </c>
      <c r="P9" s="68" t="s">
        <v>210</v>
      </c>
      <c r="Q9" s="68" t="s">
        <v>211</v>
      </c>
      <c r="R9" s="68" t="s">
        <v>212</v>
      </c>
      <c r="S9" s="71"/>
    </row>
    <row r="10" spans="1:22" s="78" customFormat="1" x14ac:dyDescent="0.25">
      <c r="A10" s="73">
        <v>0</v>
      </c>
      <c r="B10" s="74"/>
      <c r="C10" s="73"/>
      <c r="D10" s="73"/>
      <c r="E10" s="73"/>
      <c r="F10" s="73"/>
      <c r="G10" s="75"/>
      <c r="H10" s="75"/>
      <c r="I10" s="75"/>
      <c r="J10" s="76">
        <f>-SUM(B2,D3)</f>
        <v>-49420000</v>
      </c>
      <c r="K10" s="73"/>
      <c r="L10" s="77">
        <f>B2</f>
        <v>50000000</v>
      </c>
      <c r="M10" s="73"/>
      <c r="N10" s="73"/>
      <c r="O10" s="73"/>
      <c r="P10" s="73"/>
      <c r="Q10" s="77">
        <f>D3</f>
        <v>-580000</v>
      </c>
      <c r="R10" s="73"/>
      <c r="S10" s="73"/>
    </row>
    <row r="11" spans="1:22" ht="19.5" customHeight="1" x14ac:dyDescent="0.25">
      <c r="A11" s="79">
        <v>1</v>
      </c>
      <c r="B11" s="80">
        <f>SAMPLE!C6</f>
        <v>44120</v>
      </c>
      <c r="C11" s="81">
        <f>B2</f>
        <v>50000000</v>
      </c>
      <c r="D11" s="81">
        <f>E11+F11</f>
        <v>5379256</v>
      </c>
      <c r="E11" s="81">
        <f>IF(($B$5-F11)&lt;C11,$B$5-F11,C11)</f>
        <v>5170923</v>
      </c>
      <c r="F11" s="59">
        <f>ROUND(IF(A11=1,(B11-1-$B$1)/30*$B$4*C11,C11*$B$4),0)</f>
        <v>208333</v>
      </c>
      <c r="G11" s="82">
        <v>0</v>
      </c>
      <c r="H11" s="83">
        <f>$D$3</f>
        <v>-580000</v>
      </c>
      <c r="I11" s="84">
        <v>0</v>
      </c>
      <c r="J11" s="81">
        <f>IF(A11&gt;$B$3,0,$B$5)</f>
        <v>5379256</v>
      </c>
      <c r="K11" s="81">
        <f>L11+Q11</f>
        <v>49420000</v>
      </c>
      <c r="L11" s="81">
        <f>L10-M10</f>
        <v>50000000</v>
      </c>
      <c r="M11" s="81">
        <f>IF(($B$5-N11)&lt;L11,$B$5-N11,L11)</f>
        <v>3295923</v>
      </c>
      <c r="N11" s="81">
        <f>ROUND(L11*$B$4,0)</f>
        <v>2083333</v>
      </c>
      <c r="O11" s="81">
        <f>ROUND(K11*$G$4,0)</f>
        <v>2159305</v>
      </c>
      <c r="P11" s="85">
        <f>IF(A10&gt;$B$3,Q10,N10-O10)</f>
        <v>0</v>
      </c>
      <c r="Q11" s="86">
        <f>$D$3</f>
        <v>-580000</v>
      </c>
      <c r="R11" s="87">
        <f t="shared" ref="R11:R74" si="0">P11/$Q$11</f>
        <v>0</v>
      </c>
      <c r="S11" s="88"/>
      <c r="T11" s="80">
        <v>44135</v>
      </c>
      <c r="U11" s="81">
        <f>+P12</f>
        <v>-75972</v>
      </c>
    </row>
    <row r="12" spans="1:22" ht="19.5" customHeight="1" x14ac:dyDescent="0.25">
      <c r="A12" s="79">
        <v>2</v>
      </c>
      <c r="B12" s="80">
        <f>DATE(YEAR(B11),MONTH(B11)+1,16)</f>
        <v>44151</v>
      </c>
      <c r="C12" s="81">
        <f>C11-E11</f>
        <v>44829077</v>
      </c>
      <c r="D12" s="81">
        <f t="shared" ref="D12:D75" si="1">E12+F12</f>
        <v>5379256</v>
      </c>
      <c r="E12" s="81">
        <f>IF(($B$5-F12)&lt;C12,$B$5-F12,C12)</f>
        <v>3511378</v>
      </c>
      <c r="F12" s="59">
        <f>ROUND(IF(A12=1,(B12-1-$B$1)/30*$B$4*C12,C12*$B$4),0)</f>
        <v>1867878</v>
      </c>
      <c r="G12" s="89">
        <f>MIN(ROUND(C11/SUM($C$11:$C$81)*$H$11,0),H11)</f>
        <v>-580000</v>
      </c>
      <c r="H12" s="90">
        <f>H11-G12</f>
        <v>0</v>
      </c>
      <c r="I12" s="91">
        <f t="shared" ref="I12:I75" si="2">G12/$H$11</f>
        <v>1</v>
      </c>
      <c r="J12" s="81">
        <f t="shared" ref="J12:J75" si="3">IF(A12&gt;$B$3,0,$B$5)</f>
        <v>5379256</v>
      </c>
      <c r="K12" s="81">
        <f t="shared" ref="K12:K75" si="4">L12+Q12</f>
        <v>46200049</v>
      </c>
      <c r="L12" s="81">
        <f>L11-M11</f>
        <v>46704077</v>
      </c>
      <c r="M12" s="81">
        <f>IF(($B$5-N12)&lt;L12,$B$5-N12,L12)</f>
        <v>3433253</v>
      </c>
      <c r="N12" s="81">
        <f t="shared" ref="N12:N75" si="5">ROUND(L12*$B$4,0)</f>
        <v>1946003</v>
      </c>
      <c r="O12" s="81">
        <f t="shared" ref="O12:O75" si="6">ROUND(K12*$G$4,0)</f>
        <v>2018616</v>
      </c>
      <c r="P12" s="92">
        <f>IF(A12&gt;$B$3,Q11,N11-O11)</f>
        <v>-75972</v>
      </c>
      <c r="Q12" s="93">
        <f>Q11-P12</f>
        <v>-504028</v>
      </c>
      <c r="R12" s="94">
        <f t="shared" si="0"/>
        <v>0.13098620689655172</v>
      </c>
      <c r="S12" s="153"/>
      <c r="T12" s="168">
        <v>44165</v>
      </c>
      <c r="U12" s="81">
        <f t="shared" ref="U12:U22" si="7">+P13</f>
        <v>-72613</v>
      </c>
      <c r="V12" s="153"/>
    </row>
    <row r="13" spans="1:22" ht="19.5" customHeight="1" x14ac:dyDescent="0.25">
      <c r="A13" s="79">
        <v>3</v>
      </c>
      <c r="B13" s="80">
        <f t="shared" ref="B13:B34" si="8">DATE(YEAR(B12),MONTH(B12)+1,16)</f>
        <v>44181</v>
      </c>
      <c r="C13" s="81">
        <f t="shared" ref="C13:C76" si="9">C12-E12</f>
        <v>41317699</v>
      </c>
      <c r="D13" s="81">
        <f t="shared" si="1"/>
        <v>5379256</v>
      </c>
      <c r="E13" s="81">
        <f t="shared" ref="E13:E76" si="10">IF(($B$5-F13)&lt;C13,$B$5-F13,C13)</f>
        <v>3657685</v>
      </c>
      <c r="F13" s="59">
        <f t="shared" ref="F13:F76" si="11">ROUND(IF(A13=1,(B13-1-$B$1)/30*$B$4*C13,C13*$B$4),0)</f>
        <v>1721571</v>
      </c>
      <c r="G13" s="89">
        <f t="shared" ref="G13:G76" si="12">MIN(ROUND(C12/SUM($C$11:$C$81)*$H$11,0),H12)</f>
        <v>-80319</v>
      </c>
      <c r="H13" s="90">
        <f t="shared" ref="H13:H76" si="13">H12-G13</f>
        <v>80319</v>
      </c>
      <c r="I13" s="91">
        <f t="shared" si="2"/>
        <v>0.13848103448275861</v>
      </c>
      <c r="J13" s="81">
        <f t="shared" si="3"/>
        <v>5379256</v>
      </c>
      <c r="K13" s="81">
        <f>L13+Q13</f>
        <v>42839409</v>
      </c>
      <c r="L13" s="81">
        <f>L12-M12</f>
        <v>43270824</v>
      </c>
      <c r="M13" s="81">
        <f t="shared" ref="M13:M76" si="14">IF(($B$5-N13)&lt;L13,$B$5-N13,L13)</f>
        <v>3576305</v>
      </c>
      <c r="N13" s="81">
        <f t="shared" si="5"/>
        <v>1802951</v>
      </c>
      <c r="O13" s="81">
        <f t="shared" si="6"/>
        <v>1871779</v>
      </c>
      <c r="P13" s="92">
        <f t="shared" ref="P13:P76" si="15">IF(A13&gt;$B$3,Q12,N12-O12)</f>
        <v>-72613</v>
      </c>
      <c r="Q13" s="93">
        <f t="shared" ref="Q13:Q76" si="16">Q12-P13</f>
        <v>-431415</v>
      </c>
      <c r="R13" s="94">
        <f t="shared" si="0"/>
        <v>0.1251948275862069</v>
      </c>
      <c r="S13" s="88"/>
      <c r="T13" s="167">
        <v>44196</v>
      </c>
      <c r="U13" s="81">
        <f t="shared" si="7"/>
        <v>-68828</v>
      </c>
    </row>
    <row r="14" spans="1:22" ht="19.5" customHeight="1" x14ac:dyDescent="0.25">
      <c r="A14" s="79">
        <v>4</v>
      </c>
      <c r="B14" s="80">
        <f t="shared" si="8"/>
        <v>44212</v>
      </c>
      <c r="C14" s="81">
        <f t="shared" si="9"/>
        <v>37660014</v>
      </c>
      <c r="D14" s="81">
        <f t="shared" si="1"/>
        <v>5379256</v>
      </c>
      <c r="E14" s="81">
        <f t="shared" si="10"/>
        <v>3810089</v>
      </c>
      <c r="F14" s="59">
        <f t="shared" si="11"/>
        <v>1569167</v>
      </c>
      <c r="G14" s="89">
        <f t="shared" si="12"/>
        <v>-74028</v>
      </c>
      <c r="H14" s="90">
        <f t="shared" si="13"/>
        <v>154347</v>
      </c>
      <c r="I14" s="91">
        <f t="shared" si="2"/>
        <v>0.12763448275862069</v>
      </c>
      <c r="J14" s="81">
        <f t="shared" si="3"/>
        <v>5379256</v>
      </c>
      <c r="K14" s="81">
        <f t="shared" si="4"/>
        <v>39331932</v>
      </c>
      <c r="L14" s="81">
        <f>L13-M13</f>
        <v>39694519</v>
      </c>
      <c r="M14" s="81">
        <f t="shared" si="14"/>
        <v>3725318</v>
      </c>
      <c r="N14" s="81">
        <f t="shared" si="5"/>
        <v>1653938</v>
      </c>
      <c r="O14" s="81">
        <f t="shared" si="6"/>
        <v>1718527</v>
      </c>
      <c r="P14" s="92">
        <f t="shared" si="15"/>
        <v>-68828</v>
      </c>
      <c r="Q14" s="93">
        <f t="shared" si="16"/>
        <v>-362587</v>
      </c>
      <c r="R14" s="94">
        <f t="shared" si="0"/>
        <v>0.11866896551724138</v>
      </c>
      <c r="S14" s="88"/>
      <c r="T14" s="167">
        <v>44227</v>
      </c>
      <c r="U14" s="81">
        <f t="shared" si="7"/>
        <v>-64589</v>
      </c>
    </row>
    <row r="15" spans="1:22" ht="19.5" customHeight="1" x14ac:dyDescent="0.25">
      <c r="A15" s="79">
        <v>5</v>
      </c>
      <c r="B15" s="80">
        <f t="shared" si="8"/>
        <v>44243</v>
      </c>
      <c r="C15" s="81">
        <f t="shared" si="9"/>
        <v>33849925</v>
      </c>
      <c r="D15" s="81">
        <f t="shared" si="1"/>
        <v>5379256</v>
      </c>
      <c r="E15" s="81">
        <f t="shared" si="10"/>
        <v>3968842</v>
      </c>
      <c r="F15" s="59">
        <f t="shared" si="11"/>
        <v>1410414</v>
      </c>
      <c r="G15" s="89">
        <f t="shared" si="12"/>
        <v>-67475</v>
      </c>
      <c r="H15" s="90">
        <f t="shared" si="13"/>
        <v>221822</v>
      </c>
      <c r="I15" s="91">
        <f t="shared" si="2"/>
        <v>0.11633620689655172</v>
      </c>
      <c r="J15" s="81">
        <f t="shared" si="3"/>
        <v>5379256</v>
      </c>
      <c r="K15" s="81">
        <f t="shared" si="4"/>
        <v>35671203</v>
      </c>
      <c r="L15" s="81">
        <f>L14-M14</f>
        <v>35969201</v>
      </c>
      <c r="M15" s="81">
        <f t="shared" si="14"/>
        <v>3880539</v>
      </c>
      <c r="N15" s="81">
        <f t="shared" si="5"/>
        <v>1498717</v>
      </c>
      <c r="O15" s="81">
        <f t="shared" si="6"/>
        <v>1558579</v>
      </c>
      <c r="P15" s="92">
        <f t="shared" si="15"/>
        <v>-64589</v>
      </c>
      <c r="Q15" s="93">
        <f t="shared" si="16"/>
        <v>-297998</v>
      </c>
      <c r="R15" s="94">
        <f t="shared" si="0"/>
        <v>0.11136034482758621</v>
      </c>
      <c r="S15" s="88"/>
      <c r="T15" s="167">
        <v>44255</v>
      </c>
      <c r="U15" s="81">
        <f t="shared" si="7"/>
        <v>-59862</v>
      </c>
    </row>
    <row r="16" spans="1:22" ht="19.5" customHeight="1" x14ac:dyDescent="0.25">
      <c r="A16" s="79">
        <v>6</v>
      </c>
      <c r="B16" s="80">
        <f t="shared" si="8"/>
        <v>44271</v>
      </c>
      <c r="C16" s="81">
        <f t="shared" si="9"/>
        <v>29881083</v>
      </c>
      <c r="D16" s="81">
        <f t="shared" si="1"/>
        <v>5379256</v>
      </c>
      <c r="E16" s="81">
        <f t="shared" si="10"/>
        <v>4134211</v>
      </c>
      <c r="F16" s="59">
        <f t="shared" si="11"/>
        <v>1245045</v>
      </c>
      <c r="G16" s="89">
        <f t="shared" si="12"/>
        <v>-60648</v>
      </c>
      <c r="H16" s="90">
        <f t="shared" si="13"/>
        <v>282470</v>
      </c>
      <c r="I16" s="91">
        <f t="shared" si="2"/>
        <v>0.10456551724137932</v>
      </c>
      <c r="J16" s="81">
        <f t="shared" si="3"/>
        <v>5379256</v>
      </c>
      <c r="K16" s="81">
        <f t="shared" si="4"/>
        <v>31850526</v>
      </c>
      <c r="L16" s="81">
        <f t="shared" ref="L16:L79" si="17">L15-M15</f>
        <v>32088662</v>
      </c>
      <c r="M16" s="81">
        <f t="shared" si="14"/>
        <v>4042228</v>
      </c>
      <c r="N16" s="81">
        <f t="shared" si="5"/>
        <v>1337028</v>
      </c>
      <c r="O16" s="81">
        <f t="shared" si="6"/>
        <v>1391643</v>
      </c>
      <c r="P16" s="92">
        <f t="shared" si="15"/>
        <v>-59862</v>
      </c>
      <c r="Q16" s="93">
        <f t="shared" si="16"/>
        <v>-238136</v>
      </c>
      <c r="R16" s="94">
        <f t="shared" si="0"/>
        <v>0.1032103448275862</v>
      </c>
      <c r="S16" s="88"/>
      <c r="T16" s="167">
        <v>44286</v>
      </c>
      <c r="U16" s="81">
        <f t="shared" si="7"/>
        <v>-54615</v>
      </c>
    </row>
    <row r="17" spans="1:21" ht="19.5" customHeight="1" x14ac:dyDescent="0.25">
      <c r="A17" s="79">
        <v>7</v>
      </c>
      <c r="B17" s="80">
        <f t="shared" si="8"/>
        <v>44302</v>
      </c>
      <c r="C17" s="81">
        <f t="shared" si="9"/>
        <v>25746872</v>
      </c>
      <c r="D17" s="81">
        <f t="shared" si="1"/>
        <v>5379256</v>
      </c>
      <c r="E17" s="81">
        <f t="shared" si="10"/>
        <v>4306470</v>
      </c>
      <c r="F17" s="59">
        <f t="shared" si="11"/>
        <v>1072786</v>
      </c>
      <c r="G17" s="89">
        <f t="shared" si="12"/>
        <v>-53537</v>
      </c>
      <c r="H17" s="90">
        <f t="shared" si="13"/>
        <v>336007</v>
      </c>
      <c r="I17" s="91">
        <f t="shared" si="2"/>
        <v>9.2305172413793102E-2</v>
      </c>
      <c r="J17" s="81">
        <f t="shared" si="3"/>
        <v>5379256</v>
      </c>
      <c r="K17" s="81">
        <f t="shared" si="4"/>
        <v>27862913</v>
      </c>
      <c r="L17" s="81">
        <f t="shared" si="17"/>
        <v>28046434</v>
      </c>
      <c r="M17" s="81">
        <f t="shared" si="14"/>
        <v>4210655</v>
      </c>
      <c r="N17" s="81">
        <f t="shared" si="5"/>
        <v>1168601</v>
      </c>
      <c r="O17" s="81">
        <f t="shared" si="6"/>
        <v>1217412</v>
      </c>
      <c r="P17" s="92">
        <f t="shared" si="15"/>
        <v>-54615</v>
      </c>
      <c r="Q17" s="93">
        <f t="shared" si="16"/>
        <v>-183521</v>
      </c>
      <c r="R17" s="94">
        <f t="shared" si="0"/>
        <v>9.4163793103448273E-2</v>
      </c>
      <c r="S17" s="88"/>
      <c r="T17" s="167">
        <v>44316</v>
      </c>
      <c r="U17" s="81">
        <f t="shared" si="7"/>
        <v>-48811</v>
      </c>
    </row>
    <row r="18" spans="1:21" ht="19.5" customHeight="1" x14ac:dyDescent="0.25">
      <c r="A18" s="79">
        <v>8</v>
      </c>
      <c r="B18" s="80">
        <f t="shared" si="8"/>
        <v>44332</v>
      </c>
      <c r="C18" s="81">
        <f t="shared" si="9"/>
        <v>21440402</v>
      </c>
      <c r="D18" s="81">
        <f t="shared" si="1"/>
        <v>5379256</v>
      </c>
      <c r="E18" s="81">
        <f t="shared" si="10"/>
        <v>4485906</v>
      </c>
      <c r="F18" s="59">
        <f t="shared" si="11"/>
        <v>893350</v>
      </c>
      <c r="G18" s="89">
        <f t="shared" si="12"/>
        <v>-46130</v>
      </c>
      <c r="H18" s="90">
        <f t="shared" si="13"/>
        <v>382137</v>
      </c>
      <c r="I18" s="91">
        <f t="shared" si="2"/>
        <v>7.9534482758620684E-2</v>
      </c>
      <c r="J18" s="81">
        <f t="shared" si="3"/>
        <v>5379256</v>
      </c>
      <c r="K18" s="81">
        <f t="shared" si="4"/>
        <v>23701069</v>
      </c>
      <c r="L18" s="81">
        <f t="shared" si="17"/>
        <v>23835779</v>
      </c>
      <c r="M18" s="81">
        <f t="shared" si="14"/>
        <v>4386099</v>
      </c>
      <c r="N18" s="81">
        <f t="shared" si="5"/>
        <v>993157</v>
      </c>
      <c r="O18" s="81">
        <f t="shared" si="6"/>
        <v>1035569</v>
      </c>
      <c r="P18" s="92">
        <f t="shared" si="15"/>
        <v>-48811</v>
      </c>
      <c r="Q18" s="93">
        <f t="shared" si="16"/>
        <v>-134710</v>
      </c>
      <c r="R18" s="94">
        <f t="shared" si="0"/>
        <v>8.4156896551724134E-2</v>
      </c>
      <c r="S18" s="88"/>
      <c r="T18" s="167">
        <v>44347</v>
      </c>
      <c r="U18" s="81">
        <f t="shared" si="7"/>
        <v>-42412</v>
      </c>
    </row>
    <row r="19" spans="1:21" x14ac:dyDescent="0.25">
      <c r="A19" s="79">
        <v>9</v>
      </c>
      <c r="B19" s="80">
        <f t="shared" si="8"/>
        <v>44363</v>
      </c>
      <c r="C19" s="81">
        <f t="shared" si="9"/>
        <v>16954496</v>
      </c>
      <c r="D19" s="81">
        <f t="shared" si="1"/>
        <v>5379256</v>
      </c>
      <c r="E19" s="81">
        <f t="shared" si="10"/>
        <v>4672819</v>
      </c>
      <c r="F19" s="59">
        <f t="shared" si="11"/>
        <v>706437</v>
      </c>
      <c r="G19" s="89">
        <f t="shared" si="12"/>
        <v>-38414</v>
      </c>
      <c r="H19" s="90">
        <f t="shared" si="13"/>
        <v>420551</v>
      </c>
      <c r="I19" s="91">
        <f t="shared" si="2"/>
        <v>6.6231034482758619E-2</v>
      </c>
      <c r="J19" s="81">
        <f t="shared" si="3"/>
        <v>5379256</v>
      </c>
      <c r="K19" s="81">
        <f t="shared" si="4"/>
        <v>19357382</v>
      </c>
      <c r="L19" s="81">
        <f t="shared" si="17"/>
        <v>19449680</v>
      </c>
      <c r="M19" s="81">
        <f t="shared" si="14"/>
        <v>4568853</v>
      </c>
      <c r="N19" s="81">
        <f t="shared" si="5"/>
        <v>810403</v>
      </c>
      <c r="O19" s="81">
        <f t="shared" si="6"/>
        <v>845781</v>
      </c>
      <c r="P19" s="92">
        <f t="shared" si="15"/>
        <v>-42412</v>
      </c>
      <c r="Q19" s="93">
        <f t="shared" si="16"/>
        <v>-92298</v>
      </c>
      <c r="R19" s="94">
        <f t="shared" si="0"/>
        <v>7.3124137931034477E-2</v>
      </c>
      <c r="S19" s="88"/>
      <c r="T19" s="167">
        <v>44377</v>
      </c>
      <c r="U19" s="81">
        <f t="shared" si="7"/>
        <v>-35378</v>
      </c>
    </row>
    <row r="20" spans="1:21" x14ac:dyDescent="0.25">
      <c r="A20" s="79">
        <v>10</v>
      </c>
      <c r="B20" s="80">
        <f t="shared" si="8"/>
        <v>44393</v>
      </c>
      <c r="C20" s="81">
        <f t="shared" si="9"/>
        <v>12281677</v>
      </c>
      <c r="D20" s="81">
        <f t="shared" si="1"/>
        <v>5379256</v>
      </c>
      <c r="E20" s="81">
        <f t="shared" si="10"/>
        <v>4867519</v>
      </c>
      <c r="F20" s="59">
        <f t="shared" si="11"/>
        <v>511737</v>
      </c>
      <c r="G20" s="89">
        <f t="shared" si="12"/>
        <v>-30377</v>
      </c>
      <c r="H20" s="90">
        <f t="shared" si="13"/>
        <v>450928</v>
      </c>
      <c r="I20" s="91">
        <f t="shared" si="2"/>
        <v>5.237413793103448E-2</v>
      </c>
      <c r="J20" s="81">
        <f t="shared" si="3"/>
        <v>5379256</v>
      </c>
      <c r="K20" s="81">
        <f t="shared" si="4"/>
        <v>14823907</v>
      </c>
      <c r="L20" s="81">
        <f t="shared" si="17"/>
        <v>14880827</v>
      </c>
      <c r="M20" s="81">
        <f t="shared" si="14"/>
        <v>4759222</v>
      </c>
      <c r="N20" s="81">
        <f t="shared" si="5"/>
        <v>620034</v>
      </c>
      <c r="O20" s="81">
        <f t="shared" si="6"/>
        <v>647700</v>
      </c>
      <c r="P20" s="92">
        <f t="shared" si="15"/>
        <v>-35378</v>
      </c>
      <c r="Q20" s="93">
        <f t="shared" si="16"/>
        <v>-56920</v>
      </c>
      <c r="R20" s="94">
        <f t="shared" si="0"/>
        <v>6.0996551724137933E-2</v>
      </c>
      <c r="S20" s="88"/>
      <c r="T20" s="167">
        <v>44408</v>
      </c>
      <c r="U20" s="81">
        <f t="shared" si="7"/>
        <v>-27666</v>
      </c>
    </row>
    <row r="21" spans="1:21" x14ac:dyDescent="0.25">
      <c r="A21" s="79">
        <v>11</v>
      </c>
      <c r="B21" s="80">
        <f t="shared" si="8"/>
        <v>44424</v>
      </c>
      <c r="C21" s="81">
        <f t="shared" si="9"/>
        <v>7414158</v>
      </c>
      <c r="D21" s="81">
        <f t="shared" si="1"/>
        <v>5379256</v>
      </c>
      <c r="E21" s="81">
        <f t="shared" si="10"/>
        <v>5070333</v>
      </c>
      <c r="F21" s="59">
        <f t="shared" si="11"/>
        <v>308923</v>
      </c>
      <c r="G21" s="89">
        <f t="shared" si="12"/>
        <v>-22005</v>
      </c>
      <c r="H21" s="90">
        <f t="shared" si="13"/>
        <v>472933</v>
      </c>
      <c r="I21" s="91">
        <f t="shared" si="2"/>
        <v>3.7939655172413794E-2</v>
      </c>
      <c r="J21" s="81">
        <f t="shared" si="3"/>
        <v>5379256</v>
      </c>
      <c r="K21" s="81">
        <f t="shared" si="4"/>
        <v>10092351</v>
      </c>
      <c r="L21" s="81">
        <f t="shared" si="17"/>
        <v>10121605</v>
      </c>
      <c r="M21" s="81">
        <f t="shared" si="14"/>
        <v>4957522</v>
      </c>
      <c r="N21" s="81">
        <f t="shared" si="5"/>
        <v>421734</v>
      </c>
      <c r="O21" s="81">
        <f t="shared" si="6"/>
        <v>440964</v>
      </c>
      <c r="P21" s="92">
        <f t="shared" si="15"/>
        <v>-27666</v>
      </c>
      <c r="Q21" s="93">
        <f t="shared" si="16"/>
        <v>-29254</v>
      </c>
      <c r="R21" s="94">
        <f t="shared" si="0"/>
        <v>4.7699999999999999E-2</v>
      </c>
      <c r="S21" s="88"/>
      <c r="T21" s="167">
        <v>44439</v>
      </c>
      <c r="U21" s="81">
        <f t="shared" si="7"/>
        <v>-19230</v>
      </c>
    </row>
    <row r="22" spans="1:21" x14ac:dyDescent="0.25">
      <c r="A22" s="79">
        <v>12</v>
      </c>
      <c r="B22" s="80">
        <f t="shared" si="8"/>
        <v>44455</v>
      </c>
      <c r="C22" s="81">
        <f t="shared" si="9"/>
        <v>2343825</v>
      </c>
      <c r="D22" s="81">
        <f t="shared" si="1"/>
        <v>2441484</v>
      </c>
      <c r="E22" s="81">
        <f t="shared" si="10"/>
        <v>2343825</v>
      </c>
      <c r="F22" s="59">
        <f t="shared" si="11"/>
        <v>97659</v>
      </c>
      <c r="G22" s="89">
        <f t="shared" si="12"/>
        <v>-13284</v>
      </c>
      <c r="H22" s="90">
        <f t="shared" si="13"/>
        <v>486217</v>
      </c>
      <c r="I22" s="91">
        <f t="shared" si="2"/>
        <v>2.2903448275862069E-2</v>
      </c>
      <c r="J22" s="81">
        <f t="shared" si="3"/>
        <v>5379256</v>
      </c>
      <c r="K22" s="81">
        <f t="shared" si="4"/>
        <v>5154059</v>
      </c>
      <c r="L22" s="81">
        <f t="shared" si="17"/>
        <v>5164083</v>
      </c>
      <c r="M22" s="81">
        <f t="shared" si="14"/>
        <v>5164083</v>
      </c>
      <c r="N22" s="81">
        <f t="shared" si="5"/>
        <v>215170</v>
      </c>
      <c r="O22" s="81">
        <f t="shared" si="6"/>
        <v>225196</v>
      </c>
      <c r="P22" s="92">
        <f t="shared" si="15"/>
        <v>-19230</v>
      </c>
      <c r="Q22" s="93">
        <f t="shared" si="16"/>
        <v>-10024</v>
      </c>
      <c r="R22" s="94">
        <f t="shared" si="0"/>
        <v>3.3155172413793101E-2</v>
      </c>
      <c r="S22" s="88"/>
      <c r="T22" s="167">
        <v>44104</v>
      </c>
      <c r="U22" s="81">
        <f t="shared" si="7"/>
        <v>-10024</v>
      </c>
    </row>
    <row r="23" spans="1:21" x14ac:dyDescent="0.25">
      <c r="A23" s="79">
        <v>13</v>
      </c>
      <c r="B23" s="80">
        <f t="shared" si="8"/>
        <v>44485</v>
      </c>
      <c r="C23" s="81">
        <f t="shared" si="9"/>
        <v>0</v>
      </c>
      <c r="D23" s="81">
        <f t="shared" si="1"/>
        <v>0</v>
      </c>
      <c r="E23" s="81">
        <f t="shared" si="10"/>
        <v>0</v>
      </c>
      <c r="F23" s="59">
        <f t="shared" si="11"/>
        <v>0</v>
      </c>
      <c r="G23" s="89">
        <f t="shared" si="12"/>
        <v>-4199</v>
      </c>
      <c r="H23" s="90">
        <f t="shared" si="13"/>
        <v>490416</v>
      </c>
      <c r="I23" s="91">
        <f t="shared" si="2"/>
        <v>7.2396551724137935E-3</v>
      </c>
      <c r="J23" s="81">
        <f t="shared" si="3"/>
        <v>0</v>
      </c>
      <c r="K23" s="81">
        <f t="shared" si="4"/>
        <v>0</v>
      </c>
      <c r="L23" s="81">
        <f t="shared" si="17"/>
        <v>0</v>
      </c>
      <c r="M23" s="81">
        <f t="shared" si="14"/>
        <v>0</v>
      </c>
      <c r="N23" s="81">
        <f t="shared" si="5"/>
        <v>0</v>
      </c>
      <c r="O23" s="81">
        <f t="shared" si="6"/>
        <v>0</v>
      </c>
      <c r="P23" s="92">
        <f t="shared" si="15"/>
        <v>-10024</v>
      </c>
      <c r="Q23" s="93">
        <f t="shared" si="16"/>
        <v>0</v>
      </c>
      <c r="R23" s="94">
        <f t="shared" si="0"/>
        <v>1.7282758620689655E-2</v>
      </c>
      <c r="S23" s="88"/>
      <c r="T23" s="167"/>
    </row>
    <row r="24" spans="1:21" hidden="1" x14ac:dyDescent="0.25">
      <c r="A24" s="79">
        <v>14</v>
      </c>
      <c r="B24" s="80">
        <f t="shared" si="8"/>
        <v>44516</v>
      </c>
      <c r="C24" s="81">
        <f t="shared" si="9"/>
        <v>0</v>
      </c>
      <c r="D24" s="81">
        <f t="shared" si="1"/>
        <v>0</v>
      </c>
      <c r="E24" s="81">
        <f t="shared" si="10"/>
        <v>0</v>
      </c>
      <c r="F24" s="59">
        <f t="shared" si="11"/>
        <v>0</v>
      </c>
      <c r="G24" s="89">
        <f t="shared" si="12"/>
        <v>0</v>
      </c>
      <c r="H24" s="90">
        <f t="shared" si="13"/>
        <v>490416</v>
      </c>
      <c r="I24" s="91">
        <f t="shared" si="2"/>
        <v>0</v>
      </c>
      <c r="J24" s="81">
        <f t="shared" si="3"/>
        <v>0</v>
      </c>
      <c r="K24" s="81">
        <f t="shared" si="4"/>
        <v>0</v>
      </c>
      <c r="L24" s="81">
        <f t="shared" si="17"/>
        <v>0</v>
      </c>
      <c r="M24" s="81">
        <f t="shared" si="14"/>
        <v>0</v>
      </c>
      <c r="N24" s="81">
        <f t="shared" si="5"/>
        <v>0</v>
      </c>
      <c r="O24" s="81">
        <f t="shared" si="6"/>
        <v>0</v>
      </c>
      <c r="P24" s="92">
        <f t="shared" si="15"/>
        <v>0</v>
      </c>
      <c r="Q24" s="93">
        <f t="shared" si="16"/>
        <v>0</v>
      </c>
      <c r="R24" s="94">
        <f t="shared" si="0"/>
        <v>0</v>
      </c>
      <c r="S24" s="88"/>
    </row>
    <row r="25" spans="1:21" hidden="1" x14ac:dyDescent="0.25">
      <c r="A25" s="79">
        <v>15</v>
      </c>
      <c r="B25" s="80">
        <f t="shared" si="8"/>
        <v>44546</v>
      </c>
      <c r="C25" s="81">
        <f t="shared" si="9"/>
        <v>0</v>
      </c>
      <c r="D25" s="81">
        <f t="shared" si="1"/>
        <v>0</v>
      </c>
      <c r="E25" s="81">
        <f t="shared" si="10"/>
        <v>0</v>
      </c>
      <c r="F25" s="59">
        <f t="shared" si="11"/>
        <v>0</v>
      </c>
      <c r="G25" s="89">
        <f t="shared" si="12"/>
        <v>0</v>
      </c>
      <c r="H25" s="90">
        <f t="shared" si="13"/>
        <v>490416</v>
      </c>
      <c r="I25" s="91">
        <f t="shared" si="2"/>
        <v>0</v>
      </c>
      <c r="J25" s="81">
        <f t="shared" si="3"/>
        <v>0</v>
      </c>
      <c r="K25" s="81">
        <f t="shared" si="4"/>
        <v>0</v>
      </c>
      <c r="L25" s="81">
        <f t="shared" si="17"/>
        <v>0</v>
      </c>
      <c r="M25" s="81">
        <f t="shared" si="14"/>
        <v>0</v>
      </c>
      <c r="N25" s="81">
        <f t="shared" si="5"/>
        <v>0</v>
      </c>
      <c r="O25" s="81">
        <f t="shared" si="6"/>
        <v>0</v>
      </c>
      <c r="P25" s="92">
        <f t="shared" si="15"/>
        <v>0</v>
      </c>
      <c r="Q25" s="93">
        <f t="shared" si="16"/>
        <v>0</v>
      </c>
      <c r="R25" s="94">
        <f t="shared" si="0"/>
        <v>0</v>
      </c>
      <c r="S25" s="88"/>
    </row>
    <row r="26" spans="1:21" hidden="1" x14ac:dyDescent="0.25">
      <c r="A26" s="79">
        <v>16</v>
      </c>
      <c r="B26" s="80">
        <f t="shared" si="8"/>
        <v>44577</v>
      </c>
      <c r="C26" s="81">
        <f t="shared" si="9"/>
        <v>0</v>
      </c>
      <c r="D26" s="81">
        <f t="shared" si="1"/>
        <v>0</v>
      </c>
      <c r="E26" s="81">
        <f t="shared" si="10"/>
        <v>0</v>
      </c>
      <c r="F26" s="59">
        <f t="shared" si="11"/>
        <v>0</v>
      </c>
      <c r="G26" s="89">
        <f t="shared" si="12"/>
        <v>0</v>
      </c>
      <c r="H26" s="90">
        <f t="shared" si="13"/>
        <v>490416</v>
      </c>
      <c r="I26" s="91">
        <f t="shared" si="2"/>
        <v>0</v>
      </c>
      <c r="J26" s="81">
        <f t="shared" si="3"/>
        <v>0</v>
      </c>
      <c r="K26" s="81">
        <f t="shared" si="4"/>
        <v>0</v>
      </c>
      <c r="L26" s="81">
        <f t="shared" si="17"/>
        <v>0</v>
      </c>
      <c r="M26" s="81">
        <f>IF(($B$5-N26)&lt;L26,$B$5-N26,L26)</f>
        <v>0</v>
      </c>
      <c r="N26" s="81">
        <f t="shared" si="5"/>
        <v>0</v>
      </c>
      <c r="O26" s="81">
        <f t="shared" si="6"/>
        <v>0</v>
      </c>
      <c r="P26" s="92">
        <f t="shared" si="15"/>
        <v>0</v>
      </c>
      <c r="Q26" s="93">
        <f t="shared" si="16"/>
        <v>0</v>
      </c>
      <c r="R26" s="94">
        <f t="shared" si="0"/>
        <v>0</v>
      </c>
      <c r="S26" s="88"/>
    </row>
    <row r="27" spans="1:21" hidden="1" x14ac:dyDescent="0.25">
      <c r="A27" s="79">
        <v>17</v>
      </c>
      <c r="B27" s="80">
        <f t="shared" si="8"/>
        <v>44608</v>
      </c>
      <c r="C27" s="81">
        <f t="shared" si="9"/>
        <v>0</v>
      </c>
      <c r="D27" s="81">
        <f t="shared" si="1"/>
        <v>0</v>
      </c>
      <c r="E27" s="81">
        <f t="shared" si="10"/>
        <v>0</v>
      </c>
      <c r="F27" s="59">
        <f t="shared" si="11"/>
        <v>0</v>
      </c>
      <c r="G27" s="89">
        <f t="shared" si="12"/>
        <v>0</v>
      </c>
      <c r="H27" s="90">
        <f t="shared" si="13"/>
        <v>490416</v>
      </c>
      <c r="I27" s="91">
        <f t="shared" si="2"/>
        <v>0</v>
      </c>
      <c r="J27" s="81">
        <f t="shared" si="3"/>
        <v>0</v>
      </c>
      <c r="K27" s="81">
        <f t="shared" si="4"/>
        <v>0</v>
      </c>
      <c r="L27" s="81">
        <f t="shared" si="17"/>
        <v>0</v>
      </c>
      <c r="M27" s="81">
        <f t="shared" si="14"/>
        <v>0</v>
      </c>
      <c r="N27" s="81">
        <f t="shared" si="5"/>
        <v>0</v>
      </c>
      <c r="O27" s="81">
        <f t="shared" si="6"/>
        <v>0</v>
      </c>
      <c r="P27" s="92">
        <f t="shared" si="15"/>
        <v>0</v>
      </c>
      <c r="Q27" s="93">
        <f t="shared" si="16"/>
        <v>0</v>
      </c>
      <c r="R27" s="94">
        <f t="shared" si="0"/>
        <v>0</v>
      </c>
      <c r="S27" s="88"/>
    </row>
    <row r="28" spans="1:21" hidden="1" x14ac:dyDescent="0.25">
      <c r="A28" s="79">
        <v>18</v>
      </c>
      <c r="B28" s="80">
        <f t="shared" si="8"/>
        <v>44636</v>
      </c>
      <c r="C28" s="81">
        <f t="shared" si="9"/>
        <v>0</v>
      </c>
      <c r="D28" s="81">
        <f t="shared" si="1"/>
        <v>0</v>
      </c>
      <c r="E28" s="81">
        <f t="shared" si="10"/>
        <v>0</v>
      </c>
      <c r="F28" s="59">
        <f t="shared" si="11"/>
        <v>0</v>
      </c>
      <c r="G28" s="89">
        <f t="shared" si="12"/>
        <v>0</v>
      </c>
      <c r="H28" s="90">
        <f t="shared" si="13"/>
        <v>490416</v>
      </c>
      <c r="I28" s="91">
        <f t="shared" si="2"/>
        <v>0</v>
      </c>
      <c r="J28" s="81">
        <f t="shared" si="3"/>
        <v>0</v>
      </c>
      <c r="K28" s="81">
        <f t="shared" si="4"/>
        <v>0</v>
      </c>
      <c r="L28" s="81">
        <f t="shared" si="17"/>
        <v>0</v>
      </c>
      <c r="M28" s="81">
        <f t="shared" si="14"/>
        <v>0</v>
      </c>
      <c r="N28" s="81">
        <f t="shared" si="5"/>
        <v>0</v>
      </c>
      <c r="O28" s="81">
        <f t="shared" si="6"/>
        <v>0</v>
      </c>
      <c r="P28" s="92">
        <f t="shared" si="15"/>
        <v>0</v>
      </c>
      <c r="Q28" s="93">
        <f t="shared" si="16"/>
        <v>0</v>
      </c>
      <c r="R28" s="94">
        <f t="shared" si="0"/>
        <v>0</v>
      </c>
      <c r="S28" s="88"/>
    </row>
    <row r="29" spans="1:21" hidden="1" x14ac:dyDescent="0.25">
      <c r="A29" s="79">
        <v>19</v>
      </c>
      <c r="B29" s="80">
        <f t="shared" si="8"/>
        <v>44667</v>
      </c>
      <c r="C29" s="81">
        <f t="shared" si="9"/>
        <v>0</v>
      </c>
      <c r="D29" s="81">
        <f t="shared" si="1"/>
        <v>0</v>
      </c>
      <c r="E29" s="81">
        <f t="shared" si="10"/>
        <v>0</v>
      </c>
      <c r="F29" s="59">
        <f t="shared" si="11"/>
        <v>0</v>
      </c>
      <c r="G29" s="89">
        <f t="shared" si="12"/>
        <v>0</v>
      </c>
      <c r="H29" s="90">
        <f t="shared" si="13"/>
        <v>490416</v>
      </c>
      <c r="I29" s="91">
        <f t="shared" si="2"/>
        <v>0</v>
      </c>
      <c r="J29" s="81">
        <f t="shared" si="3"/>
        <v>0</v>
      </c>
      <c r="K29" s="81">
        <f t="shared" si="4"/>
        <v>0</v>
      </c>
      <c r="L29" s="81">
        <f t="shared" si="17"/>
        <v>0</v>
      </c>
      <c r="M29" s="81">
        <f t="shared" si="14"/>
        <v>0</v>
      </c>
      <c r="N29" s="81">
        <f t="shared" si="5"/>
        <v>0</v>
      </c>
      <c r="O29" s="81">
        <f t="shared" si="6"/>
        <v>0</v>
      </c>
      <c r="P29" s="92">
        <f t="shared" si="15"/>
        <v>0</v>
      </c>
      <c r="Q29" s="93">
        <f t="shared" si="16"/>
        <v>0</v>
      </c>
      <c r="R29" s="94">
        <f t="shared" si="0"/>
        <v>0</v>
      </c>
      <c r="S29" s="88"/>
    </row>
    <row r="30" spans="1:21" hidden="1" x14ac:dyDescent="0.25">
      <c r="A30" s="79">
        <v>20</v>
      </c>
      <c r="B30" s="80">
        <f t="shared" si="8"/>
        <v>44697</v>
      </c>
      <c r="C30" s="81">
        <f t="shared" si="9"/>
        <v>0</v>
      </c>
      <c r="D30" s="81">
        <f t="shared" si="1"/>
        <v>0</v>
      </c>
      <c r="E30" s="81">
        <f t="shared" si="10"/>
        <v>0</v>
      </c>
      <c r="F30" s="59">
        <f t="shared" si="11"/>
        <v>0</v>
      </c>
      <c r="G30" s="89">
        <f t="shared" si="12"/>
        <v>0</v>
      </c>
      <c r="H30" s="90">
        <f t="shared" si="13"/>
        <v>490416</v>
      </c>
      <c r="I30" s="91">
        <f t="shared" si="2"/>
        <v>0</v>
      </c>
      <c r="J30" s="81">
        <f t="shared" si="3"/>
        <v>0</v>
      </c>
      <c r="K30" s="81">
        <f t="shared" si="4"/>
        <v>0</v>
      </c>
      <c r="L30" s="81">
        <f t="shared" si="17"/>
        <v>0</v>
      </c>
      <c r="M30" s="81">
        <f t="shared" si="14"/>
        <v>0</v>
      </c>
      <c r="N30" s="81">
        <f t="shared" si="5"/>
        <v>0</v>
      </c>
      <c r="O30" s="81">
        <f t="shared" si="6"/>
        <v>0</v>
      </c>
      <c r="P30" s="92">
        <f t="shared" si="15"/>
        <v>0</v>
      </c>
      <c r="Q30" s="93">
        <f t="shared" si="16"/>
        <v>0</v>
      </c>
      <c r="R30" s="94">
        <f t="shared" si="0"/>
        <v>0</v>
      </c>
      <c r="S30" s="88"/>
    </row>
    <row r="31" spans="1:21" hidden="1" x14ac:dyDescent="0.25">
      <c r="A31" s="79">
        <v>21</v>
      </c>
      <c r="B31" s="80">
        <f t="shared" si="8"/>
        <v>44728</v>
      </c>
      <c r="C31" s="81">
        <f t="shared" si="9"/>
        <v>0</v>
      </c>
      <c r="D31" s="81">
        <f t="shared" si="1"/>
        <v>0</v>
      </c>
      <c r="E31" s="81">
        <f t="shared" si="10"/>
        <v>0</v>
      </c>
      <c r="F31" s="59">
        <f t="shared" si="11"/>
        <v>0</v>
      </c>
      <c r="G31" s="89">
        <f t="shared" si="12"/>
        <v>0</v>
      </c>
      <c r="H31" s="90">
        <f t="shared" si="13"/>
        <v>490416</v>
      </c>
      <c r="I31" s="91">
        <f t="shared" si="2"/>
        <v>0</v>
      </c>
      <c r="J31" s="81">
        <f t="shared" si="3"/>
        <v>0</v>
      </c>
      <c r="K31" s="81">
        <f t="shared" si="4"/>
        <v>0</v>
      </c>
      <c r="L31" s="81">
        <f t="shared" si="17"/>
        <v>0</v>
      </c>
      <c r="M31" s="81">
        <f t="shared" si="14"/>
        <v>0</v>
      </c>
      <c r="N31" s="81">
        <f t="shared" si="5"/>
        <v>0</v>
      </c>
      <c r="O31" s="81">
        <f t="shared" si="6"/>
        <v>0</v>
      </c>
      <c r="P31" s="92">
        <f t="shared" si="15"/>
        <v>0</v>
      </c>
      <c r="Q31" s="93">
        <f t="shared" si="16"/>
        <v>0</v>
      </c>
      <c r="R31" s="94">
        <f t="shared" si="0"/>
        <v>0</v>
      </c>
      <c r="S31" s="88"/>
    </row>
    <row r="32" spans="1:21" hidden="1" x14ac:dyDescent="0.25">
      <c r="A32" s="79">
        <v>22</v>
      </c>
      <c r="B32" s="80">
        <f t="shared" si="8"/>
        <v>44758</v>
      </c>
      <c r="C32" s="81">
        <f t="shared" si="9"/>
        <v>0</v>
      </c>
      <c r="D32" s="81">
        <f t="shared" si="1"/>
        <v>0</v>
      </c>
      <c r="E32" s="81">
        <f t="shared" si="10"/>
        <v>0</v>
      </c>
      <c r="F32" s="59">
        <f t="shared" si="11"/>
        <v>0</v>
      </c>
      <c r="G32" s="89">
        <f t="shared" si="12"/>
        <v>0</v>
      </c>
      <c r="H32" s="90">
        <f t="shared" si="13"/>
        <v>490416</v>
      </c>
      <c r="I32" s="91">
        <f t="shared" si="2"/>
        <v>0</v>
      </c>
      <c r="J32" s="81">
        <f t="shared" si="3"/>
        <v>0</v>
      </c>
      <c r="K32" s="81">
        <f t="shared" si="4"/>
        <v>0</v>
      </c>
      <c r="L32" s="81">
        <f t="shared" si="17"/>
        <v>0</v>
      </c>
      <c r="M32" s="81">
        <f t="shared" si="14"/>
        <v>0</v>
      </c>
      <c r="N32" s="81">
        <f t="shared" si="5"/>
        <v>0</v>
      </c>
      <c r="O32" s="81">
        <f t="shared" si="6"/>
        <v>0</v>
      </c>
      <c r="P32" s="92">
        <f t="shared" si="15"/>
        <v>0</v>
      </c>
      <c r="Q32" s="93">
        <f t="shared" si="16"/>
        <v>0</v>
      </c>
      <c r="R32" s="94">
        <f t="shared" si="0"/>
        <v>0</v>
      </c>
      <c r="S32" s="88"/>
    </row>
    <row r="33" spans="1:19" hidden="1" x14ac:dyDescent="0.25">
      <c r="A33" s="79">
        <v>23</v>
      </c>
      <c r="B33" s="80">
        <f t="shared" si="8"/>
        <v>44789</v>
      </c>
      <c r="C33" s="81">
        <f t="shared" si="9"/>
        <v>0</v>
      </c>
      <c r="D33" s="81">
        <f t="shared" si="1"/>
        <v>0</v>
      </c>
      <c r="E33" s="81">
        <f t="shared" si="10"/>
        <v>0</v>
      </c>
      <c r="F33" s="59">
        <f t="shared" si="11"/>
        <v>0</v>
      </c>
      <c r="G33" s="89">
        <f t="shared" si="12"/>
        <v>0</v>
      </c>
      <c r="H33" s="90">
        <f t="shared" si="13"/>
        <v>490416</v>
      </c>
      <c r="I33" s="91">
        <f t="shared" si="2"/>
        <v>0</v>
      </c>
      <c r="J33" s="81">
        <f t="shared" si="3"/>
        <v>0</v>
      </c>
      <c r="K33" s="81">
        <f t="shared" si="4"/>
        <v>0</v>
      </c>
      <c r="L33" s="81">
        <f t="shared" si="17"/>
        <v>0</v>
      </c>
      <c r="M33" s="81">
        <f t="shared" si="14"/>
        <v>0</v>
      </c>
      <c r="N33" s="81">
        <f t="shared" si="5"/>
        <v>0</v>
      </c>
      <c r="O33" s="81">
        <f t="shared" si="6"/>
        <v>0</v>
      </c>
      <c r="P33" s="92">
        <f t="shared" si="15"/>
        <v>0</v>
      </c>
      <c r="Q33" s="93">
        <f t="shared" si="16"/>
        <v>0</v>
      </c>
      <c r="R33" s="94">
        <f t="shared" si="0"/>
        <v>0</v>
      </c>
      <c r="S33" s="88"/>
    </row>
    <row r="34" spans="1:19" hidden="1" x14ac:dyDescent="0.25">
      <c r="A34" s="79">
        <v>24</v>
      </c>
      <c r="B34" s="80">
        <f t="shared" si="8"/>
        <v>44820</v>
      </c>
      <c r="C34" s="81">
        <f>E33</f>
        <v>0</v>
      </c>
      <c r="D34" s="81">
        <f t="shared" si="1"/>
        <v>0</v>
      </c>
      <c r="E34" s="81">
        <f t="shared" si="10"/>
        <v>0</v>
      </c>
      <c r="F34" s="59">
        <f t="shared" si="11"/>
        <v>0</v>
      </c>
      <c r="G34" s="89">
        <f t="shared" si="12"/>
        <v>0</v>
      </c>
      <c r="H34" s="90">
        <f t="shared" si="13"/>
        <v>490416</v>
      </c>
      <c r="I34" s="91">
        <f t="shared" si="2"/>
        <v>0</v>
      </c>
      <c r="J34" s="81">
        <f t="shared" si="3"/>
        <v>0</v>
      </c>
      <c r="K34" s="81">
        <f t="shared" si="4"/>
        <v>0</v>
      </c>
      <c r="L34" s="81">
        <f t="shared" si="17"/>
        <v>0</v>
      </c>
      <c r="M34" s="81">
        <f>L34</f>
        <v>0</v>
      </c>
      <c r="N34" s="81">
        <f t="shared" si="5"/>
        <v>0</v>
      </c>
      <c r="O34" s="81">
        <f t="shared" si="6"/>
        <v>0</v>
      </c>
      <c r="P34" s="92">
        <f>Q33</f>
        <v>0</v>
      </c>
      <c r="Q34" s="93">
        <f t="shared" si="16"/>
        <v>0</v>
      </c>
      <c r="R34" s="94">
        <f t="shared" si="0"/>
        <v>0</v>
      </c>
      <c r="S34" s="88"/>
    </row>
    <row r="35" spans="1:19" hidden="1" x14ac:dyDescent="0.25">
      <c r="A35" s="79">
        <v>25</v>
      </c>
      <c r="B35" s="80">
        <f t="shared" ref="B35:B76" si="18">DATE(YEAR(B34),MONTH(B34)+1,1)</f>
        <v>44835</v>
      </c>
      <c r="C35" s="81">
        <f t="shared" si="9"/>
        <v>0</v>
      </c>
      <c r="D35" s="81">
        <f t="shared" si="1"/>
        <v>0</v>
      </c>
      <c r="E35" s="81">
        <f t="shared" si="10"/>
        <v>0</v>
      </c>
      <c r="F35" s="59">
        <f t="shared" si="11"/>
        <v>0</v>
      </c>
      <c r="G35" s="89">
        <f t="shared" si="12"/>
        <v>0</v>
      </c>
      <c r="H35" s="90">
        <f t="shared" si="13"/>
        <v>490416</v>
      </c>
      <c r="I35" s="91">
        <f t="shared" si="2"/>
        <v>0</v>
      </c>
      <c r="J35" s="81">
        <f t="shared" si="3"/>
        <v>0</v>
      </c>
      <c r="K35" s="81">
        <f t="shared" si="4"/>
        <v>0</v>
      </c>
      <c r="L35" s="81">
        <f t="shared" si="17"/>
        <v>0</v>
      </c>
      <c r="M35" s="81">
        <f t="shared" si="14"/>
        <v>0</v>
      </c>
      <c r="N35" s="81">
        <f t="shared" si="5"/>
        <v>0</v>
      </c>
      <c r="O35" s="81">
        <f t="shared" si="6"/>
        <v>0</v>
      </c>
      <c r="P35" s="92">
        <f t="shared" si="15"/>
        <v>0</v>
      </c>
      <c r="Q35" s="93">
        <f t="shared" si="16"/>
        <v>0</v>
      </c>
      <c r="R35" s="94">
        <f t="shared" si="0"/>
        <v>0</v>
      </c>
      <c r="S35" s="88"/>
    </row>
    <row r="36" spans="1:19" hidden="1" x14ac:dyDescent="0.25">
      <c r="A36" s="79">
        <v>26</v>
      </c>
      <c r="B36" s="80">
        <f t="shared" si="18"/>
        <v>44866</v>
      </c>
      <c r="C36" s="81">
        <f t="shared" si="9"/>
        <v>0</v>
      </c>
      <c r="D36" s="81">
        <f t="shared" si="1"/>
        <v>0</v>
      </c>
      <c r="E36" s="81">
        <f t="shared" si="10"/>
        <v>0</v>
      </c>
      <c r="F36" s="59">
        <f t="shared" si="11"/>
        <v>0</v>
      </c>
      <c r="G36" s="89">
        <f t="shared" si="12"/>
        <v>0</v>
      </c>
      <c r="H36" s="90">
        <f t="shared" si="13"/>
        <v>490416</v>
      </c>
      <c r="I36" s="91">
        <f t="shared" si="2"/>
        <v>0</v>
      </c>
      <c r="J36" s="81">
        <f t="shared" si="3"/>
        <v>0</v>
      </c>
      <c r="K36" s="81">
        <f t="shared" si="4"/>
        <v>0</v>
      </c>
      <c r="L36" s="81">
        <f t="shared" si="17"/>
        <v>0</v>
      </c>
      <c r="M36" s="81">
        <f t="shared" si="14"/>
        <v>0</v>
      </c>
      <c r="N36" s="81">
        <f t="shared" si="5"/>
        <v>0</v>
      </c>
      <c r="O36" s="81">
        <f t="shared" si="6"/>
        <v>0</v>
      </c>
      <c r="P36" s="92">
        <f t="shared" si="15"/>
        <v>0</v>
      </c>
      <c r="Q36" s="93">
        <f t="shared" si="16"/>
        <v>0</v>
      </c>
      <c r="R36" s="94">
        <f t="shared" si="0"/>
        <v>0</v>
      </c>
      <c r="S36" s="88"/>
    </row>
    <row r="37" spans="1:19" hidden="1" x14ac:dyDescent="0.25">
      <c r="A37" s="79">
        <v>27</v>
      </c>
      <c r="B37" s="80">
        <f t="shared" si="18"/>
        <v>44896</v>
      </c>
      <c r="C37" s="81">
        <f t="shared" si="9"/>
        <v>0</v>
      </c>
      <c r="D37" s="81">
        <f t="shared" si="1"/>
        <v>0</v>
      </c>
      <c r="E37" s="81">
        <f t="shared" si="10"/>
        <v>0</v>
      </c>
      <c r="F37" s="59">
        <f t="shared" si="11"/>
        <v>0</v>
      </c>
      <c r="G37" s="89">
        <f t="shared" si="12"/>
        <v>0</v>
      </c>
      <c r="H37" s="90">
        <f t="shared" si="13"/>
        <v>490416</v>
      </c>
      <c r="I37" s="91">
        <f t="shared" si="2"/>
        <v>0</v>
      </c>
      <c r="J37" s="81">
        <f t="shared" si="3"/>
        <v>0</v>
      </c>
      <c r="K37" s="81">
        <f t="shared" si="4"/>
        <v>0</v>
      </c>
      <c r="L37" s="81">
        <f t="shared" si="17"/>
        <v>0</v>
      </c>
      <c r="M37" s="81">
        <f t="shared" si="14"/>
        <v>0</v>
      </c>
      <c r="N37" s="81">
        <f t="shared" si="5"/>
        <v>0</v>
      </c>
      <c r="O37" s="81">
        <f t="shared" si="6"/>
        <v>0</v>
      </c>
      <c r="P37" s="92">
        <f t="shared" si="15"/>
        <v>0</v>
      </c>
      <c r="Q37" s="93">
        <f t="shared" si="16"/>
        <v>0</v>
      </c>
      <c r="R37" s="94">
        <f t="shared" si="0"/>
        <v>0</v>
      </c>
      <c r="S37" s="88"/>
    </row>
    <row r="38" spans="1:19" hidden="1" x14ac:dyDescent="0.25">
      <c r="A38" s="79">
        <v>28</v>
      </c>
      <c r="B38" s="80">
        <f t="shared" si="18"/>
        <v>44927</v>
      </c>
      <c r="C38" s="81">
        <f t="shared" si="9"/>
        <v>0</v>
      </c>
      <c r="D38" s="81">
        <f t="shared" si="1"/>
        <v>0</v>
      </c>
      <c r="E38" s="81">
        <f t="shared" si="10"/>
        <v>0</v>
      </c>
      <c r="F38" s="59">
        <f t="shared" si="11"/>
        <v>0</v>
      </c>
      <c r="G38" s="89">
        <f t="shared" si="12"/>
        <v>0</v>
      </c>
      <c r="H38" s="90">
        <f t="shared" si="13"/>
        <v>490416</v>
      </c>
      <c r="I38" s="91">
        <f t="shared" si="2"/>
        <v>0</v>
      </c>
      <c r="J38" s="81">
        <f t="shared" si="3"/>
        <v>0</v>
      </c>
      <c r="K38" s="81">
        <f t="shared" si="4"/>
        <v>0</v>
      </c>
      <c r="L38" s="81">
        <f t="shared" si="17"/>
        <v>0</v>
      </c>
      <c r="M38" s="81">
        <f t="shared" si="14"/>
        <v>0</v>
      </c>
      <c r="N38" s="81">
        <f t="shared" si="5"/>
        <v>0</v>
      </c>
      <c r="O38" s="81">
        <f t="shared" si="6"/>
        <v>0</v>
      </c>
      <c r="P38" s="92">
        <f t="shared" si="15"/>
        <v>0</v>
      </c>
      <c r="Q38" s="93">
        <f t="shared" si="16"/>
        <v>0</v>
      </c>
      <c r="R38" s="94">
        <f t="shared" si="0"/>
        <v>0</v>
      </c>
      <c r="S38" s="88"/>
    </row>
    <row r="39" spans="1:19" hidden="1" x14ac:dyDescent="0.25">
      <c r="A39" s="79">
        <v>29</v>
      </c>
      <c r="B39" s="80">
        <f t="shared" si="18"/>
        <v>44958</v>
      </c>
      <c r="C39" s="81">
        <f t="shared" si="9"/>
        <v>0</v>
      </c>
      <c r="D39" s="81">
        <f t="shared" si="1"/>
        <v>0</v>
      </c>
      <c r="E39" s="81">
        <f t="shared" si="10"/>
        <v>0</v>
      </c>
      <c r="F39" s="59">
        <f t="shared" si="11"/>
        <v>0</v>
      </c>
      <c r="G39" s="89">
        <f t="shared" si="12"/>
        <v>0</v>
      </c>
      <c r="H39" s="90">
        <f t="shared" si="13"/>
        <v>490416</v>
      </c>
      <c r="I39" s="91">
        <f t="shared" si="2"/>
        <v>0</v>
      </c>
      <c r="J39" s="81">
        <f t="shared" si="3"/>
        <v>0</v>
      </c>
      <c r="K39" s="81">
        <f t="shared" si="4"/>
        <v>0</v>
      </c>
      <c r="L39" s="81">
        <f t="shared" si="17"/>
        <v>0</v>
      </c>
      <c r="M39" s="81">
        <f t="shared" si="14"/>
        <v>0</v>
      </c>
      <c r="N39" s="81">
        <f t="shared" si="5"/>
        <v>0</v>
      </c>
      <c r="O39" s="81">
        <f t="shared" si="6"/>
        <v>0</v>
      </c>
      <c r="P39" s="92">
        <f t="shared" si="15"/>
        <v>0</v>
      </c>
      <c r="Q39" s="93">
        <f t="shared" si="16"/>
        <v>0</v>
      </c>
      <c r="R39" s="94">
        <f t="shared" si="0"/>
        <v>0</v>
      </c>
      <c r="S39" s="88"/>
    </row>
    <row r="40" spans="1:19" hidden="1" x14ac:dyDescent="0.25">
      <c r="A40" s="79">
        <v>30</v>
      </c>
      <c r="B40" s="80">
        <f t="shared" si="18"/>
        <v>44986</v>
      </c>
      <c r="C40" s="81">
        <f t="shared" si="9"/>
        <v>0</v>
      </c>
      <c r="D40" s="81">
        <f t="shared" si="1"/>
        <v>0</v>
      </c>
      <c r="E40" s="81">
        <f t="shared" si="10"/>
        <v>0</v>
      </c>
      <c r="F40" s="59">
        <f t="shared" si="11"/>
        <v>0</v>
      </c>
      <c r="G40" s="89">
        <f t="shared" si="12"/>
        <v>0</v>
      </c>
      <c r="H40" s="90">
        <f t="shared" si="13"/>
        <v>490416</v>
      </c>
      <c r="I40" s="91">
        <f t="shared" si="2"/>
        <v>0</v>
      </c>
      <c r="J40" s="81">
        <f t="shared" si="3"/>
        <v>0</v>
      </c>
      <c r="K40" s="81">
        <f t="shared" si="4"/>
        <v>0</v>
      </c>
      <c r="L40" s="81">
        <f t="shared" si="17"/>
        <v>0</v>
      </c>
      <c r="M40" s="81">
        <f t="shared" si="14"/>
        <v>0</v>
      </c>
      <c r="N40" s="81">
        <f t="shared" si="5"/>
        <v>0</v>
      </c>
      <c r="O40" s="81">
        <f t="shared" si="6"/>
        <v>0</v>
      </c>
      <c r="P40" s="92">
        <f t="shared" si="15"/>
        <v>0</v>
      </c>
      <c r="Q40" s="93">
        <f t="shared" si="16"/>
        <v>0</v>
      </c>
      <c r="R40" s="94">
        <f t="shared" si="0"/>
        <v>0</v>
      </c>
      <c r="S40" s="88"/>
    </row>
    <row r="41" spans="1:19" hidden="1" x14ac:dyDescent="0.25">
      <c r="A41" s="79">
        <v>31</v>
      </c>
      <c r="B41" s="80">
        <f t="shared" si="18"/>
        <v>45017</v>
      </c>
      <c r="C41" s="81">
        <f t="shared" si="9"/>
        <v>0</v>
      </c>
      <c r="D41" s="81">
        <f t="shared" si="1"/>
        <v>0</v>
      </c>
      <c r="E41" s="81">
        <f t="shared" si="10"/>
        <v>0</v>
      </c>
      <c r="F41" s="59">
        <f t="shared" si="11"/>
        <v>0</v>
      </c>
      <c r="G41" s="89">
        <f t="shared" si="12"/>
        <v>0</v>
      </c>
      <c r="H41" s="90">
        <f t="shared" si="13"/>
        <v>490416</v>
      </c>
      <c r="I41" s="91">
        <f t="shared" si="2"/>
        <v>0</v>
      </c>
      <c r="J41" s="81">
        <f t="shared" si="3"/>
        <v>0</v>
      </c>
      <c r="K41" s="81">
        <f t="shared" si="4"/>
        <v>0</v>
      </c>
      <c r="L41" s="81">
        <f t="shared" si="17"/>
        <v>0</v>
      </c>
      <c r="M41" s="81">
        <f t="shared" si="14"/>
        <v>0</v>
      </c>
      <c r="N41" s="81">
        <f t="shared" si="5"/>
        <v>0</v>
      </c>
      <c r="O41" s="81">
        <f t="shared" si="6"/>
        <v>0</v>
      </c>
      <c r="P41" s="92">
        <f t="shared" si="15"/>
        <v>0</v>
      </c>
      <c r="Q41" s="93">
        <f t="shared" si="16"/>
        <v>0</v>
      </c>
      <c r="R41" s="94">
        <f t="shared" si="0"/>
        <v>0</v>
      </c>
      <c r="S41" s="88"/>
    </row>
    <row r="42" spans="1:19" hidden="1" x14ac:dyDescent="0.25">
      <c r="A42" s="79">
        <v>32</v>
      </c>
      <c r="B42" s="80">
        <f t="shared" si="18"/>
        <v>45047</v>
      </c>
      <c r="C42" s="81">
        <f t="shared" si="9"/>
        <v>0</v>
      </c>
      <c r="D42" s="81">
        <f t="shared" si="1"/>
        <v>0</v>
      </c>
      <c r="E42" s="81">
        <f t="shared" si="10"/>
        <v>0</v>
      </c>
      <c r="F42" s="59">
        <f t="shared" si="11"/>
        <v>0</v>
      </c>
      <c r="G42" s="89">
        <f t="shared" si="12"/>
        <v>0</v>
      </c>
      <c r="H42" s="90">
        <f t="shared" si="13"/>
        <v>490416</v>
      </c>
      <c r="I42" s="91">
        <f t="shared" si="2"/>
        <v>0</v>
      </c>
      <c r="J42" s="81">
        <f t="shared" si="3"/>
        <v>0</v>
      </c>
      <c r="K42" s="81">
        <f t="shared" si="4"/>
        <v>0</v>
      </c>
      <c r="L42" s="81">
        <f t="shared" si="17"/>
        <v>0</v>
      </c>
      <c r="M42" s="81">
        <f t="shared" si="14"/>
        <v>0</v>
      </c>
      <c r="N42" s="81">
        <f t="shared" si="5"/>
        <v>0</v>
      </c>
      <c r="O42" s="81">
        <f t="shared" si="6"/>
        <v>0</v>
      </c>
      <c r="P42" s="92">
        <f t="shared" si="15"/>
        <v>0</v>
      </c>
      <c r="Q42" s="93">
        <f t="shared" si="16"/>
        <v>0</v>
      </c>
      <c r="R42" s="94">
        <f t="shared" si="0"/>
        <v>0</v>
      </c>
      <c r="S42" s="88"/>
    </row>
    <row r="43" spans="1:19" hidden="1" x14ac:dyDescent="0.25">
      <c r="A43" s="79">
        <v>33</v>
      </c>
      <c r="B43" s="80">
        <f t="shared" si="18"/>
        <v>45078</v>
      </c>
      <c r="C43" s="81">
        <f t="shared" si="9"/>
        <v>0</v>
      </c>
      <c r="D43" s="81">
        <f t="shared" si="1"/>
        <v>0</v>
      </c>
      <c r="E43" s="81">
        <f t="shared" si="10"/>
        <v>0</v>
      </c>
      <c r="F43" s="59">
        <f t="shared" si="11"/>
        <v>0</v>
      </c>
      <c r="G43" s="89">
        <f t="shared" si="12"/>
        <v>0</v>
      </c>
      <c r="H43" s="90">
        <f t="shared" si="13"/>
        <v>490416</v>
      </c>
      <c r="I43" s="91">
        <f t="shared" si="2"/>
        <v>0</v>
      </c>
      <c r="J43" s="81">
        <f t="shared" si="3"/>
        <v>0</v>
      </c>
      <c r="K43" s="81">
        <f t="shared" si="4"/>
        <v>0</v>
      </c>
      <c r="L43" s="81">
        <f t="shared" si="17"/>
        <v>0</v>
      </c>
      <c r="M43" s="81">
        <f t="shared" si="14"/>
        <v>0</v>
      </c>
      <c r="N43" s="81">
        <f t="shared" si="5"/>
        <v>0</v>
      </c>
      <c r="O43" s="81">
        <f t="shared" si="6"/>
        <v>0</v>
      </c>
      <c r="P43" s="92">
        <f t="shared" si="15"/>
        <v>0</v>
      </c>
      <c r="Q43" s="93">
        <f t="shared" si="16"/>
        <v>0</v>
      </c>
      <c r="R43" s="94">
        <f t="shared" si="0"/>
        <v>0</v>
      </c>
      <c r="S43" s="88"/>
    </row>
    <row r="44" spans="1:19" hidden="1" x14ac:dyDescent="0.25">
      <c r="A44" s="79">
        <v>34</v>
      </c>
      <c r="B44" s="80">
        <f t="shared" si="18"/>
        <v>45108</v>
      </c>
      <c r="C44" s="81">
        <f t="shared" si="9"/>
        <v>0</v>
      </c>
      <c r="D44" s="81">
        <f t="shared" si="1"/>
        <v>0</v>
      </c>
      <c r="E44" s="81">
        <f t="shared" si="10"/>
        <v>0</v>
      </c>
      <c r="F44" s="59">
        <f t="shared" si="11"/>
        <v>0</v>
      </c>
      <c r="G44" s="89">
        <f t="shared" si="12"/>
        <v>0</v>
      </c>
      <c r="H44" s="90">
        <f t="shared" si="13"/>
        <v>490416</v>
      </c>
      <c r="I44" s="91">
        <f t="shared" si="2"/>
        <v>0</v>
      </c>
      <c r="J44" s="81">
        <f t="shared" si="3"/>
        <v>0</v>
      </c>
      <c r="K44" s="81">
        <f t="shared" si="4"/>
        <v>0</v>
      </c>
      <c r="L44" s="81">
        <f t="shared" si="17"/>
        <v>0</v>
      </c>
      <c r="M44" s="81">
        <f t="shared" si="14"/>
        <v>0</v>
      </c>
      <c r="N44" s="81">
        <f t="shared" si="5"/>
        <v>0</v>
      </c>
      <c r="O44" s="81">
        <f t="shared" si="6"/>
        <v>0</v>
      </c>
      <c r="P44" s="92">
        <f t="shared" si="15"/>
        <v>0</v>
      </c>
      <c r="Q44" s="93">
        <f t="shared" si="16"/>
        <v>0</v>
      </c>
      <c r="R44" s="94">
        <f t="shared" si="0"/>
        <v>0</v>
      </c>
      <c r="S44" s="88"/>
    </row>
    <row r="45" spans="1:19" hidden="1" x14ac:dyDescent="0.25">
      <c r="A45" s="79">
        <v>35</v>
      </c>
      <c r="B45" s="80">
        <f t="shared" si="18"/>
        <v>45139</v>
      </c>
      <c r="C45" s="81">
        <f t="shared" si="9"/>
        <v>0</v>
      </c>
      <c r="D45" s="81">
        <f t="shared" si="1"/>
        <v>0</v>
      </c>
      <c r="E45" s="81">
        <f t="shared" si="10"/>
        <v>0</v>
      </c>
      <c r="F45" s="59">
        <f t="shared" si="11"/>
        <v>0</v>
      </c>
      <c r="G45" s="89">
        <f t="shared" si="12"/>
        <v>0</v>
      </c>
      <c r="H45" s="90">
        <f t="shared" si="13"/>
        <v>490416</v>
      </c>
      <c r="I45" s="91">
        <f t="shared" si="2"/>
        <v>0</v>
      </c>
      <c r="J45" s="81">
        <f t="shared" si="3"/>
        <v>0</v>
      </c>
      <c r="K45" s="81">
        <f t="shared" si="4"/>
        <v>0</v>
      </c>
      <c r="L45" s="81">
        <f t="shared" si="17"/>
        <v>0</v>
      </c>
      <c r="M45" s="81">
        <f t="shared" si="14"/>
        <v>0</v>
      </c>
      <c r="N45" s="81">
        <f t="shared" si="5"/>
        <v>0</v>
      </c>
      <c r="O45" s="81">
        <f t="shared" si="6"/>
        <v>0</v>
      </c>
      <c r="P45" s="92">
        <f t="shared" si="15"/>
        <v>0</v>
      </c>
      <c r="Q45" s="93">
        <f t="shared" si="16"/>
        <v>0</v>
      </c>
      <c r="R45" s="94">
        <f t="shared" si="0"/>
        <v>0</v>
      </c>
      <c r="S45" s="88"/>
    </row>
    <row r="46" spans="1:19" hidden="1" x14ac:dyDescent="0.25">
      <c r="A46" s="79">
        <v>36</v>
      </c>
      <c r="B46" s="80">
        <f t="shared" si="18"/>
        <v>45170</v>
      </c>
      <c r="C46" s="81">
        <f t="shared" si="9"/>
        <v>0</v>
      </c>
      <c r="D46" s="81">
        <f t="shared" si="1"/>
        <v>0</v>
      </c>
      <c r="E46" s="81">
        <f t="shared" si="10"/>
        <v>0</v>
      </c>
      <c r="F46" s="59">
        <f t="shared" si="11"/>
        <v>0</v>
      </c>
      <c r="G46" s="89">
        <f t="shared" si="12"/>
        <v>0</v>
      </c>
      <c r="H46" s="90">
        <f t="shared" si="13"/>
        <v>490416</v>
      </c>
      <c r="I46" s="91">
        <f t="shared" si="2"/>
        <v>0</v>
      </c>
      <c r="J46" s="81">
        <f t="shared" si="3"/>
        <v>0</v>
      </c>
      <c r="K46" s="81">
        <f t="shared" si="4"/>
        <v>0</v>
      </c>
      <c r="L46" s="81">
        <f t="shared" si="17"/>
        <v>0</v>
      </c>
      <c r="M46" s="81">
        <f t="shared" si="14"/>
        <v>0</v>
      </c>
      <c r="N46" s="81">
        <f t="shared" si="5"/>
        <v>0</v>
      </c>
      <c r="O46" s="81">
        <f t="shared" si="6"/>
        <v>0</v>
      </c>
      <c r="P46" s="92">
        <f t="shared" si="15"/>
        <v>0</v>
      </c>
      <c r="Q46" s="93">
        <f t="shared" si="16"/>
        <v>0</v>
      </c>
      <c r="R46" s="94">
        <f t="shared" si="0"/>
        <v>0</v>
      </c>
      <c r="S46" s="88"/>
    </row>
    <row r="47" spans="1:19" hidden="1" x14ac:dyDescent="0.25">
      <c r="A47" s="79">
        <v>37</v>
      </c>
      <c r="B47" s="80">
        <f t="shared" si="18"/>
        <v>45200</v>
      </c>
      <c r="C47" s="81">
        <f t="shared" si="9"/>
        <v>0</v>
      </c>
      <c r="D47" s="81">
        <f t="shared" si="1"/>
        <v>0</v>
      </c>
      <c r="E47" s="81">
        <f t="shared" si="10"/>
        <v>0</v>
      </c>
      <c r="F47" s="59">
        <f t="shared" si="11"/>
        <v>0</v>
      </c>
      <c r="G47" s="89">
        <f t="shared" si="12"/>
        <v>0</v>
      </c>
      <c r="H47" s="90">
        <f t="shared" si="13"/>
        <v>490416</v>
      </c>
      <c r="I47" s="91">
        <f t="shared" si="2"/>
        <v>0</v>
      </c>
      <c r="J47" s="81">
        <f t="shared" si="3"/>
        <v>0</v>
      </c>
      <c r="K47" s="81">
        <f t="shared" si="4"/>
        <v>0</v>
      </c>
      <c r="L47" s="81">
        <f t="shared" si="17"/>
        <v>0</v>
      </c>
      <c r="M47" s="81">
        <f t="shared" si="14"/>
        <v>0</v>
      </c>
      <c r="N47" s="81">
        <f t="shared" si="5"/>
        <v>0</v>
      </c>
      <c r="O47" s="81">
        <f t="shared" si="6"/>
        <v>0</v>
      </c>
      <c r="P47" s="92">
        <f t="shared" si="15"/>
        <v>0</v>
      </c>
      <c r="Q47" s="93">
        <f t="shared" si="16"/>
        <v>0</v>
      </c>
      <c r="R47" s="94">
        <f t="shared" si="0"/>
        <v>0</v>
      </c>
      <c r="S47" s="88"/>
    </row>
    <row r="48" spans="1:19" hidden="1" x14ac:dyDescent="0.25">
      <c r="A48" s="79">
        <v>38</v>
      </c>
      <c r="B48" s="80">
        <f t="shared" si="18"/>
        <v>45231</v>
      </c>
      <c r="C48" s="81">
        <f t="shared" si="9"/>
        <v>0</v>
      </c>
      <c r="D48" s="81">
        <f t="shared" si="1"/>
        <v>0</v>
      </c>
      <c r="E48" s="81">
        <f t="shared" si="10"/>
        <v>0</v>
      </c>
      <c r="F48" s="59">
        <f t="shared" si="11"/>
        <v>0</v>
      </c>
      <c r="G48" s="89">
        <f t="shared" si="12"/>
        <v>0</v>
      </c>
      <c r="H48" s="90">
        <f t="shared" si="13"/>
        <v>490416</v>
      </c>
      <c r="I48" s="91">
        <f t="shared" si="2"/>
        <v>0</v>
      </c>
      <c r="J48" s="81">
        <f t="shared" si="3"/>
        <v>0</v>
      </c>
      <c r="K48" s="81">
        <f t="shared" si="4"/>
        <v>0</v>
      </c>
      <c r="L48" s="81">
        <f t="shared" si="17"/>
        <v>0</v>
      </c>
      <c r="M48" s="81">
        <f t="shared" si="14"/>
        <v>0</v>
      </c>
      <c r="N48" s="81">
        <f t="shared" si="5"/>
        <v>0</v>
      </c>
      <c r="O48" s="81">
        <f t="shared" si="6"/>
        <v>0</v>
      </c>
      <c r="P48" s="92">
        <f t="shared" si="15"/>
        <v>0</v>
      </c>
      <c r="Q48" s="93">
        <f t="shared" si="16"/>
        <v>0</v>
      </c>
      <c r="R48" s="94">
        <f t="shared" si="0"/>
        <v>0</v>
      </c>
      <c r="S48" s="88"/>
    </row>
    <row r="49" spans="1:19" hidden="1" x14ac:dyDescent="0.25">
      <c r="A49" s="79">
        <v>39</v>
      </c>
      <c r="B49" s="80">
        <f t="shared" si="18"/>
        <v>45261</v>
      </c>
      <c r="C49" s="81">
        <f t="shared" si="9"/>
        <v>0</v>
      </c>
      <c r="D49" s="81">
        <f t="shared" si="1"/>
        <v>0</v>
      </c>
      <c r="E49" s="81">
        <f t="shared" si="10"/>
        <v>0</v>
      </c>
      <c r="F49" s="59">
        <f t="shared" si="11"/>
        <v>0</v>
      </c>
      <c r="G49" s="89">
        <f t="shared" si="12"/>
        <v>0</v>
      </c>
      <c r="H49" s="90">
        <f t="shared" si="13"/>
        <v>490416</v>
      </c>
      <c r="I49" s="91">
        <f t="shared" si="2"/>
        <v>0</v>
      </c>
      <c r="J49" s="81">
        <f t="shared" si="3"/>
        <v>0</v>
      </c>
      <c r="K49" s="81">
        <f t="shared" si="4"/>
        <v>0</v>
      </c>
      <c r="L49" s="81">
        <f t="shared" si="17"/>
        <v>0</v>
      </c>
      <c r="M49" s="81">
        <f t="shared" si="14"/>
        <v>0</v>
      </c>
      <c r="N49" s="81">
        <f t="shared" si="5"/>
        <v>0</v>
      </c>
      <c r="O49" s="81">
        <f t="shared" si="6"/>
        <v>0</v>
      </c>
      <c r="P49" s="92">
        <f t="shared" si="15"/>
        <v>0</v>
      </c>
      <c r="Q49" s="93">
        <f t="shared" si="16"/>
        <v>0</v>
      </c>
      <c r="R49" s="94">
        <f t="shared" si="0"/>
        <v>0</v>
      </c>
      <c r="S49" s="88"/>
    </row>
    <row r="50" spans="1:19" hidden="1" x14ac:dyDescent="0.25">
      <c r="A50" s="79">
        <v>40</v>
      </c>
      <c r="B50" s="80">
        <f t="shared" si="18"/>
        <v>45292</v>
      </c>
      <c r="C50" s="81">
        <f t="shared" si="9"/>
        <v>0</v>
      </c>
      <c r="D50" s="81">
        <f t="shared" si="1"/>
        <v>0</v>
      </c>
      <c r="E50" s="81">
        <f t="shared" si="10"/>
        <v>0</v>
      </c>
      <c r="F50" s="59">
        <f t="shared" si="11"/>
        <v>0</v>
      </c>
      <c r="G50" s="89">
        <f t="shared" si="12"/>
        <v>0</v>
      </c>
      <c r="H50" s="90">
        <f t="shared" si="13"/>
        <v>490416</v>
      </c>
      <c r="I50" s="91">
        <f t="shared" si="2"/>
        <v>0</v>
      </c>
      <c r="J50" s="81">
        <f t="shared" si="3"/>
        <v>0</v>
      </c>
      <c r="K50" s="81">
        <f t="shared" si="4"/>
        <v>0</v>
      </c>
      <c r="L50" s="81">
        <f t="shared" si="17"/>
        <v>0</v>
      </c>
      <c r="M50" s="81">
        <f t="shared" si="14"/>
        <v>0</v>
      </c>
      <c r="N50" s="81">
        <f t="shared" si="5"/>
        <v>0</v>
      </c>
      <c r="O50" s="81">
        <f t="shared" si="6"/>
        <v>0</v>
      </c>
      <c r="P50" s="92">
        <f t="shared" si="15"/>
        <v>0</v>
      </c>
      <c r="Q50" s="93">
        <f t="shared" si="16"/>
        <v>0</v>
      </c>
      <c r="R50" s="94">
        <f t="shared" si="0"/>
        <v>0</v>
      </c>
      <c r="S50" s="88"/>
    </row>
    <row r="51" spans="1:19" hidden="1" x14ac:dyDescent="0.25">
      <c r="A51" s="79">
        <v>41</v>
      </c>
      <c r="B51" s="80">
        <f t="shared" si="18"/>
        <v>45323</v>
      </c>
      <c r="C51" s="81">
        <f t="shared" si="9"/>
        <v>0</v>
      </c>
      <c r="D51" s="81">
        <f t="shared" si="1"/>
        <v>0</v>
      </c>
      <c r="E51" s="81">
        <f t="shared" si="10"/>
        <v>0</v>
      </c>
      <c r="F51" s="59">
        <f t="shared" si="11"/>
        <v>0</v>
      </c>
      <c r="G51" s="89">
        <f t="shared" si="12"/>
        <v>0</v>
      </c>
      <c r="H51" s="90">
        <f t="shared" si="13"/>
        <v>490416</v>
      </c>
      <c r="I51" s="91">
        <f t="shared" si="2"/>
        <v>0</v>
      </c>
      <c r="J51" s="81">
        <f t="shared" si="3"/>
        <v>0</v>
      </c>
      <c r="K51" s="81">
        <f t="shared" si="4"/>
        <v>0</v>
      </c>
      <c r="L51" s="81">
        <f t="shared" si="17"/>
        <v>0</v>
      </c>
      <c r="M51" s="81">
        <f t="shared" si="14"/>
        <v>0</v>
      </c>
      <c r="N51" s="81">
        <f t="shared" si="5"/>
        <v>0</v>
      </c>
      <c r="O51" s="81">
        <f t="shared" si="6"/>
        <v>0</v>
      </c>
      <c r="P51" s="92">
        <f t="shared" si="15"/>
        <v>0</v>
      </c>
      <c r="Q51" s="93">
        <f t="shared" si="16"/>
        <v>0</v>
      </c>
      <c r="R51" s="94">
        <f t="shared" si="0"/>
        <v>0</v>
      </c>
      <c r="S51" s="88"/>
    </row>
    <row r="52" spans="1:19" hidden="1" x14ac:dyDescent="0.25">
      <c r="A52" s="79">
        <v>42</v>
      </c>
      <c r="B52" s="80">
        <f t="shared" si="18"/>
        <v>45352</v>
      </c>
      <c r="C52" s="81">
        <f t="shared" si="9"/>
        <v>0</v>
      </c>
      <c r="D52" s="81">
        <f t="shared" si="1"/>
        <v>0</v>
      </c>
      <c r="E52" s="81">
        <f t="shared" si="10"/>
        <v>0</v>
      </c>
      <c r="F52" s="59">
        <f t="shared" si="11"/>
        <v>0</v>
      </c>
      <c r="G52" s="89">
        <f t="shared" si="12"/>
        <v>0</v>
      </c>
      <c r="H52" s="90">
        <f t="shared" si="13"/>
        <v>490416</v>
      </c>
      <c r="I52" s="91">
        <f t="shared" si="2"/>
        <v>0</v>
      </c>
      <c r="J52" s="81">
        <f t="shared" si="3"/>
        <v>0</v>
      </c>
      <c r="K52" s="81">
        <f t="shared" si="4"/>
        <v>0</v>
      </c>
      <c r="L52" s="81">
        <f t="shared" si="17"/>
        <v>0</v>
      </c>
      <c r="M52" s="81">
        <f t="shared" si="14"/>
        <v>0</v>
      </c>
      <c r="N52" s="81">
        <f t="shared" si="5"/>
        <v>0</v>
      </c>
      <c r="O52" s="81">
        <f t="shared" si="6"/>
        <v>0</v>
      </c>
      <c r="P52" s="92">
        <f t="shared" si="15"/>
        <v>0</v>
      </c>
      <c r="Q52" s="93">
        <f t="shared" si="16"/>
        <v>0</v>
      </c>
      <c r="R52" s="94">
        <f t="shared" si="0"/>
        <v>0</v>
      </c>
      <c r="S52" s="88"/>
    </row>
    <row r="53" spans="1:19" hidden="1" x14ac:dyDescent="0.25">
      <c r="A53" s="79">
        <v>43</v>
      </c>
      <c r="B53" s="80">
        <f t="shared" si="18"/>
        <v>45383</v>
      </c>
      <c r="C53" s="81">
        <f t="shared" si="9"/>
        <v>0</v>
      </c>
      <c r="D53" s="81">
        <f t="shared" si="1"/>
        <v>0</v>
      </c>
      <c r="E53" s="81">
        <f t="shared" si="10"/>
        <v>0</v>
      </c>
      <c r="F53" s="59">
        <f t="shared" si="11"/>
        <v>0</v>
      </c>
      <c r="G53" s="89">
        <f t="shared" si="12"/>
        <v>0</v>
      </c>
      <c r="H53" s="90">
        <f t="shared" si="13"/>
        <v>490416</v>
      </c>
      <c r="I53" s="91">
        <f t="shared" si="2"/>
        <v>0</v>
      </c>
      <c r="J53" s="81">
        <f t="shared" si="3"/>
        <v>0</v>
      </c>
      <c r="K53" s="81">
        <f t="shared" si="4"/>
        <v>0</v>
      </c>
      <c r="L53" s="81">
        <f t="shared" si="17"/>
        <v>0</v>
      </c>
      <c r="M53" s="81">
        <f t="shared" si="14"/>
        <v>0</v>
      </c>
      <c r="N53" s="81">
        <f t="shared" si="5"/>
        <v>0</v>
      </c>
      <c r="O53" s="81">
        <f t="shared" si="6"/>
        <v>0</v>
      </c>
      <c r="P53" s="92">
        <f t="shared" si="15"/>
        <v>0</v>
      </c>
      <c r="Q53" s="93">
        <f t="shared" si="16"/>
        <v>0</v>
      </c>
      <c r="R53" s="94">
        <f t="shared" si="0"/>
        <v>0</v>
      </c>
      <c r="S53" s="88"/>
    </row>
    <row r="54" spans="1:19" hidden="1" x14ac:dyDescent="0.25">
      <c r="A54" s="79">
        <v>44</v>
      </c>
      <c r="B54" s="80">
        <f t="shared" si="18"/>
        <v>45413</v>
      </c>
      <c r="C54" s="81">
        <f t="shared" si="9"/>
        <v>0</v>
      </c>
      <c r="D54" s="81">
        <f t="shared" si="1"/>
        <v>0</v>
      </c>
      <c r="E54" s="81">
        <f t="shared" si="10"/>
        <v>0</v>
      </c>
      <c r="F54" s="59">
        <f t="shared" si="11"/>
        <v>0</v>
      </c>
      <c r="G54" s="89">
        <f t="shared" si="12"/>
        <v>0</v>
      </c>
      <c r="H54" s="90">
        <f t="shared" si="13"/>
        <v>490416</v>
      </c>
      <c r="I54" s="91">
        <f t="shared" si="2"/>
        <v>0</v>
      </c>
      <c r="J54" s="81">
        <f t="shared" si="3"/>
        <v>0</v>
      </c>
      <c r="K54" s="81">
        <f t="shared" si="4"/>
        <v>0</v>
      </c>
      <c r="L54" s="81">
        <f t="shared" si="17"/>
        <v>0</v>
      </c>
      <c r="M54" s="81">
        <f t="shared" si="14"/>
        <v>0</v>
      </c>
      <c r="N54" s="81">
        <f t="shared" si="5"/>
        <v>0</v>
      </c>
      <c r="O54" s="81">
        <f t="shared" si="6"/>
        <v>0</v>
      </c>
      <c r="P54" s="92">
        <f t="shared" si="15"/>
        <v>0</v>
      </c>
      <c r="Q54" s="93">
        <f t="shared" si="16"/>
        <v>0</v>
      </c>
      <c r="R54" s="94">
        <f t="shared" si="0"/>
        <v>0</v>
      </c>
      <c r="S54" s="88"/>
    </row>
    <row r="55" spans="1:19" hidden="1" x14ac:dyDescent="0.25">
      <c r="A55" s="79">
        <v>45</v>
      </c>
      <c r="B55" s="80">
        <f t="shared" si="18"/>
        <v>45444</v>
      </c>
      <c r="C55" s="81">
        <f t="shared" si="9"/>
        <v>0</v>
      </c>
      <c r="D55" s="81">
        <f t="shared" si="1"/>
        <v>0</v>
      </c>
      <c r="E55" s="81">
        <f t="shared" si="10"/>
        <v>0</v>
      </c>
      <c r="F55" s="59">
        <f t="shared" si="11"/>
        <v>0</v>
      </c>
      <c r="G55" s="89">
        <f t="shared" si="12"/>
        <v>0</v>
      </c>
      <c r="H55" s="90">
        <f t="shared" si="13"/>
        <v>490416</v>
      </c>
      <c r="I55" s="91">
        <f t="shared" si="2"/>
        <v>0</v>
      </c>
      <c r="J55" s="81">
        <f t="shared" si="3"/>
        <v>0</v>
      </c>
      <c r="K55" s="81">
        <f t="shared" si="4"/>
        <v>0</v>
      </c>
      <c r="L55" s="81">
        <f t="shared" si="17"/>
        <v>0</v>
      </c>
      <c r="M55" s="81">
        <f t="shared" si="14"/>
        <v>0</v>
      </c>
      <c r="N55" s="81">
        <f t="shared" si="5"/>
        <v>0</v>
      </c>
      <c r="O55" s="81">
        <f t="shared" si="6"/>
        <v>0</v>
      </c>
      <c r="P55" s="92">
        <f t="shared" si="15"/>
        <v>0</v>
      </c>
      <c r="Q55" s="93">
        <f t="shared" si="16"/>
        <v>0</v>
      </c>
      <c r="R55" s="94">
        <f t="shared" si="0"/>
        <v>0</v>
      </c>
      <c r="S55" s="88"/>
    </row>
    <row r="56" spans="1:19" hidden="1" x14ac:dyDescent="0.25">
      <c r="A56" s="79">
        <v>46</v>
      </c>
      <c r="B56" s="80">
        <f t="shared" si="18"/>
        <v>45474</v>
      </c>
      <c r="C56" s="81">
        <f t="shared" si="9"/>
        <v>0</v>
      </c>
      <c r="D56" s="81">
        <f t="shared" si="1"/>
        <v>0</v>
      </c>
      <c r="E56" s="81">
        <f t="shared" si="10"/>
        <v>0</v>
      </c>
      <c r="F56" s="59">
        <f t="shared" si="11"/>
        <v>0</v>
      </c>
      <c r="G56" s="89">
        <f t="shared" si="12"/>
        <v>0</v>
      </c>
      <c r="H56" s="90">
        <f t="shared" si="13"/>
        <v>490416</v>
      </c>
      <c r="I56" s="91">
        <f t="shared" si="2"/>
        <v>0</v>
      </c>
      <c r="J56" s="81">
        <f t="shared" si="3"/>
        <v>0</v>
      </c>
      <c r="K56" s="81">
        <f t="shared" si="4"/>
        <v>0</v>
      </c>
      <c r="L56" s="81">
        <f t="shared" si="17"/>
        <v>0</v>
      </c>
      <c r="M56" s="81">
        <f t="shared" si="14"/>
        <v>0</v>
      </c>
      <c r="N56" s="81">
        <f t="shared" si="5"/>
        <v>0</v>
      </c>
      <c r="O56" s="81">
        <f t="shared" si="6"/>
        <v>0</v>
      </c>
      <c r="P56" s="92">
        <f t="shared" si="15"/>
        <v>0</v>
      </c>
      <c r="Q56" s="93">
        <f t="shared" si="16"/>
        <v>0</v>
      </c>
      <c r="R56" s="94">
        <f t="shared" si="0"/>
        <v>0</v>
      </c>
      <c r="S56" s="88"/>
    </row>
    <row r="57" spans="1:19" hidden="1" x14ac:dyDescent="0.25">
      <c r="A57" s="79">
        <v>47</v>
      </c>
      <c r="B57" s="80">
        <f t="shared" si="18"/>
        <v>45505</v>
      </c>
      <c r="C57" s="81">
        <f t="shared" si="9"/>
        <v>0</v>
      </c>
      <c r="D57" s="81">
        <f t="shared" si="1"/>
        <v>0</v>
      </c>
      <c r="E57" s="81">
        <f t="shared" si="10"/>
        <v>0</v>
      </c>
      <c r="F57" s="59">
        <f t="shared" si="11"/>
        <v>0</v>
      </c>
      <c r="G57" s="89">
        <f t="shared" si="12"/>
        <v>0</v>
      </c>
      <c r="H57" s="90">
        <f t="shared" si="13"/>
        <v>490416</v>
      </c>
      <c r="I57" s="91">
        <f t="shared" si="2"/>
        <v>0</v>
      </c>
      <c r="J57" s="81">
        <f t="shared" si="3"/>
        <v>0</v>
      </c>
      <c r="K57" s="81">
        <f t="shared" si="4"/>
        <v>0</v>
      </c>
      <c r="L57" s="81">
        <f t="shared" si="17"/>
        <v>0</v>
      </c>
      <c r="M57" s="81">
        <f t="shared" si="14"/>
        <v>0</v>
      </c>
      <c r="N57" s="81">
        <f t="shared" si="5"/>
        <v>0</v>
      </c>
      <c r="O57" s="81">
        <f t="shared" si="6"/>
        <v>0</v>
      </c>
      <c r="P57" s="92">
        <f t="shared" si="15"/>
        <v>0</v>
      </c>
      <c r="Q57" s="93">
        <f t="shared" si="16"/>
        <v>0</v>
      </c>
      <c r="R57" s="94">
        <f t="shared" si="0"/>
        <v>0</v>
      </c>
      <c r="S57" s="88"/>
    </row>
    <row r="58" spans="1:19" hidden="1" x14ac:dyDescent="0.25">
      <c r="A58" s="79">
        <v>48</v>
      </c>
      <c r="B58" s="80">
        <f t="shared" si="18"/>
        <v>45536</v>
      </c>
      <c r="C58" s="81">
        <f t="shared" si="9"/>
        <v>0</v>
      </c>
      <c r="D58" s="81">
        <f t="shared" si="1"/>
        <v>0</v>
      </c>
      <c r="E58" s="81">
        <f t="shared" si="10"/>
        <v>0</v>
      </c>
      <c r="F58" s="59">
        <f t="shared" si="11"/>
        <v>0</v>
      </c>
      <c r="G58" s="89">
        <f t="shared" si="12"/>
        <v>0</v>
      </c>
      <c r="H58" s="90">
        <f t="shared" si="13"/>
        <v>490416</v>
      </c>
      <c r="I58" s="91">
        <f t="shared" si="2"/>
        <v>0</v>
      </c>
      <c r="J58" s="81">
        <f t="shared" si="3"/>
        <v>0</v>
      </c>
      <c r="K58" s="81">
        <f t="shared" si="4"/>
        <v>0</v>
      </c>
      <c r="L58" s="81">
        <f t="shared" si="17"/>
        <v>0</v>
      </c>
      <c r="M58" s="81">
        <f t="shared" si="14"/>
        <v>0</v>
      </c>
      <c r="N58" s="81">
        <f t="shared" si="5"/>
        <v>0</v>
      </c>
      <c r="O58" s="81">
        <f t="shared" si="6"/>
        <v>0</v>
      </c>
      <c r="P58" s="92">
        <f t="shared" si="15"/>
        <v>0</v>
      </c>
      <c r="Q58" s="93">
        <f t="shared" si="16"/>
        <v>0</v>
      </c>
      <c r="R58" s="94">
        <f t="shared" si="0"/>
        <v>0</v>
      </c>
      <c r="S58" s="88"/>
    </row>
    <row r="59" spans="1:19" hidden="1" x14ac:dyDescent="0.25">
      <c r="A59" s="79">
        <v>49</v>
      </c>
      <c r="B59" s="80">
        <f t="shared" si="18"/>
        <v>45566</v>
      </c>
      <c r="C59" s="81">
        <f t="shared" si="9"/>
        <v>0</v>
      </c>
      <c r="D59" s="81">
        <f t="shared" si="1"/>
        <v>0</v>
      </c>
      <c r="E59" s="81">
        <f t="shared" si="10"/>
        <v>0</v>
      </c>
      <c r="F59" s="59">
        <f t="shared" si="11"/>
        <v>0</v>
      </c>
      <c r="G59" s="89">
        <f t="shared" si="12"/>
        <v>0</v>
      </c>
      <c r="H59" s="90">
        <f t="shared" si="13"/>
        <v>490416</v>
      </c>
      <c r="I59" s="91">
        <f t="shared" si="2"/>
        <v>0</v>
      </c>
      <c r="J59" s="81">
        <f t="shared" si="3"/>
        <v>0</v>
      </c>
      <c r="K59" s="81">
        <f t="shared" si="4"/>
        <v>0</v>
      </c>
      <c r="L59" s="81">
        <f t="shared" si="17"/>
        <v>0</v>
      </c>
      <c r="M59" s="81">
        <f t="shared" si="14"/>
        <v>0</v>
      </c>
      <c r="N59" s="81">
        <f t="shared" si="5"/>
        <v>0</v>
      </c>
      <c r="O59" s="81">
        <f t="shared" si="6"/>
        <v>0</v>
      </c>
      <c r="P59" s="92">
        <f t="shared" si="15"/>
        <v>0</v>
      </c>
      <c r="Q59" s="93">
        <f t="shared" si="16"/>
        <v>0</v>
      </c>
      <c r="R59" s="94">
        <f t="shared" si="0"/>
        <v>0</v>
      </c>
      <c r="S59" s="88"/>
    </row>
    <row r="60" spans="1:19" hidden="1" x14ac:dyDescent="0.25">
      <c r="A60" s="79">
        <v>50</v>
      </c>
      <c r="B60" s="80">
        <f t="shared" si="18"/>
        <v>45597</v>
      </c>
      <c r="C60" s="81">
        <f t="shared" si="9"/>
        <v>0</v>
      </c>
      <c r="D60" s="81">
        <f t="shared" si="1"/>
        <v>0</v>
      </c>
      <c r="E60" s="81">
        <f t="shared" si="10"/>
        <v>0</v>
      </c>
      <c r="F60" s="59">
        <f t="shared" si="11"/>
        <v>0</v>
      </c>
      <c r="G60" s="89">
        <f t="shared" si="12"/>
        <v>0</v>
      </c>
      <c r="H60" s="90">
        <f t="shared" si="13"/>
        <v>490416</v>
      </c>
      <c r="I60" s="91">
        <f t="shared" si="2"/>
        <v>0</v>
      </c>
      <c r="J60" s="81">
        <f t="shared" si="3"/>
        <v>0</v>
      </c>
      <c r="K60" s="81">
        <f t="shared" si="4"/>
        <v>0</v>
      </c>
      <c r="L60" s="81">
        <f t="shared" si="17"/>
        <v>0</v>
      </c>
      <c r="M60" s="81">
        <f t="shared" si="14"/>
        <v>0</v>
      </c>
      <c r="N60" s="81">
        <f t="shared" si="5"/>
        <v>0</v>
      </c>
      <c r="O60" s="81">
        <f t="shared" si="6"/>
        <v>0</v>
      </c>
      <c r="P60" s="92">
        <f t="shared" si="15"/>
        <v>0</v>
      </c>
      <c r="Q60" s="93">
        <f t="shared" si="16"/>
        <v>0</v>
      </c>
      <c r="R60" s="94">
        <f t="shared" si="0"/>
        <v>0</v>
      </c>
      <c r="S60" s="88"/>
    </row>
    <row r="61" spans="1:19" hidden="1" x14ac:dyDescent="0.25">
      <c r="A61" s="79">
        <v>51</v>
      </c>
      <c r="B61" s="80">
        <f t="shared" si="18"/>
        <v>45627</v>
      </c>
      <c r="C61" s="81">
        <f t="shared" si="9"/>
        <v>0</v>
      </c>
      <c r="D61" s="81">
        <f t="shared" si="1"/>
        <v>0</v>
      </c>
      <c r="E61" s="81">
        <f t="shared" si="10"/>
        <v>0</v>
      </c>
      <c r="F61" s="59">
        <f t="shared" si="11"/>
        <v>0</v>
      </c>
      <c r="G61" s="89">
        <f t="shared" si="12"/>
        <v>0</v>
      </c>
      <c r="H61" s="90">
        <f t="shared" si="13"/>
        <v>490416</v>
      </c>
      <c r="I61" s="91">
        <f t="shared" si="2"/>
        <v>0</v>
      </c>
      <c r="J61" s="81">
        <f t="shared" si="3"/>
        <v>0</v>
      </c>
      <c r="K61" s="81">
        <f t="shared" si="4"/>
        <v>0</v>
      </c>
      <c r="L61" s="81">
        <f t="shared" si="17"/>
        <v>0</v>
      </c>
      <c r="M61" s="81">
        <f t="shared" si="14"/>
        <v>0</v>
      </c>
      <c r="N61" s="81">
        <f t="shared" si="5"/>
        <v>0</v>
      </c>
      <c r="O61" s="81">
        <f t="shared" si="6"/>
        <v>0</v>
      </c>
      <c r="P61" s="92">
        <f t="shared" si="15"/>
        <v>0</v>
      </c>
      <c r="Q61" s="93">
        <f t="shared" si="16"/>
        <v>0</v>
      </c>
      <c r="R61" s="94">
        <f t="shared" si="0"/>
        <v>0</v>
      </c>
      <c r="S61" s="88"/>
    </row>
    <row r="62" spans="1:19" hidden="1" x14ac:dyDescent="0.25">
      <c r="A62" s="79">
        <v>52</v>
      </c>
      <c r="B62" s="80">
        <f t="shared" si="18"/>
        <v>45658</v>
      </c>
      <c r="C62" s="81">
        <f t="shared" si="9"/>
        <v>0</v>
      </c>
      <c r="D62" s="81">
        <f t="shared" si="1"/>
        <v>0</v>
      </c>
      <c r="E62" s="81">
        <f t="shared" si="10"/>
        <v>0</v>
      </c>
      <c r="F62" s="59">
        <f t="shared" si="11"/>
        <v>0</v>
      </c>
      <c r="G62" s="89">
        <f t="shared" si="12"/>
        <v>0</v>
      </c>
      <c r="H62" s="90">
        <f t="shared" si="13"/>
        <v>490416</v>
      </c>
      <c r="I62" s="91">
        <f t="shared" si="2"/>
        <v>0</v>
      </c>
      <c r="J62" s="81">
        <f t="shared" si="3"/>
        <v>0</v>
      </c>
      <c r="K62" s="81">
        <f t="shared" si="4"/>
        <v>0</v>
      </c>
      <c r="L62" s="81">
        <f t="shared" si="17"/>
        <v>0</v>
      </c>
      <c r="M62" s="81">
        <f t="shared" si="14"/>
        <v>0</v>
      </c>
      <c r="N62" s="81">
        <f t="shared" si="5"/>
        <v>0</v>
      </c>
      <c r="O62" s="81">
        <f t="shared" si="6"/>
        <v>0</v>
      </c>
      <c r="P62" s="92">
        <f t="shared" si="15"/>
        <v>0</v>
      </c>
      <c r="Q62" s="93">
        <f t="shared" si="16"/>
        <v>0</v>
      </c>
      <c r="R62" s="94">
        <f t="shared" si="0"/>
        <v>0</v>
      </c>
      <c r="S62" s="88"/>
    </row>
    <row r="63" spans="1:19" hidden="1" x14ac:dyDescent="0.25">
      <c r="A63" s="79">
        <v>53</v>
      </c>
      <c r="B63" s="80">
        <f t="shared" si="18"/>
        <v>45689</v>
      </c>
      <c r="C63" s="81">
        <f t="shared" si="9"/>
        <v>0</v>
      </c>
      <c r="D63" s="81">
        <f t="shared" si="1"/>
        <v>0</v>
      </c>
      <c r="E63" s="81">
        <f t="shared" si="10"/>
        <v>0</v>
      </c>
      <c r="F63" s="59">
        <f t="shared" si="11"/>
        <v>0</v>
      </c>
      <c r="G63" s="89">
        <f t="shared" si="12"/>
        <v>0</v>
      </c>
      <c r="H63" s="90">
        <f t="shared" si="13"/>
        <v>490416</v>
      </c>
      <c r="I63" s="91">
        <f t="shared" si="2"/>
        <v>0</v>
      </c>
      <c r="J63" s="81">
        <f t="shared" si="3"/>
        <v>0</v>
      </c>
      <c r="K63" s="81">
        <f t="shared" si="4"/>
        <v>0</v>
      </c>
      <c r="L63" s="81">
        <f t="shared" si="17"/>
        <v>0</v>
      </c>
      <c r="M63" s="81">
        <f t="shared" si="14"/>
        <v>0</v>
      </c>
      <c r="N63" s="81">
        <f t="shared" si="5"/>
        <v>0</v>
      </c>
      <c r="O63" s="81">
        <f t="shared" si="6"/>
        <v>0</v>
      </c>
      <c r="P63" s="92">
        <f t="shared" si="15"/>
        <v>0</v>
      </c>
      <c r="Q63" s="93">
        <f t="shared" si="16"/>
        <v>0</v>
      </c>
      <c r="R63" s="94">
        <f t="shared" si="0"/>
        <v>0</v>
      </c>
      <c r="S63" s="88"/>
    </row>
    <row r="64" spans="1:19" hidden="1" x14ac:dyDescent="0.25">
      <c r="A64" s="79">
        <v>54</v>
      </c>
      <c r="B64" s="80">
        <f t="shared" si="18"/>
        <v>45717</v>
      </c>
      <c r="C64" s="81">
        <f t="shared" si="9"/>
        <v>0</v>
      </c>
      <c r="D64" s="81">
        <f t="shared" si="1"/>
        <v>0</v>
      </c>
      <c r="E64" s="81">
        <f t="shared" si="10"/>
        <v>0</v>
      </c>
      <c r="F64" s="59">
        <f t="shared" si="11"/>
        <v>0</v>
      </c>
      <c r="G64" s="89">
        <f t="shared" si="12"/>
        <v>0</v>
      </c>
      <c r="H64" s="90">
        <f t="shared" si="13"/>
        <v>490416</v>
      </c>
      <c r="I64" s="91">
        <f t="shared" si="2"/>
        <v>0</v>
      </c>
      <c r="J64" s="81">
        <f t="shared" si="3"/>
        <v>0</v>
      </c>
      <c r="K64" s="81">
        <f t="shared" si="4"/>
        <v>0</v>
      </c>
      <c r="L64" s="81">
        <f t="shared" si="17"/>
        <v>0</v>
      </c>
      <c r="M64" s="81">
        <f t="shared" si="14"/>
        <v>0</v>
      </c>
      <c r="N64" s="81">
        <f t="shared" si="5"/>
        <v>0</v>
      </c>
      <c r="O64" s="81">
        <f t="shared" si="6"/>
        <v>0</v>
      </c>
      <c r="P64" s="92">
        <f t="shared" si="15"/>
        <v>0</v>
      </c>
      <c r="Q64" s="93">
        <f t="shared" si="16"/>
        <v>0</v>
      </c>
      <c r="R64" s="94">
        <f t="shared" si="0"/>
        <v>0</v>
      </c>
      <c r="S64" s="88"/>
    </row>
    <row r="65" spans="1:19" hidden="1" x14ac:dyDescent="0.25">
      <c r="A65" s="79">
        <v>55</v>
      </c>
      <c r="B65" s="80">
        <f t="shared" si="18"/>
        <v>45748</v>
      </c>
      <c r="C65" s="81">
        <f t="shared" si="9"/>
        <v>0</v>
      </c>
      <c r="D65" s="81">
        <f t="shared" si="1"/>
        <v>0</v>
      </c>
      <c r="E65" s="81">
        <f t="shared" si="10"/>
        <v>0</v>
      </c>
      <c r="F65" s="59">
        <f t="shared" si="11"/>
        <v>0</v>
      </c>
      <c r="G65" s="89">
        <f t="shared" si="12"/>
        <v>0</v>
      </c>
      <c r="H65" s="90">
        <f t="shared" si="13"/>
        <v>490416</v>
      </c>
      <c r="I65" s="91">
        <f t="shared" si="2"/>
        <v>0</v>
      </c>
      <c r="J65" s="81">
        <f t="shared" si="3"/>
        <v>0</v>
      </c>
      <c r="K65" s="81">
        <f t="shared" si="4"/>
        <v>0</v>
      </c>
      <c r="L65" s="81">
        <f t="shared" si="17"/>
        <v>0</v>
      </c>
      <c r="M65" s="81">
        <f t="shared" si="14"/>
        <v>0</v>
      </c>
      <c r="N65" s="81">
        <f t="shared" si="5"/>
        <v>0</v>
      </c>
      <c r="O65" s="81">
        <f t="shared" si="6"/>
        <v>0</v>
      </c>
      <c r="P65" s="92">
        <f t="shared" si="15"/>
        <v>0</v>
      </c>
      <c r="Q65" s="93">
        <f t="shared" si="16"/>
        <v>0</v>
      </c>
      <c r="R65" s="94">
        <f t="shared" si="0"/>
        <v>0</v>
      </c>
      <c r="S65" s="88"/>
    </row>
    <row r="66" spans="1:19" hidden="1" x14ac:dyDescent="0.25">
      <c r="A66" s="79">
        <v>56</v>
      </c>
      <c r="B66" s="80">
        <f t="shared" si="18"/>
        <v>45778</v>
      </c>
      <c r="C66" s="81">
        <f t="shared" si="9"/>
        <v>0</v>
      </c>
      <c r="D66" s="81">
        <f t="shared" si="1"/>
        <v>0</v>
      </c>
      <c r="E66" s="81">
        <f t="shared" si="10"/>
        <v>0</v>
      </c>
      <c r="F66" s="59">
        <f t="shared" si="11"/>
        <v>0</v>
      </c>
      <c r="G66" s="89">
        <f t="shared" si="12"/>
        <v>0</v>
      </c>
      <c r="H66" s="90">
        <f t="shared" si="13"/>
        <v>490416</v>
      </c>
      <c r="I66" s="91">
        <f t="shared" si="2"/>
        <v>0</v>
      </c>
      <c r="J66" s="81">
        <f t="shared" si="3"/>
        <v>0</v>
      </c>
      <c r="K66" s="81">
        <f t="shared" si="4"/>
        <v>0</v>
      </c>
      <c r="L66" s="81">
        <f t="shared" si="17"/>
        <v>0</v>
      </c>
      <c r="M66" s="81">
        <f t="shared" si="14"/>
        <v>0</v>
      </c>
      <c r="N66" s="81">
        <f t="shared" si="5"/>
        <v>0</v>
      </c>
      <c r="O66" s="81">
        <f t="shared" si="6"/>
        <v>0</v>
      </c>
      <c r="P66" s="92">
        <f t="shared" si="15"/>
        <v>0</v>
      </c>
      <c r="Q66" s="93">
        <f t="shared" si="16"/>
        <v>0</v>
      </c>
      <c r="R66" s="94">
        <f t="shared" si="0"/>
        <v>0</v>
      </c>
      <c r="S66" s="88"/>
    </row>
    <row r="67" spans="1:19" hidden="1" x14ac:dyDescent="0.25">
      <c r="A67" s="79">
        <v>57</v>
      </c>
      <c r="B67" s="80">
        <f t="shared" si="18"/>
        <v>45809</v>
      </c>
      <c r="C67" s="81">
        <f t="shared" si="9"/>
        <v>0</v>
      </c>
      <c r="D67" s="81">
        <f t="shared" si="1"/>
        <v>0</v>
      </c>
      <c r="E67" s="81">
        <f t="shared" si="10"/>
        <v>0</v>
      </c>
      <c r="F67" s="59">
        <f t="shared" si="11"/>
        <v>0</v>
      </c>
      <c r="G67" s="89">
        <f t="shared" si="12"/>
        <v>0</v>
      </c>
      <c r="H67" s="90">
        <f t="shared" si="13"/>
        <v>490416</v>
      </c>
      <c r="I67" s="91">
        <f t="shared" si="2"/>
        <v>0</v>
      </c>
      <c r="J67" s="81">
        <f t="shared" si="3"/>
        <v>0</v>
      </c>
      <c r="K67" s="81">
        <f t="shared" si="4"/>
        <v>0</v>
      </c>
      <c r="L67" s="81">
        <f t="shared" si="17"/>
        <v>0</v>
      </c>
      <c r="M67" s="81">
        <f t="shared" si="14"/>
        <v>0</v>
      </c>
      <c r="N67" s="81">
        <f t="shared" si="5"/>
        <v>0</v>
      </c>
      <c r="O67" s="81">
        <f t="shared" si="6"/>
        <v>0</v>
      </c>
      <c r="P67" s="92">
        <f t="shared" si="15"/>
        <v>0</v>
      </c>
      <c r="Q67" s="93">
        <f t="shared" si="16"/>
        <v>0</v>
      </c>
      <c r="R67" s="94">
        <f t="shared" si="0"/>
        <v>0</v>
      </c>
      <c r="S67" s="88"/>
    </row>
    <row r="68" spans="1:19" hidden="1" x14ac:dyDescent="0.25">
      <c r="A68" s="79">
        <v>58</v>
      </c>
      <c r="B68" s="80">
        <f t="shared" si="18"/>
        <v>45839</v>
      </c>
      <c r="C68" s="81">
        <f t="shared" si="9"/>
        <v>0</v>
      </c>
      <c r="D68" s="81">
        <f t="shared" si="1"/>
        <v>0</v>
      </c>
      <c r="E68" s="81">
        <f t="shared" si="10"/>
        <v>0</v>
      </c>
      <c r="F68" s="59">
        <f t="shared" si="11"/>
        <v>0</v>
      </c>
      <c r="G68" s="89">
        <f t="shared" si="12"/>
        <v>0</v>
      </c>
      <c r="H68" s="90">
        <f t="shared" si="13"/>
        <v>490416</v>
      </c>
      <c r="I68" s="91">
        <f t="shared" si="2"/>
        <v>0</v>
      </c>
      <c r="J68" s="81">
        <f t="shared" si="3"/>
        <v>0</v>
      </c>
      <c r="K68" s="81">
        <f t="shared" si="4"/>
        <v>0</v>
      </c>
      <c r="L68" s="81">
        <f t="shared" si="17"/>
        <v>0</v>
      </c>
      <c r="M68" s="81">
        <f t="shared" si="14"/>
        <v>0</v>
      </c>
      <c r="N68" s="81">
        <f t="shared" si="5"/>
        <v>0</v>
      </c>
      <c r="O68" s="81">
        <f t="shared" si="6"/>
        <v>0</v>
      </c>
      <c r="P68" s="92">
        <f t="shared" si="15"/>
        <v>0</v>
      </c>
      <c r="Q68" s="93">
        <f t="shared" si="16"/>
        <v>0</v>
      </c>
      <c r="R68" s="94">
        <f t="shared" si="0"/>
        <v>0</v>
      </c>
      <c r="S68" s="88"/>
    </row>
    <row r="69" spans="1:19" hidden="1" x14ac:dyDescent="0.25">
      <c r="A69" s="79">
        <v>59</v>
      </c>
      <c r="B69" s="80">
        <f t="shared" si="18"/>
        <v>45870</v>
      </c>
      <c r="C69" s="81">
        <f t="shared" si="9"/>
        <v>0</v>
      </c>
      <c r="D69" s="81">
        <f t="shared" si="1"/>
        <v>0</v>
      </c>
      <c r="E69" s="81">
        <f t="shared" si="10"/>
        <v>0</v>
      </c>
      <c r="F69" s="59">
        <f t="shared" si="11"/>
        <v>0</v>
      </c>
      <c r="G69" s="89">
        <f t="shared" si="12"/>
        <v>0</v>
      </c>
      <c r="H69" s="90">
        <f t="shared" si="13"/>
        <v>490416</v>
      </c>
      <c r="I69" s="91">
        <f t="shared" si="2"/>
        <v>0</v>
      </c>
      <c r="J69" s="81">
        <f t="shared" si="3"/>
        <v>0</v>
      </c>
      <c r="K69" s="81">
        <f t="shared" si="4"/>
        <v>0</v>
      </c>
      <c r="L69" s="81">
        <f t="shared" si="17"/>
        <v>0</v>
      </c>
      <c r="M69" s="81">
        <f t="shared" si="14"/>
        <v>0</v>
      </c>
      <c r="N69" s="81">
        <f t="shared" si="5"/>
        <v>0</v>
      </c>
      <c r="O69" s="81">
        <f t="shared" si="6"/>
        <v>0</v>
      </c>
      <c r="P69" s="92">
        <f t="shared" si="15"/>
        <v>0</v>
      </c>
      <c r="Q69" s="93">
        <f t="shared" si="16"/>
        <v>0</v>
      </c>
      <c r="R69" s="94">
        <f t="shared" si="0"/>
        <v>0</v>
      </c>
      <c r="S69" s="88"/>
    </row>
    <row r="70" spans="1:19" hidden="1" x14ac:dyDescent="0.25">
      <c r="A70" s="79">
        <v>60</v>
      </c>
      <c r="B70" s="80">
        <f t="shared" si="18"/>
        <v>45901</v>
      </c>
      <c r="C70" s="81">
        <f t="shared" si="9"/>
        <v>0</v>
      </c>
      <c r="D70" s="81">
        <f t="shared" si="1"/>
        <v>0</v>
      </c>
      <c r="E70" s="81">
        <f t="shared" si="10"/>
        <v>0</v>
      </c>
      <c r="F70" s="59">
        <f t="shared" si="11"/>
        <v>0</v>
      </c>
      <c r="G70" s="89">
        <f t="shared" si="12"/>
        <v>0</v>
      </c>
      <c r="H70" s="90">
        <f t="shared" si="13"/>
        <v>490416</v>
      </c>
      <c r="I70" s="91">
        <f t="shared" si="2"/>
        <v>0</v>
      </c>
      <c r="J70" s="81">
        <f t="shared" si="3"/>
        <v>0</v>
      </c>
      <c r="K70" s="81">
        <f t="shared" si="4"/>
        <v>0</v>
      </c>
      <c r="L70" s="81">
        <f t="shared" si="17"/>
        <v>0</v>
      </c>
      <c r="M70" s="81">
        <f t="shared" si="14"/>
        <v>0</v>
      </c>
      <c r="N70" s="81">
        <f t="shared" si="5"/>
        <v>0</v>
      </c>
      <c r="O70" s="81">
        <f t="shared" si="6"/>
        <v>0</v>
      </c>
      <c r="P70" s="92">
        <f t="shared" si="15"/>
        <v>0</v>
      </c>
      <c r="Q70" s="93">
        <f t="shared" si="16"/>
        <v>0</v>
      </c>
      <c r="R70" s="94">
        <f t="shared" si="0"/>
        <v>0</v>
      </c>
      <c r="S70" s="88"/>
    </row>
    <row r="71" spans="1:19" hidden="1" x14ac:dyDescent="0.25">
      <c r="A71" s="79">
        <v>61</v>
      </c>
      <c r="B71" s="80">
        <f t="shared" si="18"/>
        <v>45931</v>
      </c>
      <c r="C71" s="81">
        <f t="shared" si="9"/>
        <v>0</v>
      </c>
      <c r="D71" s="81">
        <f t="shared" si="1"/>
        <v>0</v>
      </c>
      <c r="E71" s="81">
        <f t="shared" si="10"/>
        <v>0</v>
      </c>
      <c r="F71" s="59">
        <f t="shared" si="11"/>
        <v>0</v>
      </c>
      <c r="G71" s="89">
        <f t="shared" si="12"/>
        <v>0</v>
      </c>
      <c r="H71" s="90">
        <f t="shared" si="13"/>
        <v>490416</v>
      </c>
      <c r="I71" s="91">
        <f t="shared" si="2"/>
        <v>0</v>
      </c>
      <c r="J71" s="81">
        <f t="shared" si="3"/>
        <v>0</v>
      </c>
      <c r="K71" s="81">
        <f t="shared" si="4"/>
        <v>0</v>
      </c>
      <c r="L71" s="81">
        <f t="shared" si="17"/>
        <v>0</v>
      </c>
      <c r="M71" s="81">
        <f t="shared" si="14"/>
        <v>0</v>
      </c>
      <c r="N71" s="81">
        <f t="shared" si="5"/>
        <v>0</v>
      </c>
      <c r="O71" s="81">
        <f t="shared" si="6"/>
        <v>0</v>
      </c>
      <c r="P71" s="92">
        <f t="shared" si="15"/>
        <v>0</v>
      </c>
      <c r="Q71" s="93">
        <f t="shared" si="16"/>
        <v>0</v>
      </c>
      <c r="R71" s="94">
        <f t="shared" si="0"/>
        <v>0</v>
      </c>
      <c r="S71" s="88"/>
    </row>
    <row r="72" spans="1:19" hidden="1" x14ac:dyDescent="0.25">
      <c r="A72" s="79">
        <v>62</v>
      </c>
      <c r="B72" s="80">
        <f t="shared" si="18"/>
        <v>45962</v>
      </c>
      <c r="C72" s="81">
        <f t="shared" si="9"/>
        <v>0</v>
      </c>
      <c r="D72" s="81">
        <f t="shared" si="1"/>
        <v>0</v>
      </c>
      <c r="E72" s="81">
        <f t="shared" si="10"/>
        <v>0</v>
      </c>
      <c r="F72" s="59">
        <f t="shared" si="11"/>
        <v>0</v>
      </c>
      <c r="G72" s="89">
        <f t="shared" si="12"/>
        <v>0</v>
      </c>
      <c r="H72" s="90">
        <f t="shared" si="13"/>
        <v>490416</v>
      </c>
      <c r="I72" s="91">
        <f t="shared" si="2"/>
        <v>0</v>
      </c>
      <c r="J72" s="81">
        <f t="shared" si="3"/>
        <v>0</v>
      </c>
      <c r="K72" s="81">
        <f t="shared" si="4"/>
        <v>0</v>
      </c>
      <c r="L72" s="81">
        <f t="shared" si="17"/>
        <v>0</v>
      </c>
      <c r="M72" s="81">
        <f t="shared" si="14"/>
        <v>0</v>
      </c>
      <c r="N72" s="81">
        <f t="shared" si="5"/>
        <v>0</v>
      </c>
      <c r="O72" s="81">
        <f t="shared" si="6"/>
        <v>0</v>
      </c>
      <c r="P72" s="92">
        <f t="shared" si="15"/>
        <v>0</v>
      </c>
      <c r="Q72" s="93">
        <f t="shared" si="16"/>
        <v>0</v>
      </c>
      <c r="R72" s="94">
        <f t="shared" si="0"/>
        <v>0</v>
      </c>
      <c r="S72" s="88"/>
    </row>
    <row r="73" spans="1:19" hidden="1" x14ac:dyDescent="0.25">
      <c r="A73" s="79">
        <v>63</v>
      </c>
      <c r="B73" s="80">
        <f t="shared" si="18"/>
        <v>45992</v>
      </c>
      <c r="C73" s="81">
        <f t="shared" si="9"/>
        <v>0</v>
      </c>
      <c r="D73" s="81">
        <f t="shared" si="1"/>
        <v>0</v>
      </c>
      <c r="E73" s="81">
        <f t="shared" si="10"/>
        <v>0</v>
      </c>
      <c r="F73" s="59">
        <f t="shared" si="11"/>
        <v>0</v>
      </c>
      <c r="G73" s="89">
        <f t="shared" si="12"/>
        <v>0</v>
      </c>
      <c r="H73" s="90">
        <f t="shared" si="13"/>
        <v>490416</v>
      </c>
      <c r="I73" s="91">
        <f t="shared" si="2"/>
        <v>0</v>
      </c>
      <c r="J73" s="81">
        <f t="shared" si="3"/>
        <v>0</v>
      </c>
      <c r="K73" s="81">
        <f t="shared" si="4"/>
        <v>0</v>
      </c>
      <c r="L73" s="81">
        <f t="shared" si="17"/>
        <v>0</v>
      </c>
      <c r="M73" s="81">
        <f t="shared" si="14"/>
        <v>0</v>
      </c>
      <c r="N73" s="81">
        <f t="shared" si="5"/>
        <v>0</v>
      </c>
      <c r="O73" s="81">
        <f t="shared" si="6"/>
        <v>0</v>
      </c>
      <c r="P73" s="92">
        <f t="shared" si="15"/>
        <v>0</v>
      </c>
      <c r="Q73" s="93">
        <f t="shared" si="16"/>
        <v>0</v>
      </c>
      <c r="R73" s="94">
        <f t="shared" si="0"/>
        <v>0</v>
      </c>
      <c r="S73" s="88"/>
    </row>
    <row r="74" spans="1:19" hidden="1" x14ac:dyDescent="0.25">
      <c r="A74" s="79">
        <v>64</v>
      </c>
      <c r="B74" s="80">
        <f t="shared" si="18"/>
        <v>46023</v>
      </c>
      <c r="C74" s="81">
        <f t="shared" si="9"/>
        <v>0</v>
      </c>
      <c r="D74" s="81">
        <f t="shared" si="1"/>
        <v>0</v>
      </c>
      <c r="E74" s="81">
        <f t="shared" si="10"/>
        <v>0</v>
      </c>
      <c r="F74" s="59">
        <f t="shared" si="11"/>
        <v>0</v>
      </c>
      <c r="G74" s="89">
        <f t="shared" si="12"/>
        <v>0</v>
      </c>
      <c r="H74" s="90">
        <f t="shared" si="13"/>
        <v>490416</v>
      </c>
      <c r="I74" s="91">
        <f t="shared" si="2"/>
        <v>0</v>
      </c>
      <c r="J74" s="81">
        <f t="shared" si="3"/>
        <v>0</v>
      </c>
      <c r="K74" s="81">
        <f t="shared" si="4"/>
        <v>0</v>
      </c>
      <c r="L74" s="81">
        <f t="shared" si="17"/>
        <v>0</v>
      </c>
      <c r="M74" s="81">
        <f t="shared" si="14"/>
        <v>0</v>
      </c>
      <c r="N74" s="81">
        <f t="shared" si="5"/>
        <v>0</v>
      </c>
      <c r="O74" s="81">
        <f t="shared" si="6"/>
        <v>0</v>
      </c>
      <c r="P74" s="92">
        <f t="shared" si="15"/>
        <v>0</v>
      </c>
      <c r="Q74" s="93">
        <f t="shared" si="16"/>
        <v>0</v>
      </c>
      <c r="R74" s="94">
        <f t="shared" si="0"/>
        <v>0</v>
      </c>
      <c r="S74" s="88"/>
    </row>
    <row r="75" spans="1:19" hidden="1" x14ac:dyDescent="0.25">
      <c r="A75" s="79">
        <v>65</v>
      </c>
      <c r="B75" s="80">
        <f t="shared" si="18"/>
        <v>46054</v>
      </c>
      <c r="C75" s="81">
        <f t="shared" si="9"/>
        <v>0</v>
      </c>
      <c r="D75" s="81">
        <f t="shared" si="1"/>
        <v>0</v>
      </c>
      <c r="E75" s="81">
        <f t="shared" si="10"/>
        <v>0</v>
      </c>
      <c r="F75" s="59">
        <f t="shared" si="11"/>
        <v>0</v>
      </c>
      <c r="G75" s="89">
        <f t="shared" si="12"/>
        <v>0</v>
      </c>
      <c r="H75" s="90">
        <f t="shared" si="13"/>
        <v>490416</v>
      </c>
      <c r="I75" s="91">
        <f t="shared" si="2"/>
        <v>0</v>
      </c>
      <c r="J75" s="81">
        <f t="shared" si="3"/>
        <v>0</v>
      </c>
      <c r="K75" s="81">
        <f t="shared" si="4"/>
        <v>0</v>
      </c>
      <c r="L75" s="81">
        <f t="shared" si="17"/>
        <v>0</v>
      </c>
      <c r="M75" s="81">
        <f t="shared" si="14"/>
        <v>0</v>
      </c>
      <c r="N75" s="81">
        <f t="shared" si="5"/>
        <v>0</v>
      </c>
      <c r="O75" s="81">
        <f t="shared" si="6"/>
        <v>0</v>
      </c>
      <c r="P75" s="92">
        <f t="shared" si="15"/>
        <v>0</v>
      </c>
      <c r="Q75" s="93">
        <f t="shared" si="16"/>
        <v>0</v>
      </c>
      <c r="R75" s="94">
        <f t="shared" ref="R75:R82" si="19">P75/$Q$11</f>
        <v>0</v>
      </c>
      <c r="S75" s="88"/>
    </row>
    <row r="76" spans="1:19" hidden="1" x14ac:dyDescent="0.25">
      <c r="A76" s="79">
        <v>66</v>
      </c>
      <c r="B76" s="80">
        <f t="shared" si="18"/>
        <v>46082</v>
      </c>
      <c r="C76" s="81">
        <f t="shared" si="9"/>
        <v>0</v>
      </c>
      <c r="D76" s="81">
        <f t="shared" ref="D76:D82" si="20">E76+F76</f>
        <v>0</v>
      </c>
      <c r="E76" s="81">
        <f t="shared" si="10"/>
        <v>0</v>
      </c>
      <c r="F76" s="59">
        <f t="shared" si="11"/>
        <v>0</v>
      </c>
      <c r="G76" s="89">
        <f t="shared" si="12"/>
        <v>0</v>
      </c>
      <c r="H76" s="90">
        <f t="shared" si="13"/>
        <v>490416</v>
      </c>
      <c r="I76" s="91">
        <f t="shared" ref="I76:I82" si="21">G76/$H$11</f>
        <v>0</v>
      </c>
      <c r="J76" s="81">
        <f t="shared" ref="J76:J82" si="22">IF(A76&gt;$B$3,0,$B$5)</f>
        <v>0</v>
      </c>
      <c r="K76" s="81">
        <f t="shared" ref="K76:K82" si="23">L76+Q76</f>
        <v>0</v>
      </c>
      <c r="L76" s="81">
        <f t="shared" si="17"/>
        <v>0</v>
      </c>
      <c r="M76" s="81">
        <f t="shared" si="14"/>
        <v>0</v>
      </c>
      <c r="N76" s="81">
        <f t="shared" ref="N76:N82" si="24">ROUND(L76*$B$4,0)</f>
        <v>0</v>
      </c>
      <c r="O76" s="81">
        <f t="shared" ref="O76:O82" si="25">ROUND(K76*$G$4,0)</f>
        <v>0</v>
      </c>
      <c r="P76" s="92">
        <f t="shared" si="15"/>
        <v>0</v>
      </c>
      <c r="Q76" s="93">
        <f t="shared" si="16"/>
        <v>0</v>
      </c>
      <c r="R76" s="94">
        <f t="shared" si="19"/>
        <v>0</v>
      </c>
      <c r="S76" s="88"/>
    </row>
    <row r="77" spans="1:19" hidden="1" x14ac:dyDescent="0.25">
      <c r="A77" s="79">
        <v>67</v>
      </c>
      <c r="B77" s="80">
        <f t="shared" ref="B77:B82" si="26">DATE(YEAR(B76),MONTH(B76)+1,1)</f>
        <v>46113</v>
      </c>
      <c r="C77" s="81">
        <f t="shared" ref="C77:C81" si="27">C76-E76</f>
        <v>0</v>
      </c>
      <c r="D77" s="81">
        <f t="shared" si="20"/>
        <v>0</v>
      </c>
      <c r="E77" s="81">
        <f t="shared" ref="E77:E82" si="28">IF(($B$5-F77)&lt;C77,$B$5-F77,C77)</f>
        <v>0</v>
      </c>
      <c r="F77" s="59">
        <f t="shared" ref="F77:F82" si="29">ROUND(IF(A77=1,(B77-1-$B$1)/30*$B$4*C77,C77*$B$4),0)</f>
        <v>0</v>
      </c>
      <c r="G77" s="89">
        <f t="shared" ref="G77:G81" si="30">MIN(ROUND(C76/SUM($C$11:$C$81)*$H$11,0),H76)</f>
        <v>0</v>
      </c>
      <c r="H77" s="90">
        <f t="shared" ref="H77:H81" si="31">H76-G77</f>
        <v>490416</v>
      </c>
      <c r="I77" s="91">
        <f t="shared" si="21"/>
        <v>0</v>
      </c>
      <c r="J77" s="81">
        <f t="shared" si="22"/>
        <v>0</v>
      </c>
      <c r="K77" s="81">
        <f t="shared" si="23"/>
        <v>0</v>
      </c>
      <c r="L77" s="81">
        <f t="shared" si="17"/>
        <v>0</v>
      </c>
      <c r="M77" s="81">
        <f t="shared" ref="M77:M82" si="32">IF(($B$5-N77)&lt;L77,$B$5-N77,L77)</f>
        <v>0</v>
      </c>
      <c r="N77" s="81">
        <f t="shared" si="24"/>
        <v>0</v>
      </c>
      <c r="O77" s="81">
        <f t="shared" si="25"/>
        <v>0</v>
      </c>
      <c r="P77" s="92">
        <f t="shared" ref="P77:P82" si="33">IF(A77&gt;$B$3,Q76,N76-O76)</f>
        <v>0</v>
      </c>
      <c r="Q77" s="93">
        <f t="shared" ref="Q77:Q81" si="34">Q76-P77</f>
        <v>0</v>
      </c>
      <c r="R77" s="94">
        <f t="shared" si="19"/>
        <v>0</v>
      </c>
      <c r="S77" s="88"/>
    </row>
    <row r="78" spans="1:19" hidden="1" x14ac:dyDescent="0.25">
      <c r="A78" s="79">
        <v>68</v>
      </c>
      <c r="B78" s="80">
        <f t="shared" si="26"/>
        <v>46143</v>
      </c>
      <c r="C78" s="81">
        <f t="shared" si="27"/>
        <v>0</v>
      </c>
      <c r="D78" s="81">
        <f t="shared" si="20"/>
        <v>0</v>
      </c>
      <c r="E78" s="81">
        <f t="shared" si="28"/>
        <v>0</v>
      </c>
      <c r="F78" s="59">
        <f t="shared" si="29"/>
        <v>0</v>
      </c>
      <c r="G78" s="89">
        <f t="shared" si="30"/>
        <v>0</v>
      </c>
      <c r="H78" s="90">
        <f t="shared" si="31"/>
        <v>490416</v>
      </c>
      <c r="I78" s="91">
        <f t="shared" si="21"/>
        <v>0</v>
      </c>
      <c r="J78" s="81">
        <f t="shared" si="22"/>
        <v>0</v>
      </c>
      <c r="K78" s="81">
        <f t="shared" si="23"/>
        <v>0</v>
      </c>
      <c r="L78" s="81">
        <f t="shared" si="17"/>
        <v>0</v>
      </c>
      <c r="M78" s="81">
        <f t="shared" si="32"/>
        <v>0</v>
      </c>
      <c r="N78" s="81">
        <f t="shared" si="24"/>
        <v>0</v>
      </c>
      <c r="O78" s="81">
        <f t="shared" si="25"/>
        <v>0</v>
      </c>
      <c r="P78" s="92">
        <f t="shared" si="33"/>
        <v>0</v>
      </c>
      <c r="Q78" s="93">
        <f t="shared" si="34"/>
        <v>0</v>
      </c>
      <c r="R78" s="94">
        <f t="shared" si="19"/>
        <v>0</v>
      </c>
      <c r="S78" s="88"/>
    </row>
    <row r="79" spans="1:19" hidden="1" x14ac:dyDescent="0.25">
      <c r="A79" s="79">
        <v>69</v>
      </c>
      <c r="B79" s="80">
        <f t="shared" si="26"/>
        <v>46174</v>
      </c>
      <c r="C79" s="81">
        <f t="shared" si="27"/>
        <v>0</v>
      </c>
      <c r="D79" s="81">
        <f t="shared" si="20"/>
        <v>0</v>
      </c>
      <c r="E79" s="81">
        <f t="shared" si="28"/>
        <v>0</v>
      </c>
      <c r="F79" s="59">
        <f t="shared" si="29"/>
        <v>0</v>
      </c>
      <c r="G79" s="89">
        <f t="shared" si="30"/>
        <v>0</v>
      </c>
      <c r="H79" s="90">
        <f t="shared" si="31"/>
        <v>490416</v>
      </c>
      <c r="I79" s="91">
        <f t="shared" si="21"/>
        <v>0</v>
      </c>
      <c r="J79" s="81">
        <f t="shared" si="22"/>
        <v>0</v>
      </c>
      <c r="K79" s="81">
        <f t="shared" si="23"/>
        <v>0</v>
      </c>
      <c r="L79" s="81">
        <f t="shared" si="17"/>
        <v>0</v>
      </c>
      <c r="M79" s="81">
        <f t="shared" si="32"/>
        <v>0</v>
      </c>
      <c r="N79" s="81">
        <f t="shared" si="24"/>
        <v>0</v>
      </c>
      <c r="O79" s="81">
        <f t="shared" si="25"/>
        <v>0</v>
      </c>
      <c r="P79" s="92">
        <f t="shared" si="33"/>
        <v>0</v>
      </c>
      <c r="Q79" s="93">
        <f t="shared" si="34"/>
        <v>0</v>
      </c>
      <c r="R79" s="94">
        <f t="shared" si="19"/>
        <v>0</v>
      </c>
      <c r="S79" s="88"/>
    </row>
    <row r="80" spans="1:19" hidden="1" x14ac:dyDescent="0.25">
      <c r="A80" s="79">
        <v>70</v>
      </c>
      <c r="B80" s="80">
        <f t="shared" si="26"/>
        <v>46204</v>
      </c>
      <c r="C80" s="81">
        <f t="shared" si="27"/>
        <v>0</v>
      </c>
      <c r="D80" s="81">
        <f t="shared" si="20"/>
        <v>0</v>
      </c>
      <c r="E80" s="81">
        <f t="shared" si="28"/>
        <v>0</v>
      </c>
      <c r="F80" s="59">
        <f t="shared" si="29"/>
        <v>0</v>
      </c>
      <c r="G80" s="89">
        <f t="shared" si="30"/>
        <v>0</v>
      </c>
      <c r="H80" s="90">
        <f t="shared" si="31"/>
        <v>490416</v>
      </c>
      <c r="I80" s="91">
        <f t="shared" si="21"/>
        <v>0</v>
      </c>
      <c r="J80" s="81">
        <f t="shared" si="22"/>
        <v>0</v>
      </c>
      <c r="K80" s="81">
        <f t="shared" si="23"/>
        <v>0</v>
      </c>
      <c r="L80" s="81">
        <f t="shared" ref="L80:L81" si="35">L79-M79</f>
        <v>0</v>
      </c>
      <c r="M80" s="81">
        <f t="shared" si="32"/>
        <v>0</v>
      </c>
      <c r="N80" s="81">
        <f t="shared" si="24"/>
        <v>0</v>
      </c>
      <c r="O80" s="81">
        <f t="shared" si="25"/>
        <v>0</v>
      </c>
      <c r="P80" s="92">
        <f t="shared" si="33"/>
        <v>0</v>
      </c>
      <c r="Q80" s="93">
        <f t="shared" si="34"/>
        <v>0</v>
      </c>
      <c r="R80" s="94">
        <f t="shared" si="19"/>
        <v>0</v>
      </c>
      <c r="S80" s="88"/>
    </row>
    <row r="81" spans="1:19" hidden="1" x14ac:dyDescent="0.25">
      <c r="A81" s="79">
        <v>71</v>
      </c>
      <c r="B81" s="80">
        <f t="shared" si="26"/>
        <v>46235</v>
      </c>
      <c r="C81" s="81">
        <f t="shared" si="27"/>
        <v>0</v>
      </c>
      <c r="D81" s="81">
        <f t="shared" si="20"/>
        <v>0</v>
      </c>
      <c r="E81" s="81">
        <f t="shared" si="28"/>
        <v>0</v>
      </c>
      <c r="F81" s="59">
        <f t="shared" si="29"/>
        <v>0</v>
      </c>
      <c r="G81" s="89">
        <f t="shared" si="30"/>
        <v>0</v>
      </c>
      <c r="H81" s="90">
        <f t="shared" si="31"/>
        <v>490416</v>
      </c>
      <c r="I81" s="91">
        <f t="shared" si="21"/>
        <v>0</v>
      </c>
      <c r="J81" s="81">
        <f t="shared" si="22"/>
        <v>0</v>
      </c>
      <c r="K81" s="81">
        <f t="shared" si="23"/>
        <v>0</v>
      </c>
      <c r="L81" s="81">
        <f t="shared" si="35"/>
        <v>0</v>
      </c>
      <c r="M81" s="81">
        <f t="shared" si="32"/>
        <v>0</v>
      </c>
      <c r="N81" s="81">
        <f t="shared" si="24"/>
        <v>0</v>
      </c>
      <c r="O81" s="81">
        <f t="shared" si="25"/>
        <v>0</v>
      </c>
      <c r="P81" s="92">
        <f t="shared" si="33"/>
        <v>0</v>
      </c>
      <c r="Q81" s="93">
        <f t="shared" si="34"/>
        <v>0</v>
      </c>
      <c r="R81" s="94">
        <f t="shared" si="19"/>
        <v>0</v>
      </c>
      <c r="S81" s="88"/>
    </row>
    <row r="82" spans="1:19" hidden="1" x14ac:dyDescent="0.25">
      <c r="A82" s="79">
        <v>72</v>
      </c>
      <c r="B82" s="80">
        <f t="shared" si="26"/>
        <v>46266</v>
      </c>
      <c r="C82" s="81">
        <f>C81-E81</f>
        <v>0</v>
      </c>
      <c r="D82" s="81">
        <f t="shared" si="20"/>
        <v>0</v>
      </c>
      <c r="E82" s="81">
        <f t="shared" si="28"/>
        <v>0</v>
      </c>
      <c r="F82" s="59">
        <f t="shared" si="29"/>
        <v>0</v>
      </c>
      <c r="G82" s="89">
        <f>H81</f>
        <v>490416</v>
      </c>
      <c r="H82" s="90"/>
      <c r="I82" s="91">
        <f t="shared" si="21"/>
        <v>-0.84554482758620686</v>
      </c>
      <c r="J82" s="81">
        <f t="shared" si="22"/>
        <v>0</v>
      </c>
      <c r="K82" s="81">
        <f t="shared" si="23"/>
        <v>0</v>
      </c>
      <c r="L82" s="81">
        <f t="shared" ref="L82" si="36">L46-M46</f>
        <v>0</v>
      </c>
      <c r="M82" s="81">
        <f t="shared" si="32"/>
        <v>0</v>
      </c>
      <c r="N82" s="81">
        <f t="shared" si="24"/>
        <v>0</v>
      </c>
      <c r="O82" s="81">
        <f t="shared" si="25"/>
        <v>0</v>
      </c>
      <c r="P82" s="92">
        <f t="shared" si="33"/>
        <v>0</v>
      </c>
      <c r="Q82" s="93"/>
      <c r="R82" s="94">
        <f t="shared" si="19"/>
        <v>0</v>
      </c>
      <c r="S82" s="88"/>
    </row>
    <row r="83" spans="1:19" x14ac:dyDescent="0.25">
      <c r="B83" s="80"/>
      <c r="C83" s="81"/>
      <c r="D83" s="81"/>
      <c r="E83" s="81"/>
      <c r="F83" s="59"/>
      <c r="G83" s="95">
        <f>SUM(G11:G82)</f>
        <v>-580000</v>
      </c>
      <c r="H83" s="96"/>
      <c r="I83" s="97">
        <f>SUM(I11:I82)</f>
        <v>0.99999999999999989</v>
      </c>
      <c r="J83" s="98"/>
      <c r="K83" s="98"/>
      <c r="L83" s="98"/>
      <c r="M83" s="98"/>
      <c r="N83" s="98"/>
      <c r="O83" s="98"/>
      <c r="P83" s="99">
        <f>SUM(P12:P82)</f>
        <v>-580000</v>
      </c>
      <c r="Q83" s="100"/>
      <c r="R83" s="100">
        <f>SUM(R11:R82)</f>
        <v>0.99999999999999989</v>
      </c>
      <c r="S83" s="101"/>
    </row>
    <row r="84" spans="1:19" s="61" customFormat="1" x14ac:dyDescent="0.25">
      <c r="B84" s="102"/>
      <c r="C84" s="103"/>
      <c r="D84" s="103"/>
      <c r="E84" s="103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</row>
    <row r="85" spans="1:19" s="61" customFormat="1" x14ac:dyDescent="0.25">
      <c r="B85" s="102"/>
      <c r="C85" s="103"/>
      <c r="D85" s="103"/>
      <c r="E85" s="103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</row>
    <row r="86" spans="1:19" s="61" customFormat="1" x14ac:dyDescent="0.25">
      <c r="B86" s="102"/>
      <c r="C86" s="103"/>
      <c r="D86" s="103"/>
      <c r="E86" s="103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</row>
    <row r="87" spans="1:19" s="61" customFormat="1" x14ac:dyDescent="0.25">
      <c r="B87" s="102"/>
      <c r="C87" s="103"/>
      <c r="D87" s="103"/>
      <c r="E87" s="103"/>
      <c r="F87" s="98"/>
      <c r="G87" s="98"/>
      <c r="H87" s="79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</row>
    <row r="88" spans="1:19" s="61" customFormat="1" x14ac:dyDescent="0.25">
      <c r="B88" s="102"/>
      <c r="C88" s="103"/>
      <c r="D88" s="103"/>
      <c r="E88" s="103"/>
      <c r="F88" s="98"/>
      <c r="G88" s="98"/>
      <c r="H88" s="79"/>
      <c r="I88" s="104"/>
      <c r="J88" s="104"/>
      <c r="K88" s="98"/>
      <c r="L88" s="98"/>
      <c r="M88" s="98"/>
      <c r="N88" s="98"/>
      <c r="O88" s="98"/>
      <c r="P88" s="98"/>
      <c r="Q88" s="98"/>
      <c r="R88" s="98"/>
      <c r="S88" s="98"/>
    </row>
    <row r="89" spans="1:19" s="61" customFormat="1" x14ac:dyDescent="0.25">
      <c r="B89" s="102"/>
      <c r="C89" s="103"/>
      <c r="D89" s="103"/>
      <c r="E89" s="103"/>
      <c r="F89" s="98"/>
      <c r="G89" s="98"/>
      <c r="H89" s="79"/>
      <c r="I89" s="104"/>
      <c r="J89" s="104"/>
      <c r="K89" s="98"/>
      <c r="L89" s="98"/>
      <c r="M89" s="98"/>
      <c r="N89" s="98"/>
      <c r="O89" s="98"/>
      <c r="P89" s="98"/>
      <c r="Q89" s="98"/>
      <c r="R89" s="98"/>
      <c r="S89" s="98"/>
    </row>
    <row r="90" spans="1:19" s="61" customFormat="1" x14ac:dyDescent="0.25">
      <c r="B90" s="102"/>
      <c r="C90" s="103"/>
      <c r="D90" s="103"/>
      <c r="E90" s="103"/>
      <c r="F90" s="98"/>
      <c r="G90" s="98"/>
      <c r="H90" s="79"/>
      <c r="I90" s="104"/>
      <c r="J90" s="104"/>
      <c r="K90" s="98"/>
      <c r="L90" s="98"/>
      <c r="M90" s="98"/>
      <c r="N90" s="98"/>
      <c r="O90" s="98"/>
      <c r="P90" s="98"/>
      <c r="Q90" s="98"/>
      <c r="R90" s="98"/>
      <c r="S90" s="98"/>
    </row>
    <row r="91" spans="1:19" s="61" customFormat="1" x14ac:dyDescent="0.25">
      <c r="B91" s="102"/>
      <c r="C91" s="103"/>
      <c r="D91" s="103"/>
      <c r="E91" s="103"/>
      <c r="F91" s="98"/>
      <c r="G91" s="98"/>
      <c r="H91" s="79"/>
      <c r="I91" s="104"/>
      <c r="J91" s="104"/>
      <c r="K91" s="98"/>
      <c r="L91" s="98"/>
      <c r="M91" s="98"/>
      <c r="N91" s="98"/>
      <c r="O91" s="98"/>
      <c r="P91" s="98"/>
      <c r="Q91" s="98"/>
      <c r="R91" s="98"/>
      <c r="S91" s="98"/>
    </row>
    <row r="92" spans="1:19" s="61" customFormat="1" x14ac:dyDescent="0.25">
      <c r="B92" s="102"/>
      <c r="C92" s="103"/>
      <c r="D92" s="103"/>
      <c r="E92" s="103"/>
      <c r="F92" s="98"/>
      <c r="G92" s="98"/>
      <c r="H92" s="79"/>
      <c r="I92" s="104"/>
      <c r="J92" s="104"/>
      <c r="K92" s="98"/>
      <c r="L92" s="98"/>
      <c r="M92" s="98"/>
      <c r="N92" s="98"/>
      <c r="O92" s="98"/>
      <c r="P92" s="98"/>
      <c r="Q92" s="98"/>
      <c r="R92" s="98"/>
      <c r="S92" s="98"/>
    </row>
    <row r="93" spans="1:19" s="61" customFormat="1" x14ac:dyDescent="0.25">
      <c r="B93" s="102"/>
      <c r="C93" s="103"/>
      <c r="D93" s="103"/>
      <c r="E93" s="103"/>
      <c r="F93" s="98"/>
      <c r="G93" s="98"/>
      <c r="H93" s="79"/>
      <c r="I93" s="104"/>
      <c r="J93" s="104"/>
      <c r="K93" s="98"/>
      <c r="L93" s="98"/>
      <c r="M93" s="98"/>
      <c r="N93" s="98"/>
      <c r="O93" s="98"/>
      <c r="P93" s="98"/>
      <c r="Q93" s="98"/>
      <c r="R93" s="98"/>
      <c r="S93" s="98"/>
    </row>
    <row r="94" spans="1:19" s="61" customFormat="1" x14ac:dyDescent="0.25">
      <c r="B94" s="98"/>
      <c r="C94" s="103"/>
      <c r="D94" s="103"/>
      <c r="E94" s="103"/>
      <c r="F94" s="98"/>
      <c r="G94" s="98"/>
      <c r="H94" s="79"/>
      <c r="I94" s="104"/>
      <c r="J94" s="104"/>
    </row>
    <row r="95" spans="1:19" s="61" customFormat="1" x14ac:dyDescent="0.25">
      <c r="B95" s="98"/>
      <c r="G95" s="105"/>
      <c r="H95" s="79"/>
      <c r="I95" s="104"/>
      <c r="J95" s="104"/>
    </row>
    <row r="96" spans="1:19" x14ac:dyDescent="0.25">
      <c r="H96" s="79"/>
      <c r="I96" s="104"/>
      <c r="J96" s="104"/>
    </row>
    <row r="97" spans="8:10" x14ac:dyDescent="0.25">
      <c r="H97" s="79"/>
      <c r="I97" s="104"/>
      <c r="J97" s="104"/>
    </row>
    <row r="98" spans="8:10" x14ac:dyDescent="0.25">
      <c r="H98" s="79"/>
      <c r="I98" s="104"/>
      <c r="J98" s="104"/>
    </row>
    <row r="99" spans="8:10" x14ac:dyDescent="0.25">
      <c r="H99" s="79"/>
      <c r="I99" s="104"/>
      <c r="J99" s="104"/>
    </row>
    <row r="100" spans="8:10" x14ac:dyDescent="0.25">
      <c r="H100" s="79"/>
      <c r="I100" s="104"/>
      <c r="J100" s="104"/>
    </row>
    <row r="101" spans="8:10" x14ac:dyDescent="0.25">
      <c r="H101" s="79"/>
      <c r="I101" s="104"/>
      <c r="J101" s="104"/>
    </row>
    <row r="102" spans="8:10" x14ac:dyDescent="0.25">
      <c r="H102" s="79"/>
      <c r="I102" s="104"/>
      <c r="J102" s="104"/>
    </row>
    <row r="103" spans="8:10" x14ac:dyDescent="0.25">
      <c r="H103" s="79"/>
      <c r="I103" s="104"/>
      <c r="J103" s="104"/>
    </row>
    <row r="104" spans="8:10" x14ac:dyDescent="0.25">
      <c r="H104" s="79"/>
      <c r="I104" s="104"/>
      <c r="J104" s="104"/>
    </row>
    <row r="105" spans="8:10" x14ac:dyDescent="0.25">
      <c r="H105" s="79"/>
      <c r="I105" s="104"/>
      <c r="J105" s="104"/>
    </row>
    <row r="106" spans="8:10" x14ac:dyDescent="0.25">
      <c r="H106" s="79"/>
      <c r="I106" s="104"/>
      <c r="J106" s="104"/>
    </row>
    <row r="107" spans="8:10" x14ac:dyDescent="0.25">
      <c r="H107" s="79"/>
      <c r="I107" s="104"/>
      <c r="J107" s="104"/>
    </row>
    <row r="108" spans="8:10" x14ac:dyDescent="0.25">
      <c r="H108" s="79"/>
      <c r="I108" s="104"/>
      <c r="J108" s="104"/>
    </row>
    <row r="109" spans="8:10" x14ac:dyDescent="0.25">
      <c r="H109" s="79"/>
      <c r="I109" s="104"/>
      <c r="J109" s="104"/>
    </row>
    <row r="110" spans="8:10" x14ac:dyDescent="0.25">
      <c r="H110" s="79"/>
      <c r="I110" s="104"/>
      <c r="J110" s="104"/>
    </row>
    <row r="111" spans="8:10" x14ac:dyDescent="0.25">
      <c r="H111" s="79"/>
      <c r="I111" s="104"/>
      <c r="J111" s="104"/>
    </row>
  </sheetData>
  <mergeCells count="3">
    <mergeCell ref="G7:I7"/>
    <mergeCell ref="P7:R7"/>
    <mergeCell ref="T7:U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1"/>
  <sheetViews>
    <sheetView workbookViewId="0">
      <selection activeCell="D6" sqref="D6"/>
    </sheetView>
  </sheetViews>
  <sheetFormatPr defaultRowHeight="15" x14ac:dyDescent="0.25"/>
  <cols>
    <col min="2" max="2" width="36.28515625" bestFit="1" customWidth="1"/>
    <col min="3" max="3" width="11.5703125" bestFit="1" customWidth="1"/>
    <col min="5" max="5" width="19" customWidth="1"/>
    <col min="6" max="7" width="9.140625" customWidth="1"/>
  </cols>
  <sheetData>
    <row r="1" spans="1:4" s="4" customFormat="1" x14ac:dyDescent="0.25">
      <c r="A1" s="4">
        <v>1</v>
      </c>
      <c r="B1" s="10" t="s">
        <v>4</v>
      </c>
      <c r="C1" s="10" t="s">
        <v>5</v>
      </c>
    </row>
    <row r="2" spans="1:4" s="7" customFormat="1" x14ac:dyDescent="0.25">
      <c r="B2" s="7" t="s">
        <v>35</v>
      </c>
      <c r="C2" s="7" t="s">
        <v>29</v>
      </c>
    </row>
    <row r="3" spans="1:4" s="7" customFormat="1" x14ac:dyDescent="0.25">
      <c r="B3" s="7" t="s">
        <v>72</v>
      </c>
      <c r="C3" s="20">
        <v>44114</v>
      </c>
    </row>
    <row r="4" spans="1:4" x14ac:dyDescent="0.25">
      <c r="B4" t="s">
        <v>3</v>
      </c>
      <c r="C4" s="3">
        <v>44116</v>
      </c>
    </row>
    <row r="5" spans="1:4" x14ac:dyDescent="0.25">
      <c r="B5" t="s">
        <v>40</v>
      </c>
      <c r="C5" s="3">
        <v>44485</v>
      </c>
    </row>
    <row r="6" spans="1:4" x14ac:dyDescent="0.25">
      <c r="B6" s="110" t="s">
        <v>2</v>
      </c>
      <c r="C6" s="154">
        <v>44120</v>
      </c>
      <c r="D6" t="s">
        <v>263</v>
      </c>
    </row>
    <row r="7" spans="1:4" x14ac:dyDescent="0.25">
      <c r="B7" t="s">
        <v>39</v>
      </c>
      <c r="C7" s="2">
        <v>12</v>
      </c>
    </row>
    <row r="8" spans="1:4" x14ac:dyDescent="0.25">
      <c r="B8" t="s">
        <v>214</v>
      </c>
      <c r="C8" s="106">
        <v>0.5</v>
      </c>
    </row>
    <row r="9" spans="1:4" x14ac:dyDescent="0.25">
      <c r="B9" t="s">
        <v>1</v>
      </c>
      <c r="C9" s="2">
        <v>50000000</v>
      </c>
    </row>
    <row r="10" spans="1:4" x14ac:dyDescent="0.25">
      <c r="B10" t="s">
        <v>219</v>
      </c>
      <c r="C10" s="2">
        <v>580000</v>
      </c>
    </row>
    <row r="11" spans="1:4" x14ac:dyDescent="0.25">
      <c r="B11" t="s">
        <v>216</v>
      </c>
      <c r="C11" s="47" t="s">
        <v>217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O60"/>
  <sheetViews>
    <sheetView tabSelected="1" zoomScale="70" zoomScaleNormal="70" workbookViewId="0">
      <pane xSplit="3" ySplit="7" topLeftCell="D20" activePane="bottomRight" state="frozen"/>
      <selection pane="topRight" activeCell="C1" sqref="C1"/>
      <selection pane="bottomLeft" activeCell="A5" sqref="A5"/>
      <selection pane="bottomRight" activeCell="L7" sqref="L7"/>
    </sheetView>
  </sheetViews>
  <sheetFormatPr defaultRowHeight="15" x14ac:dyDescent="0.25"/>
  <cols>
    <col min="1" max="1" width="10.42578125" customWidth="1"/>
    <col min="2" max="2" width="21" customWidth="1"/>
    <col min="3" max="3" width="12" customWidth="1"/>
    <col min="4" max="4" width="20" bestFit="1" customWidth="1"/>
    <col min="5" max="5" width="13.140625" bestFit="1" customWidth="1"/>
    <col min="6" max="6" width="22.7109375" bestFit="1" customWidth="1"/>
    <col min="7" max="7" width="22" bestFit="1" customWidth="1"/>
    <col min="8" max="8" width="19.42578125" bestFit="1" customWidth="1"/>
    <col min="9" max="9" width="27.140625" bestFit="1" customWidth="1"/>
    <col min="10" max="10" width="13.85546875" customWidth="1"/>
    <col min="11" max="11" width="25.85546875" bestFit="1" customWidth="1"/>
    <col min="12" max="12" width="18.5703125" style="2" bestFit="1" customWidth="1"/>
    <col min="13" max="13" width="22.7109375" style="2" bestFit="1" customWidth="1"/>
    <col min="14" max="14" width="25.28515625" style="2" bestFit="1" customWidth="1"/>
  </cols>
  <sheetData>
    <row r="1" spans="1:15" s="4" customFormat="1" x14ac:dyDescent="0.25">
      <c r="A1" s="4" t="s">
        <v>36</v>
      </c>
      <c r="K1" s="4" t="s">
        <v>168</v>
      </c>
      <c r="L1" s="5"/>
      <c r="M1" s="5"/>
      <c r="N1" s="5"/>
    </row>
    <row r="2" spans="1:15" s="4" customFormat="1" x14ac:dyDescent="0.25">
      <c r="A2" s="10" t="s">
        <v>6</v>
      </c>
      <c r="C2" s="6">
        <v>44105</v>
      </c>
      <c r="K2" s="4" t="s">
        <v>166</v>
      </c>
      <c r="L2" s="5"/>
      <c r="M2" s="5"/>
      <c r="N2" s="5"/>
    </row>
    <row r="3" spans="1:15" s="4" customFormat="1" x14ac:dyDescent="0.25">
      <c r="A3" s="4" t="s">
        <v>165</v>
      </c>
      <c r="C3" s="6" t="s">
        <v>168</v>
      </c>
      <c r="D3" s="4" t="s">
        <v>167</v>
      </c>
      <c r="L3" s="5"/>
      <c r="M3" s="5"/>
      <c r="N3" s="5"/>
      <c r="O3" s="5"/>
    </row>
    <row r="4" spans="1:15" s="4" customFormat="1" x14ac:dyDescent="0.25">
      <c r="L4" s="5"/>
      <c r="M4" s="5"/>
      <c r="N4" s="5"/>
    </row>
    <row r="5" spans="1:15" s="4" customFormat="1" x14ac:dyDescent="0.25">
      <c r="A5" s="4" t="s">
        <v>37</v>
      </c>
      <c r="B5" s="4" t="s">
        <v>38</v>
      </c>
      <c r="L5" s="5"/>
      <c r="M5" s="5"/>
      <c r="N5" s="5"/>
    </row>
    <row r="6" spans="1:15" s="4" customFormat="1" x14ac:dyDescent="0.25">
      <c r="L6" s="5"/>
      <c r="M6" s="5"/>
      <c r="N6" s="5"/>
    </row>
    <row r="7" spans="1:15" s="14" customFormat="1" x14ac:dyDescent="0.25">
      <c r="A7" s="12" t="s">
        <v>7</v>
      </c>
      <c r="B7" s="12">
        <v>1</v>
      </c>
      <c r="C7" s="12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3" t="s">
        <v>17</v>
      </c>
      <c r="L7" s="13" t="s">
        <v>18</v>
      </c>
      <c r="M7" s="13" t="s">
        <v>19</v>
      </c>
      <c r="N7" s="13" t="s">
        <v>20</v>
      </c>
    </row>
    <row r="8" spans="1:15" x14ac:dyDescent="0.25">
      <c r="A8" s="7">
        <v>1</v>
      </c>
      <c r="B8" t="s">
        <v>5</v>
      </c>
      <c r="C8" t="str">
        <f>SAMPLE!$C$2</f>
        <v>CD</v>
      </c>
      <c r="D8" t="s">
        <v>30</v>
      </c>
      <c r="E8">
        <f>SAMPLE!$C$7</f>
        <v>12</v>
      </c>
      <c r="F8" s="3">
        <f>SAMPLE!$C$4</f>
        <v>44116</v>
      </c>
      <c r="G8" s="3">
        <f>SAMPLE!$C$5</f>
        <v>44485</v>
      </c>
      <c r="H8" s="3">
        <f>SAMPLE!$C$6</f>
        <v>44120</v>
      </c>
      <c r="J8" t="s">
        <v>31</v>
      </c>
      <c r="K8" s="2">
        <v>0</v>
      </c>
      <c r="L8" s="2">
        <f>SAMPLE!C10</f>
        <v>580000</v>
      </c>
      <c r="M8" s="2">
        <f>-Formular_Sub_amortization!P12</f>
        <v>75972</v>
      </c>
      <c r="N8" s="2">
        <f>K8+L8-M8</f>
        <v>504028</v>
      </c>
    </row>
    <row r="9" spans="1:15" x14ac:dyDescent="0.25">
      <c r="F9" s="3"/>
      <c r="G9" s="3"/>
      <c r="H9" s="3"/>
      <c r="K9" s="2"/>
    </row>
    <row r="10" spans="1:15" x14ac:dyDescent="0.25">
      <c r="A10" s="8"/>
      <c r="B10" s="8"/>
      <c r="C10" s="8" t="s">
        <v>34</v>
      </c>
      <c r="D10" s="8"/>
      <c r="E10" s="8"/>
      <c r="F10" s="8"/>
      <c r="G10" s="8"/>
      <c r="H10" s="8"/>
      <c r="I10" s="8"/>
      <c r="J10" s="8"/>
      <c r="K10" s="9">
        <f>SUM(K8:K9)</f>
        <v>0</v>
      </c>
      <c r="L10" s="9">
        <f>SUM(L8:L9)</f>
        <v>580000</v>
      </c>
      <c r="M10" s="9">
        <f>SUM(M8:M9)</f>
        <v>75972</v>
      </c>
      <c r="N10" s="9">
        <f>SUM(N8:N9)</f>
        <v>504028</v>
      </c>
    </row>
    <row r="11" spans="1:15" s="17" customForma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6"/>
      <c r="L11" s="16"/>
      <c r="M11" s="16"/>
      <c r="N11" s="16"/>
    </row>
    <row r="12" spans="1:15" x14ac:dyDescent="0.25">
      <c r="F12" s="3"/>
      <c r="G12" s="3"/>
      <c r="H12" s="3"/>
      <c r="I12" s="3"/>
      <c r="K12" s="2"/>
    </row>
    <row r="13" spans="1:15" s="4" customFormat="1" x14ac:dyDescent="0.25">
      <c r="A13" s="10" t="s">
        <v>6</v>
      </c>
      <c r="C13" s="6">
        <v>44136</v>
      </c>
      <c r="L13" s="5"/>
      <c r="M13" s="5"/>
      <c r="N13" s="5"/>
    </row>
    <row r="14" spans="1:15" s="4" customFormat="1" x14ac:dyDescent="0.25">
      <c r="C14" s="11"/>
      <c r="L14" s="5"/>
      <c r="M14" s="5"/>
      <c r="N14" s="5"/>
    </row>
    <row r="15" spans="1:15" s="4" customFormat="1" x14ac:dyDescent="0.25">
      <c r="A15" s="4" t="s">
        <v>37</v>
      </c>
      <c r="B15" s="4" t="s">
        <v>42</v>
      </c>
      <c r="L15" s="5"/>
      <c r="M15" s="5"/>
      <c r="N15" s="5"/>
    </row>
    <row r="17" spans="1:14" s="14" customFormat="1" x14ac:dyDescent="0.25">
      <c r="A17" s="12" t="s">
        <v>7</v>
      </c>
      <c r="B17" s="12" t="s">
        <v>8</v>
      </c>
      <c r="C17" s="12" t="s">
        <v>9</v>
      </c>
      <c r="D17" s="12" t="s">
        <v>10</v>
      </c>
      <c r="E17" s="12" t="s">
        <v>11</v>
      </c>
      <c r="F17" s="12" t="s">
        <v>12</v>
      </c>
      <c r="G17" s="12" t="s">
        <v>13</v>
      </c>
      <c r="H17" s="12" t="s">
        <v>14</v>
      </c>
      <c r="I17" s="12" t="s">
        <v>15</v>
      </c>
      <c r="J17" s="12" t="s">
        <v>16</v>
      </c>
      <c r="K17" s="13" t="s">
        <v>17</v>
      </c>
      <c r="L17" s="13" t="s">
        <v>18</v>
      </c>
      <c r="M17" s="13" t="s">
        <v>19</v>
      </c>
      <c r="N17" s="13" t="s">
        <v>20</v>
      </c>
    </row>
    <row r="18" spans="1:14" x14ac:dyDescent="0.25">
      <c r="A18" s="7">
        <v>1</v>
      </c>
      <c r="B18" t="s">
        <v>5</v>
      </c>
      <c r="C18" t="str">
        <f>SAMPLE!$C$2</f>
        <v>CD</v>
      </c>
      <c r="D18" t="s">
        <v>41</v>
      </c>
      <c r="E18">
        <f>SAMPLE!$C$7</f>
        <v>12</v>
      </c>
      <c r="F18" s="3">
        <f>SAMPLE!$C$4</f>
        <v>44116</v>
      </c>
      <c r="G18" s="3">
        <f>SAMPLE!$C$5</f>
        <v>44485</v>
      </c>
      <c r="H18" s="3">
        <f>SAMPLE!$C$6</f>
        <v>44120</v>
      </c>
      <c r="J18" t="s">
        <v>31</v>
      </c>
      <c r="K18" s="2">
        <f>N8</f>
        <v>504028</v>
      </c>
      <c r="L18" s="2">
        <v>0</v>
      </c>
      <c r="M18" s="2">
        <f>-Formular_Sub_amortization!P13</f>
        <v>72613</v>
      </c>
      <c r="N18" s="2">
        <f>K18+L18-M18</f>
        <v>431415</v>
      </c>
    </row>
    <row r="19" spans="1:14" x14ac:dyDescent="0.25">
      <c r="A19" s="7"/>
      <c r="F19" s="3"/>
      <c r="G19" s="3"/>
      <c r="H19" s="3"/>
      <c r="K19" s="2"/>
    </row>
    <row r="20" spans="1:14" x14ac:dyDescent="0.25">
      <c r="A20" s="8"/>
      <c r="B20" s="8"/>
      <c r="C20" s="8" t="s">
        <v>34</v>
      </c>
      <c r="D20" s="8"/>
      <c r="E20" s="8"/>
      <c r="F20" s="8"/>
      <c r="G20" s="8"/>
      <c r="H20" s="8"/>
      <c r="I20" s="8"/>
      <c r="J20" s="8"/>
      <c r="K20" s="9">
        <f>SUM(K18:K19)</f>
        <v>504028</v>
      </c>
      <c r="L20" s="9">
        <f>SUM(L18:L19)</f>
        <v>0</v>
      </c>
      <c r="M20" s="9">
        <f>SUM(M18:M19)</f>
        <v>72613</v>
      </c>
      <c r="N20" s="9">
        <f>SUM(N18:N19)</f>
        <v>431415</v>
      </c>
    </row>
    <row r="21" spans="1:14" s="17" customForma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6"/>
      <c r="L21" s="16"/>
      <c r="M21" s="16"/>
      <c r="N21" s="16"/>
    </row>
    <row r="22" spans="1:14" ht="15.75" customHeight="1" x14ac:dyDescent="0.25"/>
    <row r="23" spans="1:14" s="4" customFormat="1" x14ac:dyDescent="0.25">
      <c r="A23" s="10" t="s">
        <v>6</v>
      </c>
      <c r="C23" s="6">
        <v>44166</v>
      </c>
      <c r="L23" s="5"/>
      <c r="M23" s="5"/>
      <c r="N23" s="5"/>
    </row>
    <row r="24" spans="1:14" s="4" customFormat="1" x14ac:dyDescent="0.25">
      <c r="C24" s="11"/>
      <c r="L24" s="5"/>
      <c r="M24" s="5"/>
      <c r="N24" s="5"/>
    </row>
    <row r="25" spans="1:14" s="4" customFormat="1" x14ac:dyDescent="0.25">
      <c r="A25" s="4" t="s">
        <v>37</v>
      </c>
      <c r="B25" s="4" t="s">
        <v>42</v>
      </c>
      <c r="L25" s="5"/>
      <c r="M25" s="5"/>
      <c r="N25" s="5"/>
    </row>
    <row r="27" spans="1:14" s="14" customFormat="1" x14ac:dyDescent="0.25">
      <c r="A27" s="12" t="s">
        <v>7</v>
      </c>
      <c r="B27" s="12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2" t="s">
        <v>15</v>
      </c>
      <c r="J27" s="12" t="s">
        <v>16</v>
      </c>
      <c r="K27" s="13" t="s">
        <v>17</v>
      </c>
      <c r="L27" s="13" t="s">
        <v>18</v>
      </c>
      <c r="M27" s="13" t="s">
        <v>19</v>
      </c>
      <c r="N27" s="13" t="s">
        <v>20</v>
      </c>
    </row>
    <row r="28" spans="1:14" x14ac:dyDescent="0.25">
      <c r="A28" s="7">
        <v>1</v>
      </c>
      <c r="B28" t="s">
        <v>5</v>
      </c>
      <c r="C28" t="str">
        <f>SAMPLE!$C$2</f>
        <v>CD</v>
      </c>
      <c r="D28" t="s">
        <v>45</v>
      </c>
      <c r="E28">
        <f>SAMPLE!$C$7</f>
        <v>12</v>
      </c>
      <c r="F28" s="3">
        <f>SAMPLE!$C$4</f>
        <v>44116</v>
      </c>
      <c r="G28" s="3">
        <f>SAMPLE!$C$5</f>
        <v>44485</v>
      </c>
      <c r="H28" s="3">
        <f>SAMPLE!$C$6</f>
        <v>44120</v>
      </c>
      <c r="J28" t="s">
        <v>31</v>
      </c>
      <c r="K28" s="2">
        <f>N18</f>
        <v>431415</v>
      </c>
      <c r="L28" s="2">
        <v>0</v>
      </c>
      <c r="M28" s="2">
        <f>-Formular_Sub_amortization!P14</f>
        <v>68828</v>
      </c>
      <c r="N28" s="2">
        <f>K28+L28-M28</f>
        <v>362587</v>
      </c>
    </row>
    <row r="29" spans="1:14" x14ac:dyDescent="0.25">
      <c r="A29" s="7"/>
      <c r="F29" s="3"/>
      <c r="G29" s="3"/>
      <c r="H29" s="3"/>
      <c r="K29" s="2"/>
    </row>
    <row r="30" spans="1:14" x14ac:dyDescent="0.25">
      <c r="A30" s="8"/>
      <c r="B30" s="8"/>
      <c r="C30" s="8" t="s">
        <v>34</v>
      </c>
      <c r="D30" s="8"/>
      <c r="E30" s="8"/>
      <c r="F30" s="8"/>
      <c r="G30" s="8"/>
      <c r="H30" s="8"/>
      <c r="I30" s="8"/>
      <c r="J30" s="8"/>
      <c r="K30" s="9">
        <f>SUM(K28:K29)</f>
        <v>431415</v>
      </c>
      <c r="L30" s="9">
        <f>SUM(L28:L29)</f>
        <v>0</v>
      </c>
      <c r="M30" s="9">
        <f>SUM(M28:M29)</f>
        <v>68828</v>
      </c>
      <c r="N30" s="9">
        <f>SUM(N28:N29)</f>
        <v>362587</v>
      </c>
    </row>
    <row r="31" spans="1:14" s="17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6"/>
      <c r="L31" s="16"/>
      <c r="M31" s="16"/>
      <c r="N31" s="16"/>
    </row>
    <row r="33" spans="1:14" s="4" customFormat="1" x14ac:dyDescent="0.25">
      <c r="A33" s="10" t="s">
        <v>6</v>
      </c>
      <c r="C33" s="6">
        <v>44197</v>
      </c>
      <c r="L33" s="5"/>
      <c r="M33" s="5"/>
      <c r="N33" s="5"/>
    </row>
    <row r="34" spans="1:14" s="4" customFormat="1" x14ac:dyDescent="0.25">
      <c r="C34" s="11"/>
      <c r="L34" s="5"/>
      <c r="M34" s="5"/>
      <c r="N34" s="5"/>
    </row>
    <row r="35" spans="1:14" s="4" customFormat="1" x14ac:dyDescent="0.25">
      <c r="A35" s="4" t="s">
        <v>37</v>
      </c>
      <c r="B35" s="4" t="s">
        <v>44</v>
      </c>
      <c r="L35" s="5"/>
      <c r="M35" s="5"/>
      <c r="N35" s="5"/>
    </row>
    <row r="37" spans="1:14" s="14" customFormat="1" x14ac:dyDescent="0.25">
      <c r="A37" s="12" t="s">
        <v>7</v>
      </c>
      <c r="B37" s="12" t="s">
        <v>8</v>
      </c>
      <c r="C37" s="12" t="s">
        <v>9</v>
      </c>
      <c r="D37" s="12" t="s">
        <v>10</v>
      </c>
      <c r="E37" s="12" t="s">
        <v>11</v>
      </c>
      <c r="F37" s="12" t="s">
        <v>12</v>
      </c>
      <c r="G37" s="12" t="s">
        <v>13</v>
      </c>
      <c r="H37" s="12" t="s">
        <v>14</v>
      </c>
      <c r="I37" s="12" t="s">
        <v>15</v>
      </c>
      <c r="J37" s="12" t="s">
        <v>16</v>
      </c>
      <c r="K37" s="13" t="s">
        <v>17</v>
      </c>
      <c r="L37" s="13" t="s">
        <v>18</v>
      </c>
      <c r="M37" s="13" t="s">
        <v>19</v>
      </c>
      <c r="N37" s="13" t="s">
        <v>20</v>
      </c>
    </row>
    <row r="38" spans="1:14" x14ac:dyDescent="0.25">
      <c r="A38" s="7">
        <v>1</v>
      </c>
      <c r="B38" t="s">
        <v>5</v>
      </c>
      <c r="C38" t="str">
        <f>SAMPLE!$C$2</f>
        <v>CD</v>
      </c>
      <c r="D38" t="s">
        <v>46</v>
      </c>
      <c r="E38">
        <f>SAMPLE!$C$7</f>
        <v>12</v>
      </c>
      <c r="F38" s="3">
        <f>SAMPLE!$C$4</f>
        <v>44116</v>
      </c>
      <c r="G38" s="3">
        <f>SAMPLE!$C$5</f>
        <v>44485</v>
      </c>
      <c r="H38" s="3">
        <f>SAMPLE!$C$6</f>
        <v>44120</v>
      </c>
      <c r="J38" t="s">
        <v>31</v>
      </c>
      <c r="K38" s="2">
        <f>N28</f>
        <v>362587</v>
      </c>
      <c r="L38" s="2">
        <v>0</v>
      </c>
      <c r="M38" s="2">
        <f>-Formular_Sub_amortization!P15</f>
        <v>64589</v>
      </c>
      <c r="N38" s="2">
        <f>K38+L38-M38</f>
        <v>297998</v>
      </c>
    </row>
    <row r="40" spans="1:14" x14ac:dyDescent="0.25">
      <c r="A40" s="8"/>
      <c r="B40" s="8"/>
      <c r="C40" s="8" t="s">
        <v>34</v>
      </c>
      <c r="D40" s="8"/>
      <c r="E40" s="8"/>
      <c r="F40" s="8"/>
      <c r="G40" s="8"/>
      <c r="H40" s="8"/>
      <c r="I40" s="8"/>
      <c r="J40" s="8"/>
      <c r="K40" s="9">
        <f>SUM(K38:K39)</f>
        <v>362587</v>
      </c>
      <c r="L40" s="9">
        <f>SUM(L38:L39)</f>
        <v>0</v>
      </c>
      <c r="M40" s="9">
        <f>SUM(M38:M39)</f>
        <v>64589</v>
      </c>
      <c r="N40" s="9">
        <f>SUM(N38:N39)</f>
        <v>297998</v>
      </c>
    </row>
    <row r="41" spans="1:14" s="17" customForma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6"/>
      <c r="L41" s="16"/>
      <c r="M41" s="16"/>
      <c r="N41" s="16"/>
    </row>
    <row r="43" spans="1:14" s="4" customFormat="1" x14ac:dyDescent="0.25">
      <c r="A43" s="10" t="s">
        <v>6</v>
      </c>
      <c r="C43" s="6">
        <v>44228</v>
      </c>
      <c r="L43" s="5"/>
      <c r="M43" s="5"/>
      <c r="N43" s="5"/>
    </row>
    <row r="44" spans="1:14" s="4" customFormat="1" x14ac:dyDescent="0.25">
      <c r="C44" s="11"/>
      <c r="L44" s="5"/>
      <c r="M44" s="5"/>
      <c r="N44" s="5"/>
    </row>
    <row r="45" spans="1:14" s="4" customFormat="1" x14ac:dyDescent="0.25">
      <c r="A45" s="4" t="s">
        <v>37</v>
      </c>
      <c r="B45" s="4" t="s">
        <v>43</v>
      </c>
      <c r="L45" s="5"/>
      <c r="M45" s="5"/>
      <c r="N45" s="5"/>
    </row>
    <row r="47" spans="1:14" s="14" customFormat="1" x14ac:dyDescent="0.25">
      <c r="A47" s="12" t="s">
        <v>7</v>
      </c>
      <c r="B47" s="12" t="s">
        <v>8</v>
      </c>
      <c r="C47" s="12" t="s">
        <v>9</v>
      </c>
      <c r="D47" s="12" t="s">
        <v>10</v>
      </c>
      <c r="E47" s="12" t="s">
        <v>11</v>
      </c>
      <c r="F47" s="12" t="s">
        <v>12</v>
      </c>
      <c r="G47" s="12" t="s">
        <v>13</v>
      </c>
      <c r="H47" s="12" t="s">
        <v>14</v>
      </c>
      <c r="I47" s="12" t="s">
        <v>15</v>
      </c>
      <c r="J47" s="12" t="s">
        <v>16</v>
      </c>
      <c r="K47" s="13" t="s">
        <v>17</v>
      </c>
      <c r="L47" s="13" t="s">
        <v>18</v>
      </c>
      <c r="M47" s="13" t="s">
        <v>19</v>
      </c>
      <c r="N47" s="13" t="s">
        <v>20</v>
      </c>
    </row>
    <row r="48" spans="1:14" x14ac:dyDescent="0.25">
      <c r="A48" s="7">
        <v>1</v>
      </c>
      <c r="B48" t="s">
        <v>5</v>
      </c>
      <c r="C48" t="str">
        <f>SAMPLE!$C$2</f>
        <v>CD</v>
      </c>
      <c r="D48" t="s">
        <v>46</v>
      </c>
      <c r="E48">
        <f>SAMPLE!$C$7</f>
        <v>12</v>
      </c>
      <c r="F48" s="3">
        <f>SAMPLE!$C$4</f>
        <v>44116</v>
      </c>
      <c r="G48" s="3">
        <f>SAMPLE!$C$5</f>
        <v>44485</v>
      </c>
      <c r="H48" s="3">
        <f>SAMPLE!$C$6</f>
        <v>44120</v>
      </c>
      <c r="J48" t="s">
        <v>31</v>
      </c>
      <c r="K48" s="2">
        <f>N38</f>
        <v>297998</v>
      </c>
      <c r="L48" s="2">
        <v>0</v>
      </c>
      <c r="M48" s="2">
        <f>-Formular_Sub_amortization!P16</f>
        <v>59862</v>
      </c>
      <c r="N48" s="2">
        <f>K48+L48-M48</f>
        <v>238136</v>
      </c>
    </row>
    <row r="50" spans="1:14" x14ac:dyDescent="0.25">
      <c r="A50" s="8"/>
      <c r="B50" s="8"/>
      <c r="C50" s="8" t="s">
        <v>34</v>
      </c>
      <c r="D50" s="8"/>
      <c r="E50" s="8"/>
      <c r="F50" s="8"/>
      <c r="G50" s="8"/>
      <c r="H50" s="8"/>
      <c r="I50" s="8"/>
      <c r="J50" s="8"/>
      <c r="K50" s="9">
        <f>SUM(K48:K49)</f>
        <v>297998</v>
      </c>
      <c r="L50" s="9">
        <f>SUM(L48:L49)</f>
        <v>0</v>
      </c>
      <c r="M50" s="9">
        <f>SUM(M48:M49)</f>
        <v>59862</v>
      </c>
      <c r="N50" s="9">
        <f>SUM(N48:N49)</f>
        <v>238136</v>
      </c>
    </row>
    <row r="53" spans="1:14" s="4" customFormat="1" x14ac:dyDescent="0.25">
      <c r="A53" s="10" t="s">
        <v>6</v>
      </c>
      <c r="C53" s="6">
        <v>44317</v>
      </c>
      <c r="D53" s="4" t="s">
        <v>47</v>
      </c>
      <c r="L53" s="5"/>
      <c r="M53" s="5"/>
      <c r="N53" s="5"/>
    </row>
    <row r="54" spans="1:14" s="4" customFormat="1" x14ac:dyDescent="0.25">
      <c r="C54" s="11"/>
      <c r="L54" s="5"/>
      <c r="M54" s="5"/>
      <c r="N54" s="5"/>
    </row>
    <row r="55" spans="1:14" s="4" customFormat="1" x14ac:dyDescent="0.25">
      <c r="L55" s="5"/>
      <c r="M55" s="5"/>
      <c r="N55" s="5"/>
    </row>
    <row r="57" spans="1:14" s="14" customFormat="1" x14ac:dyDescent="0.25">
      <c r="A57" s="12" t="s">
        <v>7</v>
      </c>
      <c r="B57" s="12" t="s">
        <v>8</v>
      </c>
      <c r="C57" s="12" t="s">
        <v>9</v>
      </c>
      <c r="D57" s="12" t="s">
        <v>10</v>
      </c>
      <c r="E57" s="12" t="s">
        <v>11</v>
      </c>
      <c r="F57" s="12" t="s">
        <v>12</v>
      </c>
      <c r="G57" s="12" t="s">
        <v>13</v>
      </c>
      <c r="H57" s="12" t="s">
        <v>14</v>
      </c>
      <c r="I57" s="12" t="s">
        <v>15</v>
      </c>
      <c r="J57" s="12" t="s">
        <v>16</v>
      </c>
      <c r="K57" s="13" t="s">
        <v>17</v>
      </c>
      <c r="L57" s="13" t="s">
        <v>18</v>
      </c>
      <c r="M57" s="13" t="s">
        <v>19</v>
      </c>
      <c r="N57" s="13" t="s">
        <v>20</v>
      </c>
    </row>
    <row r="58" spans="1:14" x14ac:dyDescent="0.25">
      <c r="A58" s="7">
        <v>1</v>
      </c>
      <c r="B58" t="s">
        <v>5</v>
      </c>
      <c r="C58" t="str">
        <f>SAMPLE!$C$2</f>
        <v>CD</v>
      </c>
      <c r="D58" t="s">
        <v>33</v>
      </c>
      <c r="E58">
        <f>SAMPLE!$C$7</f>
        <v>12</v>
      </c>
      <c r="F58" s="3">
        <f>SAMPLE!$C$4</f>
        <v>44116</v>
      </c>
      <c r="G58" s="3">
        <f>SAMPLE!$C$5</f>
        <v>44485</v>
      </c>
      <c r="H58" s="3">
        <f>SAMPLE!$C$6</f>
        <v>44120</v>
      </c>
      <c r="J58" t="s">
        <v>31</v>
      </c>
      <c r="K58" s="2">
        <f>-Formular_Sub_amortization!Q18</f>
        <v>134710</v>
      </c>
      <c r="L58" s="2">
        <v>0</v>
      </c>
      <c r="M58" s="2">
        <f>-SUM(Formular_Sub_amortization!P19:P23)</f>
        <v>134710</v>
      </c>
      <c r="N58" s="2">
        <f>K58+L58-M58</f>
        <v>0</v>
      </c>
    </row>
    <row r="60" spans="1:14" x14ac:dyDescent="0.25">
      <c r="A60" s="8"/>
      <c r="B60" s="8"/>
      <c r="C60" s="8" t="s">
        <v>34</v>
      </c>
      <c r="D60" s="8"/>
      <c r="E60" s="8"/>
      <c r="F60" s="8"/>
      <c r="G60" s="8"/>
      <c r="H60" s="8"/>
      <c r="I60" s="8"/>
      <c r="J60" s="8"/>
      <c r="K60" s="9">
        <f>SUM(K58:K59)</f>
        <v>134710</v>
      </c>
      <c r="L60" s="9">
        <f>SUM(L58:L59)</f>
        <v>0</v>
      </c>
      <c r="M60" s="9">
        <f>SUM(M58:M59)</f>
        <v>134710</v>
      </c>
      <c r="N60" s="9">
        <f>SUM(N58:N59)</f>
        <v>0</v>
      </c>
    </row>
  </sheetData>
  <autoFilter ref="A7:N7"/>
  <dataValidations count="1">
    <dataValidation type="list" allowBlank="1" showInputMessage="1" showErrorMessage="1" sqref="C3">
      <formula1>$K$1:$K$2</formula1>
    </dataValidation>
  </dataValidations>
  <pageMargins left="0.7" right="0.7" top="0.75" bottom="0.75" header="0.3" footer="0.3"/>
  <pageSetup scale="44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Y59"/>
  <sheetViews>
    <sheetView zoomScale="80" zoomScaleNormal="80" workbookViewId="0">
      <pane xSplit="3" ySplit="7" topLeftCell="P8" activePane="bottomRight" state="frozen"/>
      <selection pane="topRight" activeCell="C1" sqref="C1"/>
      <selection pane="bottomLeft" activeCell="A5" sqref="A5"/>
      <selection pane="bottomRight" activeCell="Q7" sqref="Q7"/>
    </sheetView>
  </sheetViews>
  <sheetFormatPr defaultRowHeight="15" x14ac:dyDescent="0.25"/>
  <cols>
    <col min="1" max="1" width="11.5703125" customWidth="1"/>
    <col min="2" max="2" width="7.85546875" customWidth="1"/>
    <col min="3" max="3" width="12" customWidth="1"/>
    <col min="4" max="4" width="22.85546875" bestFit="1" customWidth="1"/>
    <col min="5" max="5" width="14.5703125" bestFit="1" customWidth="1"/>
    <col min="6" max="6" width="13.5703125" customWidth="1"/>
    <col min="7" max="8" width="13.140625" customWidth="1"/>
    <col min="9" max="9" width="15.5703125" bestFit="1" customWidth="1"/>
    <col min="10" max="10" width="19.140625" bestFit="1" customWidth="1"/>
    <col min="11" max="11" width="16.85546875" customWidth="1"/>
    <col min="12" max="12" width="13.5703125" style="2" customWidth="1"/>
    <col min="13" max="13" width="21.7109375" style="2" bestFit="1" customWidth="1"/>
    <col min="14" max="14" width="33.42578125" style="2" customWidth="1"/>
    <col min="15" max="16" width="23.7109375" style="2" customWidth="1"/>
    <col min="17" max="17" width="27.7109375" style="2" bestFit="1" customWidth="1"/>
    <col min="18" max="19" width="18.28515625" style="2" bestFit="1" customWidth="1"/>
    <col min="20" max="20" width="19.28515625" style="2" bestFit="1" customWidth="1"/>
    <col min="21" max="22" width="14" style="2" bestFit="1" customWidth="1"/>
    <col min="23" max="23" width="14.5703125" style="2" customWidth="1"/>
    <col min="24" max="24" width="17.28515625" style="2" customWidth="1"/>
    <col min="25" max="25" width="16.28515625" bestFit="1" customWidth="1"/>
  </cols>
  <sheetData>
    <row r="1" spans="1:25" s="4" customFormat="1" x14ac:dyDescent="0.25">
      <c r="A1" s="4" t="s">
        <v>48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s="4" customFormat="1" x14ac:dyDescent="0.25">
      <c r="A2" s="4" t="s">
        <v>6</v>
      </c>
      <c r="C2" s="6">
        <v>44105</v>
      </c>
      <c r="L2" s="5"/>
      <c r="M2" s="5"/>
      <c r="N2" s="5"/>
      <c r="O2" s="5"/>
      <c r="P2" s="5"/>
      <c r="Q2" s="5"/>
      <c r="R2" s="5" t="s">
        <v>75</v>
      </c>
      <c r="S2" s="5"/>
      <c r="T2" s="5"/>
      <c r="U2" s="5"/>
      <c r="V2" s="5"/>
      <c r="W2" s="5"/>
      <c r="X2" s="5"/>
    </row>
    <row r="3" spans="1:25" s="4" customFormat="1" x14ac:dyDescent="0.25">
      <c r="A3" s="4" t="s">
        <v>165</v>
      </c>
      <c r="C3" s="43" t="s">
        <v>166</v>
      </c>
      <c r="D3" s="4" t="s">
        <v>167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5" s="4" customFormat="1" ht="75" x14ac:dyDescent="0.25">
      <c r="L4" s="18" t="s">
        <v>71</v>
      </c>
      <c r="M4" s="18" t="s">
        <v>49</v>
      </c>
      <c r="N4" s="18" t="s">
        <v>50</v>
      </c>
      <c r="O4" s="18" t="s">
        <v>51</v>
      </c>
      <c r="P4" s="5" t="s">
        <v>52</v>
      </c>
      <c r="Q4" s="5" t="s">
        <v>53</v>
      </c>
      <c r="R4" s="18" t="s">
        <v>54</v>
      </c>
      <c r="S4" s="18" t="s">
        <v>55</v>
      </c>
      <c r="T4" s="18" t="s">
        <v>56</v>
      </c>
      <c r="U4" s="18" t="s">
        <v>57</v>
      </c>
      <c r="V4" s="18" t="s">
        <v>58</v>
      </c>
      <c r="W4" s="18" t="s">
        <v>59</v>
      </c>
      <c r="X4" s="18" t="s">
        <v>60</v>
      </c>
      <c r="Y4" s="18" t="s">
        <v>61</v>
      </c>
    </row>
    <row r="5" spans="1:25" s="4" customFormat="1" x14ac:dyDescent="0.25">
      <c r="A5" s="4" t="s">
        <v>37</v>
      </c>
      <c r="B5" s="4" t="s">
        <v>38</v>
      </c>
      <c r="L5" s="5"/>
      <c r="M5" s="5"/>
      <c r="N5" s="5"/>
    </row>
    <row r="6" spans="1:25" s="4" customFormat="1" x14ac:dyDescent="0.25">
      <c r="L6" s="18"/>
      <c r="M6" s="18"/>
      <c r="N6" s="18"/>
      <c r="O6" s="18"/>
      <c r="P6" s="5"/>
      <c r="Q6" s="5"/>
      <c r="R6" s="18"/>
      <c r="S6" s="18"/>
      <c r="T6" s="18"/>
      <c r="U6" s="18"/>
      <c r="V6" s="18"/>
      <c r="W6" s="18"/>
      <c r="X6" s="18"/>
      <c r="Y6" s="18"/>
    </row>
    <row r="7" spans="1:25" x14ac:dyDescent="0.25">
      <c r="A7" s="12" t="s">
        <v>7</v>
      </c>
      <c r="B7" s="12" t="s">
        <v>8</v>
      </c>
      <c r="C7" s="8" t="s">
        <v>9</v>
      </c>
      <c r="D7" s="8" t="s">
        <v>62</v>
      </c>
      <c r="E7" s="8" t="s">
        <v>63</v>
      </c>
      <c r="F7" s="8" t="s">
        <v>10</v>
      </c>
      <c r="G7" s="8" t="s">
        <v>11</v>
      </c>
      <c r="H7" s="8" t="s">
        <v>64</v>
      </c>
      <c r="I7" s="8" t="s">
        <v>12</v>
      </c>
      <c r="J7" s="8" t="s">
        <v>13</v>
      </c>
      <c r="K7" s="8" t="s">
        <v>14</v>
      </c>
      <c r="L7" s="9" t="s">
        <v>16</v>
      </c>
      <c r="M7" s="9" t="s">
        <v>65</v>
      </c>
      <c r="N7" s="9" t="s">
        <v>66</v>
      </c>
      <c r="O7" s="9" t="s">
        <v>48</v>
      </c>
      <c r="P7" s="9" t="s">
        <v>67</v>
      </c>
      <c r="Q7" s="9" t="s">
        <v>68</v>
      </c>
      <c r="R7" s="9" t="s">
        <v>21</v>
      </c>
      <c r="S7" s="9" t="s">
        <v>22</v>
      </c>
      <c r="T7" s="9" t="s">
        <v>23</v>
      </c>
      <c r="U7" s="9" t="s">
        <v>24</v>
      </c>
      <c r="V7" s="9" t="s">
        <v>25</v>
      </c>
      <c r="W7" s="9" t="s">
        <v>26</v>
      </c>
      <c r="X7" s="9" t="s">
        <v>27</v>
      </c>
      <c r="Y7" s="9" t="s">
        <v>28</v>
      </c>
    </row>
    <row r="8" spans="1:25" x14ac:dyDescent="0.25">
      <c r="A8" s="7">
        <v>1</v>
      </c>
      <c r="B8" t="s">
        <v>5</v>
      </c>
      <c r="C8" t="str">
        <f>SAMPLE!$C$2</f>
        <v>CD</v>
      </c>
      <c r="D8" t="s">
        <v>69</v>
      </c>
      <c r="E8" s="19" t="s">
        <v>70</v>
      </c>
      <c r="F8" t="s">
        <v>30</v>
      </c>
      <c r="G8">
        <f>SAMPLE!$C$7</f>
        <v>12</v>
      </c>
      <c r="H8" s="3">
        <f>SAMPLE!$C$3</f>
        <v>44114</v>
      </c>
      <c r="I8" s="3">
        <f>SAMPLE!$C$4</f>
        <v>44116</v>
      </c>
      <c r="J8" s="3">
        <f>SAMPLE!$C$5</f>
        <v>44485</v>
      </c>
      <c r="K8" s="3">
        <f>SAMPLE!$C$6</f>
        <v>44120</v>
      </c>
      <c r="L8" t="s">
        <v>31</v>
      </c>
      <c r="M8" s="2">
        <f>SAMPLE!C10</f>
        <v>580000</v>
      </c>
      <c r="N8" s="2">
        <f>'SUBVENTION ALLOCATION'!M8</f>
        <v>75972</v>
      </c>
      <c r="O8" s="2">
        <f>'SUBVENTION ALLOCATION'!N8</f>
        <v>504028</v>
      </c>
      <c r="P8" s="2" t="s">
        <v>73</v>
      </c>
      <c r="Q8" s="2" t="s">
        <v>74</v>
      </c>
      <c r="R8" s="2">
        <f>-Formular_Sub_amortization!P13</f>
        <v>72613</v>
      </c>
      <c r="S8" s="2">
        <f>-SUM(Formular_Sub_amortization!P14:P15)</f>
        <v>133417</v>
      </c>
      <c r="T8" s="2">
        <f>-SUM(Formular_Sub_amortization!P16:P18)</f>
        <v>163288</v>
      </c>
      <c r="U8" s="2">
        <f>-SUM(Formular_Sub_amortization!P19:P24)</f>
        <v>134710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X9"/>
    </row>
    <row r="10" spans="1:25" x14ac:dyDescent="0.25">
      <c r="B10" s="12" t="s">
        <v>34</v>
      </c>
      <c r="C10" s="8"/>
      <c r="D10" s="8"/>
      <c r="E10" s="8"/>
      <c r="F10" s="8"/>
      <c r="G10" s="8"/>
      <c r="H10" s="8"/>
      <c r="I10" s="8"/>
      <c r="J10" s="8"/>
      <c r="K10" s="8"/>
      <c r="L10" s="9">
        <f>SUM(L8:L9)</f>
        <v>0</v>
      </c>
      <c r="M10" s="9">
        <f>SUM(M8:M9)</f>
        <v>580000</v>
      </c>
      <c r="N10" s="9">
        <f>SUM(N8:N9)</f>
        <v>75972</v>
      </c>
      <c r="O10" s="9">
        <f>SUM(O8:O9)</f>
        <v>504028</v>
      </c>
      <c r="P10" s="9"/>
      <c r="Q10" s="9"/>
      <c r="R10" s="9">
        <f t="shared" ref="R10:Y10" si="0">SUM(R8:R9)</f>
        <v>72613</v>
      </c>
      <c r="S10" s="9">
        <f t="shared" si="0"/>
        <v>133417</v>
      </c>
      <c r="T10" s="9">
        <f t="shared" si="0"/>
        <v>163288</v>
      </c>
      <c r="U10" s="9">
        <f t="shared" si="0"/>
        <v>134710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</row>
    <row r="13" spans="1:25" s="4" customFormat="1" x14ac:dyDescent="0.25">
      <c r="A13" s="4" t="s">
        <v>6</v>
      </c>
      <c r="C13" s="6">
        <v>44136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5" s="4" customFormat="1" x14ac:dyDescent="0.25">
      <c r="C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5" s="4" customFormat="1" x14ac:dyDescent="0.25">
      <c r="A15" s="4" t="s">
        <v>37</v>
      </c>
      <c r="B15" s="4" t="s">
        <v>42</v>
      </c>
      <c r="L15" s="5"/>
      <c r="M15" s="5"/>
      <c r="N15" s="5"/>
    </row>
    <row r="17" spans="1:25" x14ac:dyDescent="0.25">
      <c r="A17" s="12" t="s">
        <v>7</v>
      </c>
      <c r="B17" s="12" t="s">
        <v>8</v>
      </c>
      <c r="C17" s="8" t="s">
        <v>9</v>
      </c>
      <c r="D17" s="8" t="s">
        <v>62</v>
      </c>
      <c r="E17" s="8" t="s">
        <v>63</v>
      </c>
      <c r="F17" s="8" t="s">
        <v>10</v>
      </c>
      <c r="G17" s="8" t="s">
        <v>11</v>
      </c>
      <c r="H17" s="8" t="s">
        <v>64</v>
      </c>
      <c r="I17" s="8" t="s">
        <v>12</v>
      </c>
      <c r="J17" s="8" t="s">
        <v>13</v>
      </c>
      <c r="K17" s="8" t="s">
        <v>14</v>
      </c>
      <c r="L17" s="9" t="s">
        <v>16</v>
      </c>
      <c r="M17" s="9" t="s">
        <v>65</v>
      </c>
      <c r="N17" s="9" t="s">
        <v>66</v>
      </c>
      <c r="O17" s="9" t="s">
        <v>48</v>
      </c>
      <c r="P17" s="9" t="s">
        <v>67</v>
      </c>
      <c r="Q17" s="9" t="s">
        <v>68</v>
      </c>
      <c r="R17" s="9" t="s">
        <v>21</v>
      </c>
      <c r="S17" s="9" t="s">
        <v>22</v>
      </c>
      <c r="T17" s="9" t="s">
        <v>23</v>
      </c>
      <c r="U17" s="9" t="s">
        <v>24</v>
      </c>
      <c r="V17" s="9" t="s">
        <v>25</v>
      </c>
      <c r="W17" s="9" t="s">
        <v>26</v>
      </c>
      <c r="X17" s="9" t="s">
        <v>27</v>
      </c>
      <c r="Y17" s="9" t="s">
        <v>28</v>
      </c>
    </row>
    <row r="18" spans="1:25" x14ac:dyDescent="0.25">
      <c r="A18" s="7">
        <v>1</v>
      </c>
      <c r="B18" t="s">
        <v>5</v>
      </c>
      <c r="C18" t="str">
        <f>SAMPLE!$C$2</f>
        <v>CD</v>
      </c>
      <c r="D18" t="s">
        <v>69</v>
      </c>
      <c r="E18" s="19" t="s">
        <v>70</v>
      </c>
      <c r="F18" t="s">
        <v>30</v>
      </c>
      <c r="G18">
        <f>SAMPLE!$C$7</f>
        <v>12</v>
      </c>
      <c r="H18" s="3">
        <f>SAMPLE!$C$3</f>
        <v>44114</v>
      </c>
      <c r="I18" s="3">
        <f>SAMPLE!$C$4</f>
        <v>44116</v>
      </c>
      <c r="J18" s="3">
        <f>SAMPLE!$C$5</f>
        <v>44485</v>
      </c>
      <c r="K18" s="3">
        <f>SAMPLE!$C$6</f>
        <v>44120</v>
      </c>
      <c r="L18" t="s">
        <v>31</v>
      </c>
      <c r="M18" s="2">
        <f>M8</f>
        <v>580000</v>
      </c>
      <c r="N18" s="2">
        <f>'SUBVENTION ALLOCATION'!M8+'SUBVENTION ALLOCATION'!M18</f>
        <v>148585</v>
      </c>
      <c r="O18" s="2">
        <f>'SUBVENTION ALLOCATION'!N18</f>
        <v>431415</v>
      </c>
      <c r="P18" s="2" t="s">
        <v>73</v>
      </c>
      <c r="Q18" s="2" t="s">
        <v>74</v>
      </c>
      <c r="R18" s="2">
        <f>-Formular_Sub_amortization!P14</f>
        <v>68828</v>
      </c>
      <c r="S18" s="2">
        <f>-SUM(Formular_Sub_amortization!P15:P16)</f>
        <v>124451</v>
      </c>
      <c r="T18" s="2">
        <f>-SUM(Formular_Sub_amortization!P17:P19)</f>
        <v>145838</v>
      </c>
      <c r="U18" s="2">
        <f>-SUM(Formular_Sub_amortization!P20:P25)</f>
        <v>92298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X19"/>
    </row>
    <row r="20" spans="1:25" x14ac:dyDescent="0.25">
      <c r="B20" s="12" t="s">
        <v>34</v>
      </c>
      <c r="C20" s="8"/>
      <c r="D20" s="8"/>
      <c r="E20" s="8"/>
      <c r="F20" s="8"/>
      <c r="G20" s="8"/>
      <c r="H20" s="8"/>
      <c r="I20" s="8"/>
      <c r="J20" s="8"/>
      <c r="K20" s="8"/>
      <c r="L20" s="9">
        <f>SUM(L18:L19)</f>
        <v>0</v>
      </c>
      <c r="M20" s="9">
        <f>SUM(M18:M19)</f>
        <v>580000</v>
      </c>
      <c r="N20" s="9">
        <f>SUM(N18:N19)</f>
        <v>148585</v>
      </c>
      <c r="O20" s="9">
        <f>SUM(O18:O19)</f>
        <v>431415</v>
      </c>
      <c r="P20" s="9"/>
      <c r="Q20" s="9"/>
      <c r="R20" s="9">
        <f t="shared" ref="R20:Y20" si="1">SUM(R18:R19)</f>
        <v>68828</v>
      </c>
      <c r="S20" s="9">
        <f t="shared" si="1"/>
        <v>124451</v>
      </c>
      <c r="T20" s="9">
        <f t="shared" si="1"/>
        <v>145838</v>
      </c>
      <c r="U20" s="9">
        <f t="shared" si="1"/>
        <v>92298</v>
      </c>
      <c r="V20" s="9">
        <f t="shared" si="1"/>
        <v>0</v>
      </c>
      <c r="W20" s="9">
        <f t="shared" si="1"/>
        <v>0</v>
      </c>
      <c r="X20" s="9">
        <f t="shared" si="1"/>
        <v>0</v>
      </c>
      <c r="Y20" s="9">
        <f t="shared" si="1"/>
        <v>0</v>
      </c>
    </row>
    <row r="23" spans="1:25" s="4" customFormat="1" x14ac:dyDescent="0.25">
      <c r="A23" s="4" t="s">
        <v>6</v>
      </c>
      <c r="C23" s="6">
        <v>44166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5" s="4" customFormat="1" x14ac:dyDescent="0.25">
      <c r="C24" s="1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5" s="4" customFormat="1" x14ac:dyDescent="0.25">
      <c r="A25" s="4" t="s">
        <v>37</v>
      </c>
      <c r="B25" s="4" t="s">
        <v>42</v>
      </c>
      <c r="L25" s="5"/>
      <c r="M25" s="5"/>
      <c r="N25" s="5"/>
    </row>
    <row r="27" spans="1:25" x14ac:dyDescent="0.25">
      <c r="A27" s="12" t="s">
        <v>7</v>
      </c>
      <c r="B27" s="12" t="s">
        <v>8</v>
      </c>
      <c r="C27" s="8" t="s">
        <v>9</v>
      </c>
      <c r="D27" s="8" t="s">
        <v>62</v>
      </c>
      <c r="E27" s="8" t="s">
        <v>63</v>
      </c>
      <c r="F27" s="8" t="s">
        <v>10</v>
      </c>
      <c r="G27" s="8" t="s">
        <v>11</v>
      </c>
      <c r="H27" s="8" t="s">
        <v>64</v>
      </c>
      <c r="I27" s="8" t="s">
        <v>12</v>
      </c>
      <c r="J27" s="8" t="s">
        <v>13</v>
      </c>
      <c r="K27" s="8" t="s">
        <v>14</v>
      </c>
      <c r="L27" s="9" t="s">
        <v>16</v>
      </c>
      <c r="M27" s="9" t="s">
        <v>65</v>
      </c>
      <c r="N27" s="9" t="s">
        <v>66</v>
      </c>
      <c r="O27" s="9" t="s">
        <v>48</v>
      </c>
      <c r="P27" s="9" t="s">
        <v>67</v>
      </c>
      <c r="Q27" s="9" t="s">
        <v>68</v>
      </c>
      <c r="R27" s="9" t="s">
        <v>21</v>
      </c>
      <c r="S27" s="9" t="s">
        <v>22</v>
      </c>
      <c r="T27" s="9" t="s">
        <v>23</v>
      </c>
      <c r="U27" s="9" t="s">
        <v>24</v>
      </c>
      <c r="V27" s="9" t="s">
        <v>25</v>
      </c>
      <c r="W27" s="9" t="s">
        <v>26</v>
      </c>
      <c r="X27" s="9" t="s">
        <v>27</v>
      </c>
      <c r="Y27" s="9" t="s">
        <v>28</v>
      </c>
    </row>
    <row r="28" spans="1:25" x14ac:dyDescent="0.25">
      <c r="A28" s="7">
        <v>1</v>
      </c>
      <c r="B28" t="s">
        <v>5</v>
      </c>
      <c r="C28" t="str">
        <f>SAMPLE!$C$2</f>
        <v>CD</v>
      </c>
      <c r="D28" t="s">
        <v>69</v>
      </c>
      <c r="E28" s="19" t="s">
        <v>70</v>
      </c>
      <c r="F28" t="s">
        <v>30</v>
      </c>
      <c r="G28">
        <f>SAMPLE!$C$7</f>
        <v>12</v>
      </c>
      <c r="H28" s="3">
        <f>SAMPLE!$C$3</f>
        <v>44114</v>
      </c>
      <c r="I28" s="3">
        <f>SAMPLE!$C$4</f>
        <v>44116</v>
      </c>
      <c r="J28" s="3">
        <f>SAMPLE!$C$5</f>
        <v>44485</v>
      </c>
      <c r="K28" s="3">
        <f>SAMPLE!$C$6</f>
        <v>44120</v>
      </c>
      <c r="L28" t="s">
        <v>31</v>
      </c>
      <c r="M28" s="2">
        <f>M8</f>
        <v>580000</v>
      </c>
      <c r="N28" s="2">
        <f>'SUBVENTION ALLOCATION'!M8+'SUBVENTION ALLOCATION'!M18+'SUBVENTION ALLOCATION'!M28</f>
        <v>217413</v>
      </c>
      <c r="O28" s="2">
        <f>'SUBVENTION ALLOCATION'!N28</f>
        <v>362587</v>
      </c>
      <c r="P28" s="2" t="s">
        <v>73</v>
      </c>
      <c r="Q28" s="2" t="s">
        <v>74</v>
      </c>
      <c r="R28" s="2">
        <f>-Formular_Sub_amortization!P15</f>
        <v>64589</v>
      </c>
      <c r="S28" s="2">
        <f>-SUM(Formular_Sub_amortization!P16:P17)</f>
        <v>114477</v>
      </c>
      <c r="T28" s="2">
        <f>-SUM(Formular_Sub_amortization!P18:P20)</f>
        <v>126601</v>
      </c>
      <c r="U28" s="2">
        <f>-SUM(Formular_Sub_amortization!P21:P26)</f>
        <v>56920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X29"/>
    </row>
    <row r="30" spans="1:25" x14ac:dyDescent="0.25">
      <c r="B30" s="12" t="s">
        <v>34</v>
      </c>
      <c r="C30" s="8"/>
      <c r="D30" s="8"/>
      <c r="E30" s="8"/>
      <c r="F30" s="8"/>
      <c r="G30" s="8"/>
      <c r="H30" s="8"/>
      <c r="I30" s="8"/>
      <c r="J30" s="8"/>
      <c r="K30" s="8"/>
      <c r="L30" s="9">
        <f>SUM(L28:L29)</f>
        <v>0</v>
      </c>
      <c r="M30" s="9">
        <f>SUM(M28:M29)</f>
        <v>580000</v>
      </c>
      <c r="N30" s="9">
        <f>SUM(N28:N29)</f>
        <v>217413</v>
      </c>
      <c r="O30" s="9">
        <f>SUM(O28:O29)</f>
        <v>362587</v>
      </c>
      <c r="P30" s="9"/>
      <c r="Q30" s="9"/>
      <c r="R30" s="9">
        <f t="shared" ref="R30:Y30" si="2">SUM(R28:R29)</f>
        <v>64589</v>
      </c>
      <c r="S30" s="9">
        <f t="shared" si="2"/>
        <v>114477</v>
      </c>
      <c r="T30" s="9">
        <f t="shared" si="2"/>
        <v>126601</v>
      </c>
      <c r="U30" s="9">
        <f t="shared" si="2"/>
        <v>56920</v>
      </c>
      <c r="V30" s="9">
        <f t="shared" si="2"/>
        <v>0</v>
      </c>
      <c r="W30" s="9">
        <f t="shared" si="2"/>
        <v>0</v>
      </c>
      <c r="X30" s="9">
        <f t="shared" si="2"/>
        <v>0</v>
      </c>
      <c r="Y30" s="9">
        <f t="shared" si="2"/>
        <v>0</v>
      </c>
    </row>
    <row r="33" spans="1:25" s="4" customFormat="1" x14ac:dyDescent="0.25">
      <c r="A33" s="4" t="s">
        <v>6</v>
      </c>
      <c r="C33" s="6">
        <v>44197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5" s="4" customFormat="1" x14ac:dyDescent="0.25">
      <c r="C34" s="11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5" s="4" customFormat="1" x14ac:dyDescent="0.25">
      <c r="A35" s="4" t="s">
        <v>37</v>
      </c>
      <c r="B35" s="4" t="s">
        <v>44</v>
      </c>
      <c r="L35" s="5"/>
      <c r="M35" s="5"/>
      <c r="N35" s="5"/>
    </row>
    <row r="37" spans="1:25" x14ac:dyDescent="0.25">
      <c r="A37" s="12" t="s">
        <v>7</v>
      </c>
      <c r="B37" s="12" t="s">
        <v>8</v>
      </c>
      <c r="C37" s="8" t="s">
        <v>9</v>
      </c>
      <c r="D37" s="8" t="s">
        <v>62</v>
      </c>
      <c r="E37" s="8" t="s">
        <v>63</v>
      </c>
      <c r="F37" s="8" t="s">
        <v>10</v>
      </c>
      <c r="G37" s="8" t="s">
        <v>11</v>
      </c>
      <c r="H37" s="8" t="s">
        <v>64</v>
      </c>
      <c r="I37" s="8" t="s">
        <v>12</v>
      </c>
      <c r="J37" s="8" t="s">
        <v>13</v>
      </c>
      <c r="K37" s="8" t="s">
        <v>14</v>
      </c>
      <c r="L37" s="9" t="s">
        <v>16</v>
      </c>
      <c r="M37" s="9" t="s">
        <v>65</v>
      </c>
      <c r="N37" s="9" t="s">
        <v>66</v>
      </c>
      <c r="O37" s="9" t="s">
        <v>48</v>
      </c>
      <c r="P37" s="9" t="s">
        <v>67</v>
      </c>
      <c r="Q37" s="9" t="s">
        <v>68</v>
      </c>
      <c r="R37" s="9" t="s">
        <v>21</v>
      </c>
      <c r="S37" s="9" t="s">
        <v>22</v>
      </c>
      <c r="T37" s="9" t="s">
        <v>23</v>
      </c>
      <c r="U37" s="9" t="s">
        <v>24</v>
      </c>
      <c r="V37" s="9" t="s">
        <v>25</v>
      </c>
      <c r="W37" s="9" t="s">
        <v>26</v>
      </c>
      <c r="X37" s="9" t="s">
        <v>27</v>
      </c>
      <c r="Y37" s="9" t="s">
        <v>28</v>
      </c>
    </row>
    <row r="38" spans="1:25" x14ac:dyDescent="0.25">
      <c r="A38" s="7">
        <v>1</v>
      </c>
      <c r="B38" t="s">
        <v>5</v>
      </c>
      <c r="C38" t="str">
        <f>SAMPLE!$C$2</f>
        <v>CD</v>
      </c>
      <c r="D38" t="s">
        <v>69</v>
      </c>
      <c r="E38" s="19" t="s">
        <v>70</v>
      </c>
      <c r="F38" t="s">
        <v>30</v>
      </c>
      <c r="G38">
        <f>SAMPLE!$C$7</f>
        <v>12</v>
      </c>
      <c r="H38" s="3">
        <f>SAMPLE!$C$3</f>
        <v>44114</v>
      </c>
      <c r="I38" s="3">
        <f>SAMPLE!$C$4</f>
        <v>44116</v>
      </c>
      <c r="J38" s="3">
        <f>SAMPLE!$C$5</f>
        <v>44485</v>
      </c>
      <c r="K38" s="3">
        <f>SAMPLE!$C$6</f>
        <v>44120</v>
      </c>
      <c r="L38" t="s">
        <v>31</v>
      </c>
      <c r="M38" s="2">
        <f>M8</f>
        <v>580000</v>
      </c>
      <c r="N38" s="2">
        <f>'SUBVENTION ALLOCATION'!M8+'SUBVENTION ALLOCATION'!M18+'SUBVENTION ALLOCATION'!M28+'SUBVENTION ALLOCATION'!M38</f>
        <v>282002</v>
      </c>
      <c r="O38" s="2">
        <f>'SUBVENTION ALLOCATION'!N38</f>
        <v>297998</v>
      </c>
      <c r="P38" s="2" t="s">
        <v>73</v>
      </c>
      <c r="Q38" s="2" t="s">
        <v>74</v>
      </c>
      <c r="R38" s="2">
        <f>-Formular_Sub_amortization!P16</f>
        <v>59862</v>
      </c>
      <c r="S38" s="2">
        <f>-SUM(Formular_Sub_amortization!P17:P18)</f>
        <v>103426</v>
      </c>
      <c r="T38" s="2">
        <f>-SUM(Formular_Sub_amortization!P19:P21)</f>
        <v>105456</v>
      </c>
      <c r="U38" s="2">
        <f>-SUM(Formular_Sub_amortization!P22:P27)</f>
        <v>29254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X39"/>
    </row>
    <row r="40" spans="1:25" x14ac:dyDescent="0.25">
      <c r="B40" s="12" t="s">
        <v>34</v>
      </c>
      <c r="C40" s="8"/>
      <c r="D40" s="8"/>
      <c r="E40" s="8"/>
      <c r="F40" s="8"/>
      <c r="G40" s="8"/>
      <c r="H40" s="8"/>
      <c r="I40" s="8"/>
      <c r="J40" s="8"/>
      <c r="K40" s="8"/>
      <c r="L40" s="9">
        <f>SUM(L38:L39)</f>
        <v>0</v>
      </c>
      <c r="M40" s="9">
        <f>SUM(M38:M39)</f>
        <v>580000</v>
      </c>
      <c r="N40" s="9">
        <f>SUM(N38:N39)</f>
        <v>282002</v>
      </c>
      <c r="O40" s="9">
        <f>SUM(O38:O39)</f>
        <v>297998</v>
      </c>
      <c r="P40" s="9"/>
      <c r="Q40" s="9"/>
      <c r="R40" s="9">
        <f t="shared" ref="R40:Y40" si="3">SUM(R38:R39)</f>
        <v>59862</v>
      </c>
      <c r="S40" s="9">
        <f t="shared" si="3"/>
        <v>103426</v>
      </c>
      <c r="T40" s="9">
        <f t="shared" si="3"/>
        <v>105456</v>
      </c>
      <c r="U40" s="9">
        <f t="shared" si="3"/>
        <v>29254</v>
      </c>
      <c r="V40" s="9">
        <f t="shared" si="3"/>
        <v>0</v>
      </c>
      <c r="W40" s="9">
        <f t="shared" si="3"/>
        <v>0</v>
      </c>
      <c r="X40" s="9">
        <f t="shared" si="3"/>
        <v>0</v>
      </c>
      <c r="Y40" s="9">
        <f t="shared" si="3"/>
        <v>0</v>
      </c>
    </row>
    <row r="43" spans="1:25" s="4" customFormat="1" x14ac:dyDescent="0.25">
      <c r="A43" s="4" t="s">
        <v>6</v>
      </c>
      <c r="C43" s="6">
        <v>44228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5" s="4" customFormat="1" x14ac:dyDescent="0.25">
      <c r="C44" s="1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5" s="4" customFormat="1" x14ac:dyDescent="0.25">
      <c r="A45" s="4" t="s">
        <v>37</v>
      </c>
      <c r="B45" s="4" t="s">
        <v>43</v>
      </c>
      <c r="L45" s="5"/>
      <c r="M45" s="5"/>
      <c r="N45" s="5"/>
    </row>
    <row r="47" spans="1:25" x14ac:dyDescent="0.25">
      <c r="A47" s="12" t="s">
        <v>7</v>
      </c>
      <c r="B47" s="12" t="s">
        <v>8</v>
      </c>
      <c r="C47" s="8" t="s">
        <v>9</v>
      </c>
      <c r="D47" s="8" t="s">
        <v>62</v>
      </c>
      <c r="E47" s="8" t="s">
        <v>63</v>
      </c>
      <c r="F47" s="8" t="s">
        <v>10</v>
      </c>
      <c r="G47" s="8" t="s">
        <v>11</v>
      </c>
      <c r="H47" s="8" t="s">
        <v>64</v>
      </c>
      <c r="I47" s="8" t="s">
        <v>12</v>
      </c>
      <c r="J47" s="8" t="s">
        <v>13</v>
      </c>
      <c r="K47" s="8" t="s">
        <v>14</v>
      </c>
      <c r="L47" s="9" t="s">
        <v>16</v>
      </c>
      <c r="M47" s="9" t="s">
        <v>65</v>
      </c>
      <c r="N47" s="9" t="s">
        <v>66</v>
      </c>
      <c r="O47" s="9" t="s">
        <v>48</v>
      </c>
      <c r="P47" s="9" t="s">
        <v>67</v>
      </c>
      <c r="Q47" s="9" t="s">
        <v>68</v>
      </c>
      <c r="R47" s="9" t="s">
        <v>21</v>
      </c>
      <c r="S47" s="9" t="s">
        <v>22</v>
      </c>
      <c r="T47" s="9" t="s">
        <v>23</v>
      </c>
      <c r="U47" s="9" t="s">
        <v>24</v>
      </c>
      <c r="V47" s="9" t="s">
        <v>25</v>
      </c>
      <c r="W47" s="9" t="s">
        <v>26</v>
      </c>
      <c r="X47" s="9" t="s">
        <v>27</v>
      </c>
      <c r="Y47" s="9" t="s">
        <v>28</v>
      </c>
    </row>
    <row r="48" spans="1:25" x14ac:dyDescent="0.25">
      <c r="A48" s="7">
        <v>1</v>
      </c>
      <c r="B48" t="s">
        <v>5</v>
      </c>
      <c r="C48" t="str">
        <f>SAMPLE!$C$2</f>
        <v>CD</v>
      </c>
      <c r="D48" t="s">
        <v>69</v>
      </c>
      <c r="E48" s="19" t="s">
        <v>70</v>
      </c>
      <c r="F48" t="s">
        <v>30</v>
      </c>
      <c r="G48">
        <f>SAMPLE!$C$7</f>
        <v>12</v>
      </c>
      <c r="H48" s="3">
        <f>SAMPLE!$C$3</f>
        <v>44114</v>
      </c>
      <c r="I48" s="3">
        <f>SAMPLE!$C$4</f>
        <v>44116</v>
      </c>
      <c r="J48" s="3">
        <f>SAMPLE!$C$5</f>
        <v>44485</v>
      </c>
      <c r="K48" s="3">
        <f>SAMPLE!$C$6</f>
        <v>44120</v>
      </c>
      <c r="L48" t="s">
        <v>31</v>
      </c>
      <c r="M48" s="2">
        <f>M8</f>
        <v>580000</v>
      </c>
      <c r="N48" s="2">
        <f>'SUBVENTION ALLOCATION'!M8+'SUBVENTION ALLOCATION'!M18+'SUBVENTION ALLOCATION'!M28+'SUBVENTION ALLOCATION'!M38+'SUBVENTION ALLOCATION'!M48</f>
        <v>341864</v>
      </c>
      <c r="O48" s="2">
        <f>'SUBVENTION ALLOCATION'!N48</f>
        <v>238136</v>
      </c>
      <c r="P48" s="2" t="s">
        <v>73</v>
      </c>
      <c r="Q48" s="2" t="s">
        <v>74</v>
      </c>
      <c r="R48" s="2">
        <f>-Formular_Sub_amortization!P17</f>
        <v>54615</v>
      </c>
      <c r="S48" s="2">
        <f>-SUM(Formular_Sub_amortization!P18:P19)</f>
        <v>91223</v>
      </c>
      <c r="T48" s="2">
        <f>-SUM(Formular_Sub_amortization!P20:P22)</f>
        <v>82274</v>
      </c>
      <c r="U48" s="2">
        <f>-SUM(Formular_Sub_amortization!P23:P28)</f>
        <v>10024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X49"/>
    </row>
    <row r="50" spans="1:25" x14ac:dyDescent="0.25">
      <c r="B50" s="12" t="s">
        <v>34</v>
      </c>
      <c r="C50" s="8"/>
      <c r="D50" s="8"/>
      <c r="E50" s="8"/>
      <c r="F50" s="8"/>
      <c r="G50" s="8"/>
      <c r="H50" s="8"/>
      <c r="I50" s="8"/>
      <c r="J50" s="8"/>
      <c r="K50" s="8"/>
      <c r="L50" s="9">
        <f>SUM(L48:L49)</f>
        <v>0</v>
      </c>
      <c r="M50" s="9">
        <f>SUM(M48:M49)</f>
        <v>580000</v>
      </c>
      <c r="N50" s="9">
        <f>SUM(N48:N49)</f>
        <v>341864</v>
      </c>
      <c r="O50" s="9">
        <f>SUM(O48:O49)</f>
        <v>238136</v>
      </c>
      <c r="P50" s="9"/>
      <c r="Q50" s="9"/>
      <c r="R50" s="9">
        <f t="shared" ref="R50:Y50" si="4">SUM(R48:R49)</f>
        <v>54615</v>
      </c>
      <c r="S50" s="9">
        <f t="shared" si="4"/>
        <v>91223</v>
      </c>
      <c r="T50" s="9">
        <f t="shared" si="4"/>
        <v>82274</v>
      </c>
      <c r="U50" s="9">
        <f t="shared" si="4"/>
        <v>10024</v>
      </c>
      <c r="V50" s="9">
        <f t="shared" si="4"/>
        <v>0</v>
      </c>
      <c r="W50" s="9">
        <f t="shared" si="4"/>
        <v>0</v>
      </c>
      <c r="X50" s="9">
        <f t="shared" si="4"/>
        <v>0</v>
      </c>
      <c r="Y50" s="9">
        <f t="shared" si="4"/>
        <v>0</v>
      </c>
    </row>
    <row r="53" spans="1:25" s="4" customFormat="1" x14ac:dyDescent="0.25">
      <c r="A53" s="4" t="s">
        <v>6</v>
      </c>
      <c r="C53" s="6">
        <v>44317</v>
      </c>
      <c r="D53" s="4" t="s">
        <v>47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5" s="4" customFormat="1" x14ac:dyDescent="0.25">
      <c r="C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6" spans="1:25" x14ac:dyDescent="0.25">
      <c r="A56" s="12" t="s">
        <v>7</v>
      </c>
      <c r="B56" s="12" t="s">
        <v>8</v>
      </c>
      <c r="C56" s="8" t="s">
        <v>9</v>
      </c>
      <c r="D56" s="8" t="s">
        <v>62</v>
      </c>
      <c r="E56" s="8" t="s">
        <v>63</v>
      </c>
      <c r="F56" s="8" t="s">
        <v>10</v>
      </c>
      <c r="G56" s="8" t="s">
        <v>11</v>
      </c>
      <c r="H56" s="8" t="s">
        <v>64</v>
      </c>
      <c r="I56" s="8" t="s">
        <v>12</v>
      </c>
      <c r="J56" s="8" t="s">
        <v>13</v>
      </c>
      <c r="K56" s="8" t="s">
        <v>14</v>
      </c>
      <c r="L56" s="9" t="s">
        <v>16</v>
      </c>
      <c r="M56" s="9" t="s">
        <v>65</v>
      </c>
      <c r="N56" s="9" t="s">
        <v>66</v>
      </c>
      <c r="O56" s="9" t="s">
        <v>48</v>
      </c>
      <c r="P56" s="9" t="s">
        <v>67</v>
      </c>
      <c r="Q56" s="9" t="s">
        <v>68</v>
      </c>
      <c r="R56" s="9" t="s">
        <v>21</v>
      </c>
      <c r="S56" s="9" t="s">
        <v>22</v>
      </c>
      <c r="T56" s="9" t="s">
        <v>23</v>
      </c>
      <c r="U56" s="9" t="s">
        <v>24</v>
      </c>
      <c r="V56" s="9" t="s">
        <v>25</v>
      </c>
      <c r="W56" s="9" t="s">
        <v>26</v>
      </c>
      <c r="X56" s="9" t="s">
        <v>27</v>
      </c>
      <c r="Y56" s="9" t="s">
        <v>28</v>
      </c>
    </row>
    <row r="57" spans="1:25" x14ac:dyDescent="0.25">
      <c r="A57" s="7"/>
      <c r="E57" s="19"/>
      <c r="H57" s="3"/>
      <c r="I57" s="3"/>
      <c r="J57" s="3"/>
      <c r="K57" s="3"/>
      <c r="L57"/>
      <c r="Y57" s="2"/>
    </row>
    <row r="58" spans="1:25" x14ac:dyDescent="0.25">
      <c r="X58"/>
    </row>
    <row r="59" spans="1:25" x14ac:dyDescent="0.25">
      <c r="B59" s="12" t="s">
        <v>34</v>
      </c>
      <c r="C59" s="8"/>
      <c r="D59" s="8"/>
      <c r="E59" s="8"/>
      <c r="F59" s="8"/>
      <c r="G59" s="8"/>
      <c r="H59" s="8"/>
      <c r="I59" s="8"/>
      <c r="J59" s="8"/>
      <c r="K59" s="8"/>
      <c r="L59" s="9">
        <f>SUM(L57:L58)</f>
        <v>0</v>
      </c>
      <c r="M59" s="9">
        <f>SUM(M57:M58)</f>
        <v>0</v>
      </c>
      <c r="N59" s="9">
        <f>SUM(N57:N58)</f>
        <v>0</v>
      </c>
      <c r="O59" s="9">
        <f>SUM(O57:O58)</f>
        <v>0</v>
      </c>
      <c r="P59" s="9"/>
      <c r="Q59" s="9"/>
      <c r="R59" s="9">
        <f t="shared" ref="R59:Y59" si="5">SUM(R57:R58)</f>
        <v>0</v>
      </c>
      <c r="S59" s="9">
        <f t="shared" si="5"/>
        <v>0</v>
      </c>
      <c r="T59" s="9">
        <f t="shared" si="5"/>
        <v>0</v>
      </c>
      <c r="U59" s="9">
        <f t="shared" si="5"/>
        <v>0</v>
      </c>
      <c r="V59" s="9">
        <f t="shared" si="5"/>
        <v>0</v>
      </c>
      <c r="W59" s="9">
        <f t="shared" si="5"/>
        <v>0</v>
      </c>
      <c r="X59" s="9">
        <f t="shared" si="5"/>
        <v>0</v>
      </c>
      <c r="Y59" s="9">
        <f t="shared" si="5"/>
        <v>0</v>
      </c>
    </row>
  </sheetData>
  <autoFilter ref="A7:X7"/>
  <pageMargins left="0.7" right="0.7" top="0.75" bottom="0.75" header="0.3" footer="0.3"/>
  <pageSetup scale="28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'SUBVENTION ALLOCATION'!$K$1:$K$2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zoomScale="80" zoomScaleNormal="80" workbookViewId="0">
      <selection activeCell="A6" sqref="A6"/>
    </sheetView>
  </sheetViews>
  <sheetFormatPr defaultRowHeight="15" x14ac:dyDescent="0.25"/>
  <cols>
    <col min="1" max="1" width="17.140625" customWidth="1"/>
    <col min="2" max="2" width="15.28515625" customWidth="1"/>
    <col min="3" max="3" width="16.7109375" customWidth="1"/>
    <col min="4" max="4" width="14.5703125" customWidth="1"/>
    <col min="5" max="5" width="16.140625" customWidth="1"/>
    <col min="6" max="6" width="7.85546875" customWidth="1"/>
    <col min="7" max="7" width="11.85546875" bestFit="1" customWidth="1"/>
    <col min="8" max="8" width="15.140625" customWidth="1"/>
    <col min="9" max="9" width="10" bestFit="1" customWidth="1"/>
    <col min="10" max="10" width="10.7109375" bestFit="1" customWidth="1"/>
    <col min="11" max="12" width="14.42578125" bestFit="1" customWidth="1"/>
    <col min="13" max="13" width="18.42578125" bestFit="1" customWidth="1"/>
    <col min="14" max="14" width="19.85546875" bestFit="1" customWidth="1"/>
    <col min="15" max="15" width="21.85546875" customWidth="1"/>
    <col min="16" max="16" width="26.140625" customWidth="1"/>
    <col min="17" max="17" width="16.42578125" customWidth="1"/>
  </cols>
  <sheetData>
    <row r="1" spans="1:16" x14ac:dyDescent="0.25">
      <c r="A1" s="4" t="s">
        <v>163</v>
      </c>
      <c r="B1" s="4"/>
      <c r="C1" s="4"/>
    </row>
    <row r="2" spans="1:16" s="28" customFormat="1" ht="12.75" x14ac:dyDescent="0.2">
      <c r="A2" s="28" t="s">
        <v>130</v>
      </c>
      <c r="B2" s="29">
        <v>44124</v>
      </c>
      <c r="C2" s="30" t="s">
        <v>164</v>
      </c>
    </row>
    <row r="3" spans="1:16" s="28" customFormat="1" ht="60" x14ac:dyDescent="0.25">
      <c r="A3" s="28" t="s">
        <v>131</v>
      </c>
      <c r="B3" s="29">
        <v>44125</v>
      </c>
      <c r="C3" s="30"/>
      <c r="O3" s="31" t="s">
        <v>132</v>
      </c>
    </row>
    <row r="4" spans="1:16" s="28" customFormat="1" x14ac:dyDescent="0.25">
      <c r="A4" s="4" t="s">
        <v>165</v>
      </c>
      <c r="B4" s="43" t="s">
        <v>166</v>
      </c>
      <c r="C4" s="4" t="s">
        <v>167</v>
      </c>
      <c r="D4" s="4"/>
      <c r="E4" s="4"/>
      <c r="O4" s="31"/>
    </row>
    <row r="5" spans="1:16" ht="30" x14ac:dyDescent="0.25">
      <c r="O5" s="32" t="s">
        <v>133</v>
      </c>
    </row>
    <row r="6" spans="1:16" x14ac:dyDescent="0.25">
      <c r="A6" s="33" t="s">
        <v>8</v>
      </c>
      <c r="B6" s="33" t="s">
        <v>134</v>
      </c>
      <c r="C6" s="33" t="s">
        <v>135</v>
      </c>
      <c r="D6" s="33" t="s">
        <v>136</v>
      </c>
      <c r="E6" s="33" t="s">
        <v>146</v>
      </c>
      <c r="F6" s="33" t="s">
        <v>11</v>
      </c>
      <c r="G6" s="33" t="s">
        <v>137</v>
      </c>
      <c r="H6" s="33" t="s">
        <v>138</v>
      </c>
      <c r="I6" s="33" t="s">
        <v>9</v>
      </c>
      <c r="J6" s="33" t="s">
        <v>141</v>
      </c>
      <c r="K6" s="33" t="s">
        <v>142</v>
      </c>
      <c r="L6" s="34" t="s">
        <v>139</v>
      </c>
      <c r="M6" s="34" t="s">
        <v>140</v>
      </c>
      <c r="N6" s="33" t="s">
        <v>148</v>
      </c>
      <c r="O6" s="33" t="s">
        <v>149</v>
      </c>
      <c r="P6" s="33" t="s">
        <v>150</v>
      </c>
    </row>
    <row r="7" spans="1:16" s="31" customFormat="1" ht="45" x14ac:dyDescent="0.25">
      <c r="A7" s="31" t="s">
        <v>151</v>
      </c>
      <c r="B7" s="31" t="s">
        <v>152</v>
      </c>
      <c r="C7" s="31" t="s">
        <v>69</v>
      </c>
      <c r="E7" s="31" t="s">
        <v>158</v>
      </c>
      <c r="F7" s="31">
        <v>48</v>
      </c>
      <c r="G7" s="35">
        <v>44168</v>
      </c>
      <c r="H7" s="35">
        <v>44175</v>
      </c>
      <c r="I7" s="31" t="s">
        <v>29</v>
      </c>
      <c r="K7" s="37"/>
      <c r="L7" s="37"/>
      <c r="M7" s="37"/>
      <c r="N7" s="37" t="s">
        <v>160</v>
      </c>
      <c r="O7" s="37" t="s">
        <v>161</v>
      </c>
      <c r="P7" s="37" t="s">
        <v>162</v>
      </c>
    </row>
    <row r="8" spans="1:16" x14ac:dyDescent="0.25">
      <c r="I8" t="s">
        <v>32</v>
      </c>
      <c r="N8" s="2">
        <v>5000000</v>
      </c>
      <c r="O8" s="2">
        <f>ROUND(N8/1.1/10,0)</f>
        <v>454545</v>
      </c>
      <c r="P8" s="2">
        <f>N8-O8</f>
        <v>4545455</v>
      </c>
    </row>
    <row r="9" spans="1:16" x14ac:dyDescent="0.25">
      <c r="O9" s="40"/>
    </row>
    <row r="11" spans="1:16" x14ac:dyDescent="0.25">
      <c r="A11" s="8" t="s">
        <v>34</v>
      </c>
      <c r="B11" s="8"/>
      <c r="C11" s="41"/>
      <c r="D11" s="41"/>
      <c r="E11" s="8"/>
      <c r="F11" s="41"/>
      <c r="G11" s="8"/>
      <c r="H11" s="8"/>
      <c r="I11" s="8"/>
      <c r="J11" s="8"/>
      <c r="K11" s="8"/>
      <c r="L11" s="8"/>
      <c r="M11" s="8"/>
      <c r="N11" s="42">
        <f>SUM(N7:N10)</f>
        <v>5000000</v>
      </c>
      <c r="O11" s="42">
        <f t="shared" ref="O11:P11" si="0">SUM(O7:O10)</f>
        <v>454545</v>
      </c>
      <c r="P11" s="42">
        <f t="shared" si="0"/>
        <v>4545455</v>
      </c>
    </row>
  </sheetData>
  <pageMargins left="0.7" right="0.7" top="0.75" bottom="0.75" header="0.3" footer="0.3"/>
  <pageSetup scale="36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'SUBVENTION ALLOCATION'!$K$1:$K$2</xm:f>
          </x14:formula1>
          <xm:sqref>B4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4"/>
  <sheetViews>
    <sheetView topLeftCell="K1" zoomScale="80" zoomScaleNormal="80" workbookViewId="0">
      <selection activeCell="G14" sqref="G14"/>
    </sheetView>
  </sheetViews>
  <sheetFormatPr defaultRowHeight="15" x14ac:dyDescent="0.25"/>
  <cols>
    <col min="1" max="1" width="14.85546875" customWidth="1"/>
    <col min="2" max="2" width="15.28515625" customWidth="1"/>
    <col min="3" max="3" width="16.7109375" customWidth="1"/>
    <col min="4" max="4" width="14.5703125" customWidth="1"/>
    <col min="5" max="5" width="7.85546875" customWidth="1"/>
    <col min="6" max="6" width="11.85546875" bestFit="1" customWidth="1"/>
    <col min="7" max="7" width="15.140625" customWidth="1"/>
    <col min="8" max="8" width="9.5703125" bestFit="1" customWidth="1"/>
    <col min="9" max="9" width="14.28515625" customWidth="1"/>
    <col min="10" max="10" width="18.42578125" bestFit="1" customWidth="1"/>
    <col min="11" max="11" width="12.5703125" customWidth="1"/>
    <col min="12" max="12" width="14.28515625" customWidth="1"/>
    <col min="13" max="13" width="16.140625" bestFit="1" customWidth="1"/>
    <col min="14" max="14" width="17.28515625" customWidth="1"/>
    <col min="15" max="15" width="21.28515625" customWidth="1"/>
    <col min="16" max="16" width="16.140625" customWidth="1"/>
    <col min="17" max="17" width="15.5703125" customWidth="1"/>
    <col min="18" max="18" width="19.85546875" customWidth="1"/>
    <col min="19" max="19" width="23.5703125" customWidth="1"/>
    <col min="20" max="20" width="25.42578125" customWidth="1"/>
  </cols>
  <sheetData>
    <row r="1" spans="1:20" x14ac:dyDescent="0.25">
      <c r="A1" s="4" t="s">
        <v>126</v>
      </c>
      <c r="B1" s="4"/>
      <c r="C1" s="4"/>
    </row>
    <row r="2" spans="1:20" x14ac:dyDescent="0.25">
      <c r="A2" s="4"/>
      <c r="B2" s="4"/>
      <c r="C2" s="4"/>
    </row>
    <row r="3" spans="1:20" s="7" customFormat="1" x14ac:dyDescent="0.25">
      <c r="A3" s="7" t="s">
        <v>127</v>
      </c>
      <c r="B3" s="7" t="s">
        <v>128</v>
      </c>
    </row>
    <row r="4" spans="1:20" s="7" customFormat="1" x14ac:dyDescent="0.25">
      <c r="A4" s="7" t="s">
        <v>129</v>
      </c>
      <c r="B4" s="7" t="s">
        <v>128</v>
      </c>
    </row>
    <row r="5" spans="1:20" s="28" customFormat="1" ht="12.75" x14ac:dyDescent="0.2">
      <c r="A5" s="28" t="s">
        <v>130</v>
      </c>
      <c r="B5" s="29">
        <v>44124</v>
      </c>
      <c r="C5" s="30"/>
    </row>
    <row r="6" spans="1:20" s="28" customFormat="1" ht="12.75" x14ac:dyDescent="0.2">
      <c r="A6" s="28" t="s">
        <v>131</v>
      </c>
      <c r="B6" s="29">
        <v>44125</v>
      </c>
      <c r="C6" s="30"/>
    </row>
    <row r="7" spans="1:20" s="28" customFormat="1" ht="45" x14ac:dyDescent="0.25">
      <c r="B7" s="29"/>
      <c r="C7" s="30"/>
      <c r="S7" s="31" t="s">
        <v>132</v>
      </c>
    </row>
    <row r="8" spans="1:20" ht="30" x14ac:dyDescent="0.25">
      <c r="S8" s="32" t="s">
        <v>133</v>
      </c>
      <c r="T8" s="31"/>
    </row>
    <row r="9" spans="1:20" x14ac:dyDescent="0.25">
      <c r="A9" s="33" t="s">
        <v>8</v>
      </c>
      <c r="B9" s="33" t="s">
        <v>134</v>
      </c>
      <c r="C9" s="33" t="s">
        <v>135</v>
      </c>
      <c r="D9" s="33" t="s">
        <v>136</v>
      </c>
      <c r="E9" s="33" t="s">
        <v>11</v>
      </c>
      <c r="F9" s="33" t="s">
        <v>137</v>
      </c>
      <c r="G9" s="33" t="s">
        <v>138</v>
      </c>
      <c r="H9" s="33" t="s">
        <v>9</v>
      </c>
      <c r="I9" s="34" t="s">
        <v>139</v>
      </c>
      <c r="J9" s="34" t="s">
        <v>140</v>
      </c>
      <c r="K9" s="33" t="s">
        <v>141</v>
      </c>
      <c r="L9" s="33" t="s">
        <v>142</v>
      </c>
      <c r="M9" s="33" t="s">
        <v>143</v>
      </c>
      <c r="N9" s="33" t="s">
        <v>144</v>
      </c>
      <c r="O9" s="33" t="s">
        <v>145</v>
      </c>
      <c r="P9" s="33" t="s">
        <v>146</v>
      </c>
      <c r="Q9" s="33" t="s">
        <v>147</v>
      </c>
      <c r="R9" s="33" t="s">
        <v>148</v>
      </c>
      <c r="S9" s="33" t="s">
        <v>149</v>
      </c>
      <c r="T9" s="33" t="s">
        <v>150</v>
      </c>
    </row>
    <row r="10" spans="1:20" s="31" customFormat="1" ht="45" x14ac:dyDescent="0.25">
      <c r="A10" s="31" t="s">
        <v>151</v>
      </c>
      <c r="B10" s="31" t="s">
        <v>152</v>
      </c>
      <c r="C10" s="31" t="s">
        <v>69</v>
      </c>
      <c r="E10" s="31">
        <v>48</v>
      </c>
      <c r="F10" s="35">
        <v>44168</v>
      </c>
      <c r="G10" s="35">
        <v>44175</v>
      </c>
      <c r="H10" s="31" t="s">
        <v>29</v>
      </c>
      <c r="I10" s="36"/>
      <c r="J10" s="36"/>
      <c r="K10" s="31" t="s">
        <v>153</v>
      </c>
      <c r="L10" s="37" t="s">
        <v>154</v>
      </c>
      <c r="M10" s="37" t="s">
        <v>155</v>
      </c>
      <c r="N10" s="38" t="s">
        <v>156</v>
      </c>
      <c r="O10" s="39" t="s">
        <v>157</v>
      </c>
      <c r="P10" s="23" t="s">
        <v>158</v>
      </c>
      <c r="Q10" s="39" t="s">
        <v>159</v>
      </c>
      <c r="R10" s="39" t="s">
        <v>160</v>
      </c>
      <c r="S10" s="39" t="s">
        <v>161</v>
      </c>
      <c r="T10" s="39" t="s">
        <v>162</v>
      </c>
    </row>
    <row r="11" spans="1:20" x14ac:dyDescent="0.25">
      <c r="H11" t="s">
        <v>32</v>
      </c>
      <c r="O11" s="2"/>
      <c r="R11" s="2">
        <v>5000000</v>
      </c>
      <c r="S11" s="2">
        <f>ROUND(R11/1.1/10,0)</f>
        <v>454545</v>
      </c>
      <c r="T11" s="2">
        <f>R11-S11</f>
        <v>4545455</v>
      </c>
    </row>
    <row r="12" spans="1:20" x14ac:dyDescent="0.25">
      <c r="S12" s="40"/>
    </row>
    <row r="14" spans="1:20" x14ac:dyDescent="0.25">
      <c r="A14" s="8" t="s">
        <v>34</v>
      </c>
      <c r="B14" s="8"/>
      <c r="C14" s="41"/>
      <c r="D14" s="41"/>
      <c r="E14" s="41"/>
      <c r="F14" s="8"/>
      <c r="G14" s="8"/>
      <c r="H14" s="8"/>
      <c r="I14" s="8"/>
      <c r="J14" s="8"/>
      <c r="K14" s="8"/>
      <c r="L14" s="8"/>
      <c r="M14" s="8"/>
      <c r="N14" s="8"/>
      <c r="O14" s="42"/>
      <c r="P14" s="8"/>
      <c r="Q14" s="8"/>
      <c r="R14" s="42">
        <f>SUM(R10:R13)</f>
        <v>5000000</v>
      </c>
      <c r="S14" s="42">
        <f t="shared" ref="S14:T14" si="0">SUM(S10:S13)</f>
        <v>454545</v>
      </c>
      <c r="T14" s="42">
        <f t="shared" si="0"/>
        <v>4545455</v>
      </c>
    </row>
  </sheetData>
  <pageMargins left="0.7" right="0.7" top="0.75" bottom="0.75" header="0.3" footer="0.3"/>
  <pageSetup scale="2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Requirement_on System</vt:lpstr>
      <vt:lpstr>Sun Interface template</vt:lpstr>
      <vt:lpstr>subvention+booking final</vt:lpstr>
      <vt:lpstr>Formular_Sub_amortization</vt:lpstr>
      <vt:lpstr>SAMPLE</vt:lpstr>
      <vt:lpstr>SUBVENTION ALLOCATION</vt:lpstr>
      <vt:lpstr>SUBVENTION BALANCE</vt:lpstr>
      <vt:lpstr>SUBVENTION REPORT</vt:lpstr>
      <vt:lpstr>DEALER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Thi Bich Tram</dc:creator>
  <cp:lastModifiedBy>Kien, Do Trung</cp:lastModifiedBy>
  <cp:lastPrinted>2020-12-22T06:36:28Z</cp:lastPrinted>
  <dcterms:created xsi:type="dcterms:W3CDTF">2020-10-14T07:45:29Z</dcterms:created>
  <dcterms:modified xsi:type="dcterms:W3CDTF">2020-12-22T10:32:48Z</dcterms:modified>
</cp:coreProperties>
</file>